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oudieni/Desktop/"/>
    </mc:Choice>
  </mc:AlternateContent>
  <bookViews>
    <workbookView xWindow="-51200" yWindow="-2860" windowWidth="51200" windowHeight="28340" tabRatio="500"/>
  </bookViews>
  <sheets>
    <sheet name="Provided Values and Forecast" sheetId="1" r:id="rId1"/>
    <sheet name="Recommended Configuration" sheetId="6" r:id="rId2"/>
    <sheet name="User Experience KPI" sheetId="4" r:id="rId3"/>
    <sheet name="Server Recommendation Index" sheetId="5" r:id="rId4"/>
    <sheet name="Internal Formula Detail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7" i="5"/>
  <c r="D6" i="5"/>
  <c r="D5" i="5"/>
  <c r="D4" i="5"/>
  <c r="D3" i="5"/>
  <c r="G14" i="5"/>
  <c r="G15" i="5"/>
  <c r="G16" i="5"/>
  <c r="G17" i="5"/>
  <c r="A7" i="2"/>
  <c r="A10" i="2"/>
  <c r="C13" i="2"/>
  <c r="G9" i="5"/>
  <c r="W10" i="5"/>
  <c r="C8" i="6"/>
  <c r="A49" i="2"/>
  <c r="B4" i="2"/>
  <c r="C7" i="2"/>
  <c r="B16" i="2"/>
  <c r="B19" i="2"/>
  <c r="A16" i="2"/>
  <c r="B10" i="2"/>
  <c r="A13" i="2"/>
  <c r="A19" i="2"/>
  <c r="A22" i="2"/>
  <c r="C10" i="2"/>
  <c r="B7" i="2"/>
  <c r="B22" i="2"/>
  <c r="H19" i="5"/>
  <c r="A61" i="2"/>
  <c r="A67" i="2"/>
  <c r="C4" i="2"/>
  <c r="B13" i="2"/>
  <c r="W3" i="5"/>
  <c r="A4" i="2"/>
  <c r="T15" i="4"/>
  <c r="I5" i="4"/>
  <c r="B49" i="2"/>
  <c r="C49" i="2"/>
  <c r="D49" i="2"/>
  <c r="C52" i="2"/>
  <c r="X4" i="5"/>
  <c r="X5" i="5"/>
  <c r="X6" i="5"/>
  <c r="X7" i="5"/>
  <c r="X8" i="5"/>
  <c r="G4" i="5"/>
  <c r="G5" i="5"/>
  <c r="G6" i="5"/>
  <c r="G7" i="5"/>
  <c r="T6" i="5"/>
  <c r="A15" i="5"/>
  <c r="T5" i="5"/>
  <c r="A14" i="5"/>
  <c r="D14" i="5"/>
  <c r="V14" i="4"/>
  <c r="V13" i="4"/>
  <c r="V12" i="4"/>
  <c r="V11" i="4"/>
  <c r="V10" i="4"/>
  <c r="V9" i="4"/>
  <c r="V8" i="4"/>
  <c r="V7" i="4"/>
  <c r="V6" i="4"/>
  <c r="V5" i="4"/>
  <c r="V4" i="4"/>
  <c r="V3" i="4"/>
  <c r="V2" i="4"/>
  <c r="W14" i="4"/>
  <c r="W13" i="4"/>
  <c r="Q5" i="5"/>
  <c r="P5" i="5"/>
  <c r="Q4" i="5"/>
  <c r="P4" i="5"/>
  <c r="D15" i="5"/>
  <c r="D16" i="5"/>
  <c r="D17" i="5"/>
  <c r="A4" i="5"/>
  <c r="A5" i="5"/>
  <c r="A6" i="5"/>
  <c r="A7" i="5"/>
  <c r="I6" i="4"/>
  <c r="I7" i="4"/>
  <c r="I4" i="4"/>
  <c r="I3" i="4"/>
  <c r="W12" i="4"/>
  <c r="W11" i="4"/>
  <c r="M5" i="4"/>
  <c r="D19" i="5"/>
  <c r="E5" i="4"/>
  <c r="A9" i="5"/>
  <c r="A64" i="2"/>
  <c r="D9" i="5"/>
  <c r="M4" i="4"/>
  <c r="M3" i="4"/>
  <c r="M6" i="4"/>
  <c r="M7" i="4"/>
  <c r="E6" i="4"/>
  <c r="E7" i="4"/>
  <c r="E4" i="4"/>
  <c r="E3" i="4"/>
  <c r="V16" i="4"/>
  <c r="V17" i="4"/>
  <c r="V18" i="4"/>
  <c r="V19" i="4"/>
  <c r="V20" i="4"/>
  <c r="V21" i="4"/>
  <c r="V22" i="4"/>
  <c r="W10" i="4"/>
  <c r="W9" i="4"/>
  <c r="W8" i="4"/>
  <c r="W7" i="4"/>
  <c r="W6" i="4"/>
  <c r="W5" i="4"/>
  <c r="W4" i="4"/>
  <c r="W3" i="4"/>
  <c r="W2" i="4"/>
  <c r="X2" i="4"/>
  <c r="X3" i="4"/>
  <c r="X4" i="4"/>
  <c r="X5" i="4"/>
  <c r="W16" i="4"/>
  <c r="W17" i="4"/>
  <c r="W18" i="4"/>
  <c r="W19" i="4"/>
  <c r="W20" i="4"/>
  <c r="W21" i="4"/>
  <c r="W22" i="4"/>
  <c r="X23" i="4"/>
  <c r="X6" i="4"/>
  <c r="X7" i="4"/>
  <c r="X8" i="4"/>
  <c r="X9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N8" i="4"/>
  <c r="N7" i="4"/>
  <c r="N6" i="4"/>
  <c r="N5" i="4"/>
  <c r="N4" i="4"/>
  <c r="N3" i="4"/>
  <c r="J8" i="4"/>
  <c r="J7" i="4"/>
  <c r="J6" i="4"/>
  <c r="J5" i="4"/>
  <c r="J4" i="4"/>
  <c r="J3" i="4"/>
  <c r="F8" i="4"/>
  <c r="F7" i="4"/>
  <c r="F6" i="4"/>
  <c r="F5" i="4"/>
  <c r="F4" i="4"/>
  <c r="F3" i="4"/>
  <c r="B8" i="4"/>
  <c r="B7" i="4"/>
  <c r="B6" i="4"/>
  <c r="B5" i="4"/>
  <c r="B4" i="4"/>
  <c r="B3" i="4"/>
  <c r="Q3" i="5"/>
  <c r="Q6" i="5"/>
  <c r="Q7" i="5"/>
  <c r="Q8" i="5"/>
  <c r="P3" i="5"/>
  <c r="P6" i="5"/>
  <c r="P7" i="5"/>
  <c r="P8" i="5"/>
  <c r="B70" i="2"/>
  <c r="C70" i="2"/>
  <c r="B28" i="2"/>
  <c r="B64" i="2"/>
  <c r="A19" i="5"/>
  <c r="T4" i="5"/>
  <c r="A13" i="5"/>
  <c r="T7" i="5"/>
  <c r="A16" i="5"/>
  <c r="T8" i="5"/>
  <c r="A17" i="5"/>
  <c r="B19" i="5"/>
  <c r="B9" i="5"/>
  <c r="E9" i="5"/>
  <c r="E19" i="5"/>
  <c r="H9" i="5"/>
  <c r="K11" i="5"/>
  <c r="K12" i="5"/>
  <c r="K10" i="5"/>
  <c r="Q10" i="5"/>
  <c r="C4" i="6"/>
  <c r="B46" i="2"/>
  <c r="D70" i="2"/>
  <c r="A73" i="2"/>
  <c r="B61" i="2"/>
  <c r="B67" i="2"/>
  <c r="B73" i="2"/>
  <c r="A70" i="2"/>
  <c r="P10" i="5"/>
  <c r="D8" i="6"/>
  <c r="A52" i="2"/>
  <c r="D52" i="2"/>
  <c r="B25" i="2"/>
  <c r="A25" i="2"/>
  <c r="A34" i="2"/>
  <c r="B34" i="2"/>
  <c r="A58" i="2"/>
  <c r="A55" i="2"/>
  <c r="N6" i="5"/>
  <c r="W11" i="5"/>
  <c r="C9" i="6"/>
  <c r="L12" i="5"/>
  <c r="B14" i="1"/>
  <c r="E86" i="2"/>
  <c r="G8" i="4"/>
  <c r="K8" i="4"/>
  <c r="O8" i="4"/>
  <c r="G7" i="4"/>
  <c r="G6" i="4"/>
  <c r="K6" i="4"/>
  <c r="O6" i="4"/>
  <c r="G5" i="4"/>
  <c r="K5" i="4"/>
  <c r="O5" i="4"/>
  <c r="G4" i="4"/>
  <c r="K4" i="4"/>
  <c r="O4" i="4"/>
  <c r="G3" i="4"/>
  <c r="K3" i="4"/>
  <c r="N3" i="5"/>
  <c r="A28" i="2"/>
  <c r="C28" i="2"/>
  <c r="T3" i="5"/>
  <c r="N4" i="5"/>
  <c r="N5" i="5"/>
  <c r="N7" i="5"/>
  <c r="N8" i="5"/>
  <c r="C58" i="2"/>
  <c r="D14" i="1"/>
  <c r="B76" i="2"/>
  <c r="A76" i="2"/>
  <c r="B52" i="2"/>
  <c r="U10" i="5"/>
  <c r="E8" i="6"/>
  <c r="A31" i="2"/>
  <c r="N10" i="5"/>
  <c r="G8" i="6"/>
  <c r="M10" i="5"/>
  <c r="F8" i="6"/>
  <c r="B37" i="2"/>
  <c r="O10" i="5"/>
  <c r="I8" i="6"/>
  <c r="A37" i="2"/>
  <c r="V10" i="5"/>
  <c r="H8" i="6"/>
  <c r="C37" i="2"/>
  <c r="B40" i="2"/>
  <c r="D55" i="2"/>
  <c r="C64" i="2"/>
  <c r="D82" i="2"/>
  <c r="G14" i="1"/>
  <c r="C55" i="2"/>
  <c r="B55" i="2"/>
  <c r="C61" i="2"/>
  <c r="B82" i="2"/>
  <c r="Q11" i="5"/>
  <c r="C5" i="6"/>
  <c r="O11" i="5"/>
  <c r="I9" i="6"/>
  <c r="V11" i="5"/>
  <c r="H9" i="6"/>
  <c r="N11" i="5"/>
  <c r="G9" i="6"/>
  <c r="M11" i="5"/>
  <c r="F9" i="6"/>
  <c r="U11" i="5"/>
  <c r="E9" i="6"/>
  <c r="P11" i="5"/>
  <c r="D9" i="6"/>
  <c r="T11" i="5"/>
  <c r="S11" i="5"/>
  <c r="R11" i="5"/>
  <c r="L10" i="5"/>
  <c r="L11" i="5"/>
  <c r="B17" i="1"/>
  <c r="D64" i="2"/>
  <c r="C82" i="2"/>
  <c r="E82" i="2"/>
  <c r="G17" i="1"/>
  <c r="A82" i="2"/>
  <c r="F17" i="1"/>
  <c r="A79" i="2"/>
  <c r="E17" i="1"/>
  <c r="A86" i="2"/>
  <c r="B86" i="2"/>
  <c r="C86" i="2"/>
  <c r="D86" i="2"/>
  <c r="B43" i="2"/>
  <c r="D17" i="1"/>
  <c r="C14" i="1"/>
  <c r="T10" i="5"/>
  <c r="S10" i="5"/>
  <c r="R10" i="5"/>
  <c r="F14" i="1"/>
  <c r="E14" i="1"/>
</calcChain>
</file>

<file path=xl/sharedStrings.xml><?xml version="1.0" encoding="utf-8"?>
<sst xmlns="http://schemas.openxmlformats.org/spreadsheetml/2006/main" count="202" uniqueCount="178">
  <si>
    <t>Renditions generated</t>
  </si>
  <si>
    <t>Internal formula details</t>
  </si>
  <si>
    <t>Total assets</t>
  </si>
  <si>
    <t>Average document 
pages per asset when extract subassets enabled, otherwise 1</t>
  </si>
  <si>
    <t>TCP Overhead</t>
  </si>
  <si>
    <t>Packet loss overhead</t>
  </si>
  <si>
    <t>Total network overhead</t>
  </si>
  <si>
    <r>
      <t xml:space="preserve">Instance Disk Read Througput in </t>
    </r>
    <r>
      <rPr>
        <b/>
        <sz val="12"/>
        <color theme="1"/>
        <rFont val="Calibri"/>
        <family val="2"/>
        <scheme val="minor"/>
      </rPr>
      <t xml:space="preserve">Mbps
</t>
    </r>
    <r>
      <rPr>
        <i/>
        <sz val="12"/>
        <color theme="1"/>
        <rFont val="Calibri"/>
        <scheme val="minor"/>
      </rPr>
      <t>Note: if you have MB/s multiply your number by 8 to obtain Mbps</t>
    </r>
  </si>
  <si>
    <t>Disk IO Overhead</t>
  </si>
  <si>
    <t>Original blob total writes</t>
  </si>
  <si>
    <t>Disk IO with overhead in Mbps</t>
  </si>
  <si>
    <t>Conceptual Throughput with Disk IO in Mbps</t>
  </si>
  <si>
    <t>Is disk SSD?</t>
  </si>
  <si>
    <t>Count of asset reads as part of non-rendition workflows such as: XMP Extraction, Full Text Indexing, watermarking, or XMP writeback</t>
  </si>
  <si>
    <t>Is the S3 connector enabled?</t>
  </si>
  <si>
    <t>Count of asset writes which do NOT trigger rendition generation, replication, or full text search</t>
  </si>
  <si>
    <r>
      <t xml:space="preserve">Does the instance share it's network and disk IO?
</t>
    </r>
    <r>
      <rPr>
        <i/>
        <sz val="12"/>
        <color theme="1"/>
        <rFont val="Calibri"/>
        <scheme val="minor"/>
      </rPr>
      <t>Note: For AWS, this is TRUE unless the instance has "Dedicated EBS Bandwidth"</t>
    </r>
  </si>
  <si>
    <t>Total received data</t>
  </si>
  <si>
    <t>Total Disk IO</t>
  </si>
  <si>
    <t>Count of asset writes
which trigger worflows and replication, such as watermarking or XMP writeback (Minimum 1)</t>
  </si>
  <si>
    <r>
      <t xml:space="preserve">Instance Disk Write Througput in </t>
    </r>
    <r>
      <rPr>
        <b/>
        <sz val="12"/>
        <color theme="1"/>
        <rFont val="Calibri"/>
        <family val="2"/>
        <scheme val="minor"/>
      </rPr>
      <t xml:space="preserve">Mbps
</t>
    </r>
    <r>
      <rPr>
        <i/>
        <sz val="12"/>
        <color theme="1"/>
        <rFont val="Calibri"/>
        <scheme val="minor"/>
      </rPr>
      <t>Note: if you have MB/s multiply your number by 8 to obtain Mbps</t>
    </r>
  </si>
  <si>
    <t>Ptiff Additional IO Writes to temp files</t>
  </si>
  <si>
    <t>Ptiff Additional IO Reads from temp files</t>
  </si>
  <si>
    <t>Original blob reads on asset write trigger</t>
  </si>
  <si>
    <t>Original blob reads without asset write trigger</t>
  </si>
  <si>
    <t>Assets and workflows</t>
  </si>
  <si>
    <t>Renditions and replication</t>
  </si>
  <si>
    <t>Disk and Network</t>
  </si>
  <si>
    <t>Customer experience</t>
  </si>
  <si>
    <t>Minimum client oriented network chokepoint in mbps</t>
  </si>
  <si>
    <t>Total simultaneous workflows (Transient, non-transient, and native)</t>
  </si>
  <si>
    <t>Server Side Network Throughput with overhead 
in Mbps</t>
  </si>
  <si>
    <t>Total time uploading all assets in seconds</t>
  </si>
  <si>
    <t>Total Network IO per user</t>
  </si>
  <si>
    <t>Total Disk IO per user</t>
  </si>
  <si>
    <t>Total disk IO per user in K</t>
  </si>
  <si>
    <t>Total network IO per user in K</t>
  </si>
  <si>
    <t>Server Side Limiting throughput in KB/s</t>
  </si>
  <si>
    <t>Client side chokepoint in KB/s</t>
  </si>
  <si>
    <t>Asset size in KB</t>
  </si>
  <si>
    <t>Original blob writes in KB, local</t>
  </si>
  <si>
    <t>Original blob reads in KB, local</t>
  </si>
  <si>
    <t>PTIff size in KB (33% larger)</t>
  </si>
  <si>
    <t>Additional Ptiff rendition generation reads in KB
Note: Other reads for renditions are caluclated from the original rendition. This adds the overhead from generation off of PTIFF</t>
  </si>
  <si>
    <t>Regular renditions size in KB</t>
  </si>
  <si>
    <t>Rendition blob writes in KB, local</t>
  </si>
  <si>
    <t>Original blob reads in KB for S3</t>
  </si>
  <si>
    <t>Rendition blob reads in KB for S3</t>
  </si>
  <si>
    <t>Original blob reads in KB, replication</t>
  </si>
  <si>
    <t>Rendition blob reads in KB, replication</t>
  </si>
  <si>
    <t>disk IO data read in KB</t>
  </si>
  <si>
    <t>disk IO data written in KB</t>
  </si>
  <si>
    <t>Rendition size average in KB</t>
  </si>
  <si>
    <t>Single asset transfer time in seconds</t>
  </si>
  <si>
    <t>Client side throughput adjusted in KB/s</t>
  </si>
  <si>
    <t>Time</t>
  </si>
  <si>
    <t>Result</t>
  </si>
  <si>
    <t>Asset Ingestion</t>
  </si>
  <si>
    <t>Angry</t>
  </si>
  <si>
    <t>Displeased</t>
  </si>
  <si>
    <t>Abandoned</t>
  </si>
  <si>
    <t>Ok</t>
  </si>
  <si>
    <t>Good</t>
  </si>
  <si>
    <t>Delighted</t>
  </si>
  <si>
    <t>Ingestion user experience</t>
  </si>
  <si>
    <t>Single asset user experience</t>
  </si>
  <si>
    <t>Total asset transfer user experience</t>
  </si>
  <si>
    <t>Asset and workflow user experience</t>
  </si>
  <si>
    <t>Single Asset Upload</t>
  </si>
  <si>
    <t>Asset Transfers</t>
  </si>
  <si>
    <t>Asset and workflow complete</t>
  </si>
  <si>
    <t>disk IO data read in KB x number of ingested assets</t>
  </si>
  <si>
    <t>Total disk IO data written in KB x number of ingested assets</t>
  </si>
  <si>
    <t>disk IO in KB x number of ingested assets</t>
  </si>
  <si>
    <t>Data per asset going over network interface in KB</t>
  </si>
  <si>
    <t>data going over network interface in KB x number of assets</t>
  </si>
  <si>
    <t>Disk percentage time writing during ingestion</t>
  </si>
  <si>
    <t>Total asset transfers for a single user</t>
  </si>
  <si>
    <t>Total Disk IO for all assets for all users in K</t>
  </si>
  <si>
    <t>Total network IO for all users for all assets in K</t>
  </si>
  <si>
    <t>Disk IO for a single user single asset submission in K</t>
  </si>
  <si>
    <t>Network IO for a single asset single submission in K</t>
  </si>
  <si>
    <t>Total Disk IO for a single asset retrieval by a user in K</t>
  </si>
  <si>
    <t>network IO for a single asset retrieval by a single user in K</t>
  </si>
  <si>
    <t>Total disk IO per user for asset retrieval in K</t>
  </si>
  <si>
    <t>Total network IO per user for asset retrieval in K</t>
  </si>
  <si>
    <t>total seconds for single asset retrieval</t>
  </si>
  <si>
    <t>total seconds for single asset submission acceptance</t>
  </si>
  <si>
    <t>Instance Size</t>
  </si>
  <si>
    <t>Assets at rest</t>
  </si>
  <si>
    <t>Asset writes in flight</t>
  </si>
  <si>
    <t>Asset reads in flight</t>
  </si>
  <si>
    <t>Instance Size Suggested</t>
  </si>
  <si>
    <r>
      <t xml:space="preserve">Instance Network throughput in </t>
    </r>
    <r>
      <rPr>
        <b/>
        <sz val="12"/>
        <color theme="1"/>
        <rFont val="Calibri"/>
        <family val="2"/>
        <scheme val="minor"/>
      </rPr>
      <t xml:space="preserve">Mbps
</t>
    </r>
    <r>
      <rPr>
        <i/>
        <sz val="9"/>
        <color theme="1"/>
        <rFont val="Calibri (Body)"/>
      </rPr>
      <t>For AWS: 
 Low networking tier = 10
 Medium networking tier = 100
 High networking tier = 1,000
 10gb networking tier = 10,000</t>
    </r>
  </si>
  <si>
    <t>Answer all questions highlighted in PEACH</t>
  </si>
  <si>
    <t>Note information colored in ORANGE</t>
  </si>
  <si>
    <t>Evaluate results in RED</t>
  </si>
  <si>
    <t>Instructions:</t>
  </si>
  <si>
    <t>m4.2xlarge (1gbit disk, 1gb network, 32gb ram, 8 cores)</t>
  </si>
  <si>
    <t>m4.xlarge (750mbit disk, 1gb network, 16gb ram, 4 cores)</t>
  </si>
  <si>
    <t>m4.4xlarge(2gbit disk, 1gb network, 60gb ram, 16 cores)</t>
  </si>
  <si>
    <t>c4.8xl (4gbit disk, 10gbit network, 60gb ram, 32 cores)</t>
  </si>
  <si>
    <t>x1.32xl (10gbit disk, 10gbit network, 2tb ram, 64+ cores)</t>
  </si>
  <si>
    <t>Disk IO Reads Mbps</t>
  </si>
  <si>
    <t>Disk IO Writes Mbps</t>
  </si>
  <si>
    <t>Network IO Mbps</t>
  </si>
  <si>
    <t>CPU Cores</t>
  </si>
  <si>
    <t>Workflow Threads</t>
  </si>
  <si>
    <t>m4.10xlarge (4gbit disk, 10gbit network, 160gb ram, 40 cores)</t>
  </si>
  <si>
    <t>Total memory in GB</t>
  </si>
  <si>
    <t>Total Memory in Heap</t>
  </si>
  <si>
    <t>Assets in memory</t>
  </si>
  <si>
    <t>SSD</t>
  </si>
  <si>
    <t>Shared Disk and Network IO</t>
  </si>
  <si>
    <t>How many publish instances are configured?</t>
  </si>
  <si>
    <t>Is Dynamic Media (Pyramid Tiff) Enabled?</t>
  </si>
  <si>
    <t>Configured</t>
  </si>
  <si>
    <t>Recommended</t>
  </si>
  <si>
    <t>Text</t>
  </si>
  <si>
    <t>S3 Assets at Rest Threshold</t>
  </si>
  <si>
    <t>S3 Suggested</t>
  </si>
  <si>
    <t>Change any questions highlighted in PEACH</t>
  </si>
  <si>
    <t>Total Network IO for ingestion</t>
  </si>
  <si>
    <t>Summary:</t>
  </si>
  <si>
    <t>Index</t>
  </si>
  <si>
    <t>Actual</t>
  </si>
  <si>
    <t>Enforced</t>
  </si>
  <si>
    <t>Instance Size Enforced</t>
  </si>
  <si>
    <t>Use Recommended Server Size</t>
  </si>
  <si>
    <t>For UI Only --&gt;</t>
  </si>
  <si>
    <t>Average asset size in MB</t>
  </si>
  <si>
    <t>S3 upload threads</t>
  </si>
  <si>
    <t>S3 connector upload  threads</t>
  </si>
  <si>
    <t>Percentage of time workflow threads are using disk io</t>
  </si>
  <si>
    <t>Workflow threads reading disk IO</t>
  </si>
  <si>
    <t>Client side minimum limiting throuput adjusted in KB/s</t>
  </si>
  <si>
    <t>Server side actors</t>
  </si>
  <si>
    <t>Client side actors</t>
  </si>
  <si>
    <t>Total simultaneous actors</t>
  </si>
  <si>
    <t>Server side user throughput realized KB/s</t>
  </si>
  <si>
    <t>Actors per user. This is a rough guess of the number of server side actors that a user will have available to them.</t>
  </si>
  <si>
    <t>Workflow throuput realized KB/s</t>
  </si>
  <si>
    <t>Server side pools</t>
  </si>
  <si>
    <t>User completed upload/download + workflow in seconds</t>
  </si>
  <si>
    <t>total seconds for single asset server side actors such as worklflow, replication, s3, etc.</t>
  </si>
  <si>
    <t>User completed asset transfer in either direction time in seconds</t>
  </si>
  <si>
    <t>User completed server side actors in seconds</t>
  </si>
  <si>
    <t>User completed asset reads (server to client download) in seconds</t>
  </si>
  <si>
    <t>User completed asset writes (client to server upload) in seconds</t>
  </si>
  <si>
    <t>All users
Total time ingesting all assets
in d:h:m:s</t>
  </si>
  <si>
    <t>All users
Total disk size required</t>
  </si>
  <si>
    <t>Per user
data transferred</t>
  </si>
  <si>
    <t>Per user
single asset transfer time in d:h:m:s</t>
  </si>
  <si>
    <t>Per user
total asset transfer time in d:h:m:s</t>
  </si>
  <si>
    <t>Per user
Server side asset processing post upload in d:h:m:s</t>
  </si>
  <si>
    <t>Realized simultaneous users</t>
  </si>
  <si>
    <t>Maximum total simultaneous users during a 15 minute window</t>
  </si>
  <si>
    <t>Forecast</t>
  </si>
  <si>
    <t>Conversion from 15 minutes into displeased threshold for users</t>
  </si>
  <si>
    <t>Average total uploads per user during a 15 minute window</t>
  </si>
  <si>
    <t>Average total downloads per user during a 15 minute window</t>
  </si>
  <si>
    <t>Average simultaneous operations per user during a 15 minute window</t>
  </si>
  <si>
    <t>Simultaneous user operations</t>
  </si>
  <si>
    <t>Total operations per user</t>
  </si>
  <si>
    <t>Total workflows per asset</t>
  </si>
  <si>
    <t>Total workflows for all users</t>
  </si>
  <si>
    <t>Workflows per thread (with IO)</t>
  </si>
  <si>
    <t>in d:h:m:s</t>
  </si>
  <si>
    <t>Baseline --&gt;</t>
  </si>
  <si>
    <t>Asset size MB</t>
  </si>
  <si>
    <t>Workflow to asset upload steps</t>
  </si>
  <si>
    <t>Asset steps to transfer steps</t>
  </si>
  <si>
    <t>Comparable throughput performance to next largest model</t>
  </si>
  <si>
    <t>Row:</t>
  </si>
  <si>
    <t>Displeased Threshold Steps</t>
  </si>
  <si>
    <t>Displeased Threshold in seconds</t>
  </si>
  <si>
    <t>Displeased Threshold in d:h:m:s</t>
  </si>
  <si>
    <t>Simultaneous client side actors per 15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</si>
</sst>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999999999999]0.00,,,,&quot; TB&quot;;[&gt;999999999]0.00,,,&quot; GB&quot;;0.00,,&quot; MB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9"/>
      <color theme="1"/>
      <name val="Calibri (Body)"/>
    </font>
    <font>
      <sz val="13"/>
      <color rgb="FF333333"/>
      <name val="Verdana"/>
    </font>
    <font>
      <sz val="8"/>
      <name val="Calibri"/>
      <family val="2"/>
      <scheme val="minor"/>
    </font>
    <font>
      <sz val="12"/>
      <color theme="1"/>
      <name val="Web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1" applyNumberFormat="0" applyAlignment="0" applyProtection="0"/>
    <xf numFmtId="0" fontId="9" fillId="2" borderId="3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3" fontId="2" fillId="2" borderId="1" xfId="1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2" fillId="2" borderId="1" xfId="1"/>
    <xf numFmtId="9" fontId="2" fillId="2" borderId="1" xfId="1" applyNumberFormat="1"/>
    <xf numFmtId="10" fontId="2" fillId="2" borderId="1" xfId="1" applyNumberFormat="1"/>
    <xf numFmtId="0" fontId="0" fillId="3" borderId="2" xfId="2" applyFont="1"/>
    <xf numFmtId="0" fontId="3" fillId="3" borderId="2" xfId="2" applyFont="1"/>
    <xf numFmtId="3" fontId="2" fillId="2" borderId="1" xfId="1" applyNumberFormat="1" applyAlignment="1">
      <alignment horizontal="right"/>
    </xf>
    <xf numFmtId="49" fontId="0" fillId="0" borderId="0" xfId="0" applyNumberFormat="1" applyAlignment="1">
      <alignment wrapText="1"/>
    </xf>
    <xf numFmtId="0" fontId="0" fillId="0" borderId="0" xfId="0"/>
    <xf numFmtId="164" fontId="2" fillId="2" borderId="1" xfId="1" applyNumberFormat="1"/>
    <xf numFmtId="3" fontId="8" fillId="7" borderId="1" xfId="6" applyNumberFormat="1"/>
    <xf numFmtId="0" fontId="8" fillId="7" borderId="1" xfId="6"/>
    <xf numFmtId="0" fontId="4" fillId="0" borderId="0" xfId="0" applyFont="1"/>
    <xf numFmtId="0" fontId="2" fillId="2" borderId="1" xfId="1" applyAlignment="1">
      <alignment horizontal="right"/>
    </xf>
    <xf numFmtId="0" fontId="7" fillId="5" borderId="0" xfId="4"/>
    <xf numFmtId="0" fontId="6" fillId="4" borderId="0" xfId="3"/>
    <xf numFmtId="0" fontId="3" fillId="6" borderId="0" xfId="5"/>
    <xf numFmtId="3" fontId="0" fillId="3" borderId="2" xfId="2" applyNumberFormat="1" applyFont="1"/>
    <xf numFmtId="0" fontId="12" fillId="2" borderId="3" xfId="7" applyFont="1"/>
    <xf numFmtId="0" fontId="6" fillId="4" borderId="2" xfId="3" applyBorder="1"/>
    <xf numFmtId="0" fontId="6" fillId="3" borderId="2" xfId="2" applyFont="1"/>
    <xf numFmtId="1" fontId="0" fillId="0" borderId="0" xfId="0" applyNumberFormat="1"/>
    <xf numFmtId="0" fontId="12" fillId="2" borderId="1" xfId="1" applyFont="1" applyAlignment="1">
      <alignment wrapText="1"/>
    </xf>
    <xf numFmtId="164" fontId="8" fillId="7" borderId="1" xfId="6" applyNumberFormat="1"/>
    <xf numFmtId="1" fontId="0" fillId="3" borderId="2" xfId="2" applyNumberFormat="1" applyFont="1"/>
    <xf numFmtId="0" fontId="14" fillId="3" borderId="2" xfId="2" applyFont="1"/>
    <xf numFmtId="0" fontId="16" fillId="0" borderId="0" xfId="0" applyFont="1"/>
    <xf numFmtId="0" fontId="8" fillId="7" borderId="1" xfId="6" applyAlignment="1">
      <alignment wrapText="1"/>
    </xf>
    <xf numFmtId="0" fontId="4" fillId="0" borderId="0" xfId="0" applyFont="1" applyAlignment="1">
      <alignment wrapText="1"/>
    </xf>
    <xf numFmtId="1" fontId="8" fillId="7" borderId="1" xfId="6" applyNumberFormat="1"/>
    <xf numFmtId="9" fontId="8" fillId="7" borderId="1" xfId="6" applyNumberFormat="1"/>
    <xf numFmtId="1" fontId="2" fillId="2" borderId="1" xfId="1" applyNumberFormat="1"/>
    <xf numFmtId="3" fontId="2" fillId="3" borderId="2" xfId="2" applyNumberFormat="1" applyFont="1"/>
    <xf numFmtId="1" fontId="0" fillId="0" borderId="0" xfId="0" applyNumberFormat="1" applyAlignment="1">
      <alignment wrapText="1"/>
    </xf>
    <xf numFmtId="4" fontId="2" fillId="2" borderId="1" xfId="1" applyNumberFormat="1"/>
    <xf numFmtId="3" fontId="8" fillId="7" borderId="0" xfId="6" applyNumberFormat="1" applyBorder="1"/>
    <xf numFmtId="0" fontId="0" fillId="0" borderId="0" xfId="0" applyFill="1" applyBorder="1"/>
    <xf numFmtId="49" fontId="0" fillId="3" borderId="2" xfId="2" applyNumberFormat="1" applyFont="1" applyAlignment="1">
      <alignment wrapText="1"/>
    </xf>
    <xf numFmtId="0" fontId="2" fillId="3" borderId="2" xfId="2" applyFont="1"/>
    <xf numFmtId="0" fontId="0" fillId="3" borderId="2" xfId="2" applyFont="1" applyAlignment="1">
      <alignment wrapText="1"/>
    </xf>
  </cellXfs>
  <cellStyles count="14">
    <cellStyle name="Bad" xfId="4" builtinId="27"/>
    <cellStyle name="Calculation" xfId="1" builtinId="22"/>
    <cellStyle name="Followed Hyperlink" xfId="9" builtinId="9" hidden="1"/>
    <cellStyle name="Followed Hyperlink" xfId="11" builtinId="9" hidden="1"/>
    <cellStyle name="Followed Hyperlink" xfId="13" builtinId="9" hidden="1"/>
    <cellStyle name="Good" xfId="3" builtinId="26"/>
    <cellStyle name="Hyperlink" xfId="8" builtinId="8" hidden="1"/>
    <cellStyle name="Hyperlink" xfId="10" builtinId="8" hidden="1"/>
    <cellStyle name="Hyperlink" xfId="12" builtinId="8" hidden="1"/>
    <cellStyle name="Input" xfId="6" builtinId="20"/>
    <cellStyle name="Neutral" xfId="5" builtinId="28"/>
    <cellStyle name="Normal" xfId="0" builtinId="0"/>
    <cellStyle name="Note" xfId="2" builtinId="10"/>
    <cellStyle name="Output" xfId="7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5"/>
  <sheetViews>
    <sheetView tabSelected="1" showRuler="0" workbookViewId="0">
      <selection activeCell="D11" sqref="D11"/>
    </sheetView>
  </sheetViews>
  <sheetFormatPr baseColWidth="10" defaultRowHeight="16" x14ac:dyDescent="0.2"/>
  <cols>
    <col min="1" max="1" width="3.1640625" style="12" customWidth="1"/>
    <col min="2" max="2" width="28.83203125" style="12" customWidth="1"/>
    <col min="3" max="3" width="28.33203125" customWidth="1"/>
    <col min="4" max="4" width="25.6640625" customWidth="1"/>
    <col min="5" max="5" width="33.83203125" customWidth="1"/>
    <col min="6" max="6" width="32.6640625" bestFit="1" customWidth="1"/>
    <col min="7" max="7" width="33.33203125" customWidth="1"/>
    <col min="8" max="8" width="3.33203125" customWidth="1"/>
    <col min="9" max="9" width="22.83203125" style="1" bestFit="1" customWidth="1"/>
    <col min="10" max="10" width="37.83203125" bestFit="1" customWidth="1"/>
    <col min="11" max="11" width="32.1640625" bestFit="1" customWidth="1"/>
    <col min="12" max="12" width="19" customWidth="1"/>
    <col min="14" max="14" width="37.83203125" bestFit="1" customWidth="1"/>
    <col min="15" max="15" width="31.83203125" bestFit="1" customWidth="1"/>
    <col min="16" max="16" width="20.6640625" bestFit="1" customWidth="1"/>
  </cols>
  <sheetData>
    <row r="1" spans="1:9" s="12" customFormat="1" x14ac:dyDescent="0.2">
      <c r="B1" s="16" t="s">
        <v>97</v>
      </c>
      <c r="C1" s="15" t="s">
        <v>94</v>
      </c>
      <c r="D1" s="15"/>
      <c r="E1" s="5" t="s">
        <v>95</v>
      </c>
      <c r="F1" s="22" t="s">
        <v>96</v>
      </c>
      <c r="I1" s="1"/>
    </row>
    <row r="2" spans="1:9" s="12" customFormat="1" x14ac:dyDescent="0.2">
      <c r="A2" s="8"/>
      <c r="B2" s="8"/>
      <c r="C2" s="8"/>
      <c r="D2" s="8"/>
      <c r="E2" s="8"/>
      <c r="F2" s="8"/>
      <c r="G2" s="8"/>
      <c r="H2" s="8"/>
    </row>
    <row r="3" spans="1:9" ht="65" customHeight="1" x14ac:dyDescent="0.2">
      <c r="A3" s="8"/>
      <c r="B3" s="16" t="s">
        <v>25</v>
      </c>
      <c r="C3" s="11" t="s">
        <v>2</v>
      </c>
      <c r="D3" s="11" t="s">
        <v>130</v>
      </c>
      <c r="E3" s="11" t="s">
        <v>19</v>
      </c>
      <c r="F3" s="11" t="s">
        <v>15</v>
      </c>
      <c r="G3" s="11" t="s">
        <v>13</v>
      </c>
      <c r="H3" s="8"/>
    </row>
    <row r="4" spans="1:9" x14ac:dyDescent="0.2">
      <c r="A4" s="8"/>
      <c r="B4" s="8"/>
      <c r="C4" s="14">
        <v>10000</v>
      </c>
      <c r="D4" s="14">
        <v>100</v>
      </c>
      <c r="E4" s="15">
        <v>1</v>
      </c>
      <c r="F4" s="15">
        <v>0</v>
      </c>
      <c r="G4" s="15">
        <v>1</v>
      </c>
      <c r="H4" s="8"/>
    </row>
    <row r="5" spans="1:9" x14ac:dyDescent="0.2">
      <c r="A5" s="8"/>
      <c r="B5" s="8"/>
      <c r="C5" s="9"/>
      <c r="D5" s="9"/>
      <c r="E5" s="9"/>
      <c r="F5" s="9"/>
      <c r="G5" s="9"/>
      <c r="H5" s="8"/>
    </row>
    <row r="6" spans="1:9" ht="48" x14ac:dyDescent="0.2">
      <c r="A6" s="8"/>
      <c r="B6" s="16" t="s">
        <v>26</v>
      </c>
      <c r="C6" s="3" t="s">
        <v>3</v>
      </c>
      <c r="D6" s="3" t="s">
        <v>0</v>
      </c>
      <c r="E6" s="4" t="s">
        <v>52</v>
      </c>
      <c r="F6" s="3" t="s">
        <v>115</v>
      </c>
      <c r="G6" s="3" t="s">
        <v>114</v>
      </c>
      <c r="H6" s="21"/>
      <c r="I6"/>
    </row>
    <row r="7" spans="1:9" x14ac:dyDescent="0.2">
      <c r="A7" s="8"/>
      <c r="B7" s="8"/>
      <c r="C7" s="15">
        <v>1</v>
      </c>
      <c r="D7" s="15">
        <v>4</v>
      </c>
      <c r="E7" s="15">
        <v>100</v>
      </c>
      <c r="F7" s="15" t="b">
        <v>0</v>
      </c>
      <c r="G7" s="15">
        <v>0</v>
      </c>
      <c r="H7" s="21"/>
    </row>
    <row r="8" spans="1:9" x14ac:dyDescent="0.2">
      <c r="A8" s="8"/>
      <c r="B8" s="8"/>
      <c r="C8" s="8"/>
      <c r="D8" s="8"/>
      <c r="E8" s="8"/>
      <c r="F8" s="8"/>
      <c r="G8" s="8"/>
      <c r="H8" s="21"/>
    </row>
    <row r="9" spans="1:9" ht="48" x14ac:dyDescent="0.2">
      <c r="A9" s="8"/>
      <c r="B9" s="16" t="s">
        <v>28</v>
      </c>
      <c r="C9" s="11" t="s">
        <v>29</v>
      </c>
      <c r="D9" s="11" t="s">
        <v>156</v>
      </c>
      <c r="E9" s="11" t="s">
        <v>159</v>
      </c>
      <c r="F9" s="11" t="s">
        <v>160</v>
      </c>
      <c r="G9" s="11" t="s">
        <v>161</v>
      </c>
      <c r="H9" s="24"/>
    </row>
    <row r="10" spans="1:9" x14ac:dyDescent="0.2">
      <c r="A10" s="8"/>
      <c r="B10" s="8"/>
      <c r="C10" s="14">
        <v>10000</v>
      </c>
      <c r="D10" s="15">
        <v>25</v>
      </c>
      <c r="E10" s="14">
        <v>1</v>
      </c>
      <c r="F10" s="14">
        <v>5</v>
      </c>
      <c r="G10" s="39">
        <v>1</v>
      </c>
      <c r="H10" s="24"/>
    </row>
    <row r="11" spans="1:9" x14ac:dyDescent="0.2">
      <c r="A11" s="23"/>
      <c r="B11" s="23"/>
      <c r="C11" s="23"/>
      <c r="D11" s="23"/>
      <c r="E11" s="23"/>
      <c r="F11" s="23"/>
      <c r="G11" s="23"/>
      <c r="H11" s="23"/>
    </row>
    <row r="12" spans="1:9" s="12" customFormat="1" x14ac:dyDescent="0.2">
      <c r="A12" s="23"/>
      <c r="B12" s="16" t="s">
        <v>157</v>
      </c>
      <c r="H12" s="23"/>
      <c r="I12" s="1"/>
    </row>
    <row r="13" spans="1:9" ht="48" x14ac:dyDescent="0.2">
      <c r="A13" s="23"/>
      <c r="B13" s="11" t="s">
        <v>150</v>
      </c>
      <c r="C13" s="11" t="s">
        <v>149</v>
      </c>
      <c r="D13" s="11" t="s">
        <v>151</v>
      </c>
      <c r="E13" s="11" t="s">
        <v>152</v>
      </c>
      <c r="F13" s="11" t="s">
        <v>153</v>
      </c>
      <c r="G13" s="11" t="s">
        <v>154</v>
      </c>
      <c r="H13" s="23"/>
    </row>
    <row r="14" spans="1:9" x14ac:dyDescent="0.2">
      <c r="A14" s="23"/>
      <c r="B14" s="13">
        <f>'Server Recommendation Index'!G9</f>
        <v>1004000000000</v>
      </c>
      <c r="C14" s="10" t="str">
        <f>INT('Internal Formula Details'!B43/86400)&amp;":"&amp;TEXT('Internal Formula Details'!B43/86400,"hh:mm:ss")</f>
        <v>0:17:47:23</v>
      </c>
      <c r="D14" s="13">
        <f>SUM((E10+F10)*D4)*1000*1000</f>
        <v>600000000</v>
      </c>
      <c r="E14" s="17" t="str">
        <f>INT('Internal Formula Details'!A79/86400)&amp;":"&amp;TEXT('Internal Formula Details'!A79/86400,"hh:mm:ss")</f>
        <v>0:00:00:14</v>
      </c>
      <c r="F14" s="17" t="str">
        <f>INT('Internal Formula Details'!A82/86400)&amp;":"&amp;TEXT('Internal Formula Details'!A82/86400,"hh:mm:ss")</f>
        <v>0:00:01:22</v>
      </c>
      <c r="G14" s="17" t="str">
        <f>INT('Internal Formula Details'!D82/86400)&amp;":"&amp;TEXT('Internal Formula Details'!D82/86400,"hh:mm:ss")</f>
        <v>0:00:04:02</v>
      </c>
      <c r="H14" s="23"/>
    </row>
    <row r="15" spans="1:9" x14ac:dyDescent="0.2">
      <c r="A15" s="23"/>
      <c r="B15" s="23"/>
      <c r="C15" s="23"/>
      <c r="D15" s="23"/>
      <c r="E15" s="23"/>
      <c r="F15" s="23"/>
      <c r="G15" s="23"/>
      <c r="H15" s="23"/>
    </row>
    <row r="16" spans="1:9" x14ac:dyDescent="0.2">
      <c r="A16" s="23"/>
      <c r="B16" s="16" t="s">
        <v>92</v>
      </c>
      <c r="C16" s="32" t="s">
        <v>127</v>
      </c>
      <c r="D16" s="16" t="s">
        <v>64</v>
      </c>
      <c r="E16" s="16" t="s">
        <v>65</v>
      </c>
      <c r="F16" s="16" t="s">
        <v>66</v>
      </c>
      <c r="G16" s="16" t="s">
        <v>67</v>
      </c>
      <c r="H16" s="23"/>
    </row>
    <row r="17" spans="1:9" ht="32" x14ac:dyDescent="0.2">
      <c r="A17" s="23"/>
      <c r="B17" s="26" t="str">
        <f>'Server Recommendation Index'!L11</f>
        <v>m4.xlarge (750mbit disk, 1gb network, 16gb ram, 4 cores)</v>
      </c>
      <c r="C17" s="31" t="s">
        <v>128</v>
      </c>
      <c r="D17" s="22" t="str">
        <f>IF('Internal Formula Details'!B43 &gt;= 'User Experience KPI'!A3, 'User Experience KPI'!C3,
IF('Internal Formula Details'!B43 &gt;= 'User Experience KPI'!A4, 'User Experience KPI'!C4,
IF('Internal Formula Details'!B43 &gt;= 'User Experience KPI'!A5, 'User Experience KPI'!C5,
IF('Internal Formula Details'!B43 &gt;= 'User Experience KPI'!A6, 'User Experience KPI'!C6,
IF('Internal Formula Details'!B43 &gt;= 'User Experience KPI'!A7, 'User Experience KPI'!C7,
IF('Internal Formula Details'!B43 &gt;= 'User Experience KPI'!A8, 'User Experience KPI'!C8,
"ERROR"))))))</f>
        <v>Delighted</v>
      </c>
      <c r="E17" s="22" t="str">
        <f>IF('Internal Formula Details'!A79 &gt;= 'User Experience KPI'!E3, 'User Experience KPI'!G3,
IF('Internal Formula Details'!A79 &gt;= 'User Experience KPI'!E4, 'User Experience KPI'!G4,
IF('Internal Formula Details'!A79 &gt;= 'User Experience KPI'!E5, 'User Experience KPI'!G5,
IF('Internal Formula Details'!A79 &gt;= 'User Experience KPI'!E6, 'User Experience KPI'!G6,
IF('Internal Formula Details'!A79 &gt;= 'User Experience KPI'!E7, 'User Experience KPI'!G7,
IF('Internal Formula Details'!A79 &gt;= 'User Experience KPI'!E8, 'User Experience KPI'!G8,
"ERROR"))))))</f>
        <v>Delighted</v>
      </c>
      <c r="F17" s="22" t="str">
        <f>IF('Internal Formula Details'!A82 &gt;= 'User Experience KPI'!I3, 'User Experience KPI'!K3,
IF('Internal Formula Details'!A82 &gt;= 'User Experience KPI'!I4, 'User Experience KPI'!K4,
IF('Internal Formula Details'!A82 &gt;= 'User Experience KPI'!I5, 'User Experience KPI'!K5,
IF('Internal Formula Details'!A82 &gt;= 'User Experience KPI'!I6, 'User Experience KPI'!K6,
IF('Internal Formula Details'!A82 &gt;= 'User Experience KPI'!I7, 'User Experience KPI'!K7,
IF('Internal Formula Details'!A82 &gt;= 'User Experience KPI'!I8, 'User Experience KPI'!K8,
"ERROR"))))))</f>
        <v>Delighted</v>
      </c>
      <c r="G17" s="22" t="str">
        <f>IF('Internal Formula Details'!E82 &gt;= 'User Experience KPI'!M3, 'User Experience KPI'!O3,
IF('Internal Formula Details'!E82 &gt;= 'User Experience KPI'!M4, 'User Experience KPI'!O4,
IF('Internal Formula Details'!E82 &gt;= 'User Experience KPI'!M5, 'User Experience KPI'!O5,
IF('Internal Formula Details'!E82 &gt;= 'User Experience KPI'!M6, 'User Experience KPI'!O6,
IF('Internal Formula Details'!E82 &gt;= 'User Experience KPI'!M7, 'User Experience KPI'!O7,
IF('Internal Formula Details'!E82 &gt;= 'User Experience KPI'!M8, 'User Experience KPI'!O8,
"ERROR"))))))</f>
        <v>Delighted</v>
      </c>
      <c r="H17" s="23"/>
    </row>
    <row r="18" spans="1:9" x14ac:dyDescent="0.2">
      <c r="A18" s="23"/>
      <c r="B18" s="23"/>
      <c r="C18" s="23"/>
      <c r="D18" s="23"/>
      <c r="E18" s="23"/>
      <c r="F18" s="23"/>
      <c r="G18" s="23"/>
      <c r="H18" s="23"/>
    </row>
    <row r="25" spans="1:9" x14ac:dyDescent="0.2">
      <c r="B25"/>
      <c r="H25" s="1"/>
      <c r="I25"/>
    </row>
  </sheetData>
  <phoneticPr fontId="15" type="noConversion"/>
  <pageMargins left="0.7" right="0.7" top="0.75" bottom="0.75" header="0.3" footer="0.3"/>
  <pageSetup scale="6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'Server Recommendation Index'!$L$3:$L$9</xm:f>
          </x14:formula1>
          <xm:sqref>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Ruler="0" workbookViewId="0">
      <selection activeCell="C4" sqref="C4"/>
    </sheetView>
  </sheetViews>
  <sheetFormatPr baseColWidth="10" defaultRowHeight="16" x14ac:dyDescent="0.2"/>
  <cols>
    <col min="1" max="1" width="11" customWidth="1"/>
    <col min="2" max="2" width="23" bestFit="1" customWidth="1"/>
    <col min="6" max="6" width="21" customWidth="1"/>
    <col min="7" max="7" width="21.33203125" customWidth="1"/>
    <col min="8" max="8" width="24" customWidth="1"/>
    <col min="9" max="9" width="22" customWidth="1"/>
  </cols>
  <sheetData>
    <row r="1" spans="1:10" x14ac:dyDescent="0.2">
      <c r="A1" s="12"/>
      <c r="B1" s="16" t="s">
        <v>97</v>
      </c>
      <c r="C1" s="15" t="s">
        <v>121</v>
      </c>
      <c r="D1" s="15"/>
      <c r="E1" s="15"/>
      <c r="F1" s="15"/>
      <c r="G1" s="12"/>
      <c r="H1" s="12"/>
      <c r="I1" s="12"/>
      <c r="J1" s="12"/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128" x14ac:dyDescent="0.2">
      <c r="A3" s="8"/>
      <c r="B3" s="16" t="s">
        <v>25</v>
      </c>
      <c r="C3" s="11" t="s">
        <v>30</v>
      </c>
      <c r="J3" s="8"/>
    </row>
    <row r="4" spans="1:10" x14ac:dyDescent="0.2">
      <c r="A4" s="8"/>
      <c r="B4" s="8" t="s">
        <v>116</v>
      </c>
      <c r="C4" s="14">
        <f>'Server Recommendation Index'!Q10</f>
        <v>3.3425925925925921</v>
      </c>
      <c r="D4" s="15"/>
      <c r="E4" s="15"/>
      <c r="F4" s="15"/>
      <c r="G4" s="15"/>
      <c r="H4" s="15"/>
      <c r="I4" s="15"/>
      <c r="J4" s="8"/>
    </row>
    <row r="5" spans="1:10" x14ac:dyDescent="0.2">
      <c r="A5" s="8"/>
      <c r="B5" s="8" t="s">
        <v>117</v>
      </c>
      <c r="C5" s="2">
        <f>'Server Recommendation Index'!Q11</f>
        <v>3.3425925925925921</v>
      </c>
      <c r="D5" s="8"/>
      <c r="E5" s="9"/>
      <c r="F5" s="8"/>
      <c r="G5" s="9"/>
      <c r="H5" s="8"/>
      <c r="I5" s="9"/>
      <c r="J5" s="8"/>
    </row>
    <row r="6" spans="1:10" s="12" customFormat="1" x14ac:dyDescent="0.2">
      <c r="A6" s="8"/>
      <c r="B6" s="8"/>
      <c r="C6" s="36"/>
      <c r="D6" s="8"/>
      <c r="E6" s="9"/>
      <c r="F6" s="8"/>
      <c r="G6" s="9"/>
      <c r="H6" s="8"/>
      <c r="I6" s="9"/>
      <c r="J6" s="8"/>
    </row>
    <row r="7" spans="1:10" ht="104" customHeight="1" x14ac:dyDescent="0.2">
      <c r="A7" s="8"/>
      <c r="B7" s="16" t="s">
        <v>27</v>
      </c>
      <c r="C7" s="3" t="s">
        <v>14</v>
      </c>
      <c r="D7" s="3" t="s">
        <v>132</v>
      </c>
      <c r="E7" s="3" t="s">
        <v>12</v>
      </c>
      <c r="F7" s="4" t="s">
        <v>7</v>
      </c>
      <c r="G7" s="4" t="s">
        <v>20</v>
      </c>
      <c r="H7" s="3" t="s">
        <v>16</v>
      </c>
      <c r="I7" s="3" t="s">
        <v>93</v>
      </c>
      <c r="J7" s="8"/>
    </row>
    <row r="8" spans="1:10" x14ac:dyDescent="0.2">
      <c r="A8" s="8"/>
      <c r="B8" s="8" t="s">
        <v>116</v>
      </c>
      <c r="C8" s="15" t="b">
        <f>'Server Recommendation Index'!W10</f>
        <v>0</v>
      </c>
      <c r="D8" s="14">
        <f>'Server Recommendation Index'!P10</f>
        <v>1.6712962962962961</v>
      </c>
      <c r="E8" s="15" t="b">
        <f>'Server Recommendation Index'!U10</f>
        <v>1</v>
      </c>
      <c r="F8" s="14">
        <f>'Server Recommendation Index'!M10</f>
        <v>750</v>
      </c>
      <c r="G8" s="14">
        <f>'Server Recommendation Index'!N10</f>
        <v>750</v>
      </c>
      <c r="H8" s="15" t="b">
        <f>'Server Recommendation Index'!V10</f>
        <v>0</v>
      </c>
      <c r="I8" s="14">
        <f>'Server Recommendation Index'!O10</f>
        <v>1000</v>
      </c>
      <c r="J8" s="8"/>
    </row>
    <row r="9" spans="1:10" s="12" customFormat="1" x14ac:dyDescent="0.2">
      <c r="A9" s="8"/>
      <c r="B9" s="8" t="s">
        <v>117</v>
      </c>
      <c r="C9" s="5" t="b">
        <f>'Server Recommendation Index'!W11</f>
        <v>0</v>
      </c>
      <c r="D9" s="2">
        <f>'Server Recommendation Index'!P11</f>
        <v>1.6712962962962961</v>
      </c>
      <c r="E9" s="5" t="b">
        <f>'Server Recommendation Index'!U11</f>
        <v>1</v>
      </c>
      <c r="F9" s="2">
        <f>'Server Recommendation Index'!M11</f>
        <v>750</v>
      </c>
      <c r="G9" s="2">
        <f>'Server Recommendation Index'!N11</f>
        <v>750</v>
      </c>
      <c r="H9" s="5" t="b">
        <f>'Server Recommendation Index'!V11</f>
        <v>0</v>
      </c>
      <c r="I9" s="2">
        <f>'Server Recommendation Index'!O11</f>
        <v>1000</v>
      </c>
      <c r="J9" s="8"/>
    </row>
    <row r="10" spans="1:10" x14ac:dyDescent="0.2">
      <c r="A10" s="8"/>
      <c r="B10" s="24"/>
      <c r="C10" s="24"/>
      <c r="D10" s="24"/>
      <c r="E10" s="24"/>
      <c r="F10" s="24"/>
      <c r="G10" s="24"/>
      <c r="H10" s="24"/>
      <c r="I10" s="24"/>
      <c r="J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Ruler="0" workbookViewId="0">
      <selection activeCell="A15" sqref="A15:XFD15"/>
    </sheetView>
  </sheetViews>
  <sheetFormatPr baseColWidth="10" defaultRowHeight="16" x14ac:dyDescent="0.2"/>
  <cols>
    <col min="1" max="1" width="13.5" bestFit="1" customWidth="1"/>
    <col min="2" max="2" width="13.5" style="12" customWidth="1"/>
    <col min="4" max="4" width="12.1640625" bestFit="1" customWidth="1"/>
    <col min="6" max="6" width="10.83203125" style="12"/>
    <col min="10" max="10" width="10.83203125" style="12"/>
    <col min="11" max="11" width="12.1640625" bestFit="1" customWidth="1"/>
    <col min="14" max="14" width="10.83203125" style="12"/>
    <col min="18" max="18" width="26.6640625" bestFit="1" customWidth="1"/>
    <col min="22" max="22" width="12.1640625" bestFit="1" customWidth="1"/>
    <col min="23" max="23" width="11" customWidth="1"/>
  </cols>
  <sheetData>
    <row r="1" spans="1:25" s="12" customFormat="1" ht="48" x14ac:dyDescent="0.2">
      <c r="A1" s="12" t="s">
        <v>57</v>
      </c>
      <c r="E1" s="12" t="s">
        <v>68</v>
      </c>
      <c r="I1" s="12" t="s">
        <v>69</v>
      </c>
      <c r="M1" s="12" t="s">
        <v>70</v>
      </c>
      <c r="R1" s="12" t="s">
        <v>170</v>
      </c>
      <c r="S1" s="8" t="s">
        <v>174</v>
      </c>
      <c r="T1" s="8"/>
      <c r="U1" s="8"/>
      <c r="V1" s="8" t="s">
        <v>169</v>
      </c>
      <c r="W1" s="43" t="s">
        <v>175</v>
      </c>
      <c r="X1" s="43" t="s">
        <v>176</v>
      </c>
      <c r="Y1" s="8"/>
    </row>
    <row r="2" spans="1:25" x14ac:dyDescent="0.2">
      <c r="A2" t="s">
        <v>55</v>
      </c>
      <c r="B2" s="3" t="s">
        <v>167</v>
      </c>
      <c r="C2" t="s">
        <v>56</v>
      </c>
      <c r="E2" s="12" t="s">
        <v>55</v>
      </c>
      <c r="F2" s="3" t="s">
        <v>167</v>
      </c>
      <c r="G2" s="12" t="s">
        <v>56</v>
      </c>
      <c r="I2" s="12" t="s">
        <v>55</v>
      </c>
      <c r="J2" s="3" t="s">
        <v>167</v>
      </c>
      <c r="K2" s="12" t="s">
        <v>56</v>
      </c>
      <c r="M2" s="12" t="s">
        <v>55</v>
      </c>
      <c r="N2" s="3" t="s">
        <v>167</v>
      </c>
      <c r="O2" s="12" t="s">
        <v>56</v>
      </c>
      <c r="R2" s="15">
        <v>4</v>
      </c>
      <c r="S2" s="8"/>
      <c r="T2" s="8"/>
      <c r="U2" s="8"/>
      <c r="V2" s="2">
        <f t="shared" ref="V2:V14" si="0">((V3 + 1)*2)-1</f>
        <v>819199</v>
      </c>
      <c r="W2" s="2">
        <f t="shared" ref="W2:W14" si="1">((W3-1)*2)+1</f>
        <v>737281</v>
      </c>
      <c r="X2" s="2" t="str">
        <f t="shared" ref="X2:X23" si="2">INT(W2/86400)&amp;":"&amp;TEXT(W2/86400,"hh:mm:ss")</f>
        <v>8:12:48:01</v>
      </c>
      <c r="Y2" s="8"/>
    </row>
    <row r="3" spans="1:25" x14ac:dyDescent="0.2">
      <c r="A3" s="14">
        <v>1728001</v>
      </c>
      <c r="B3" s="2" t="str">
        <f t="shared" ref="B3:B8" si="3">INT(A3/86400)&amp;":"&amp;TEXT(A3/86400,"hh:mm:ss")</f>
        <v>20:00:00:01</v>
      </c>
      <c r="C3" s="18" t="s">
        <v>60</v>
      </c>
      <c r="D3" s="12"/>
      <c r="E3" s="2">
        <f>((E4-1)*2)+1</f>
        <v>361</v>
      </c>
      <c r="F3" s="2" t="str">
        <f t="shared" ref="F3:F8" si="4">INT(E3/86400)&amp;":"&amp;TEXT(E3/86400,"hh:mm:ss")</f>
        <v>0:00:06:01</v>
      </c>
      <c r="G3" s="18" t="str">
        <f t="shared" ref="G3:G8" si="5">C3</f>
        <v>Abandoned</v>
      </c>
      <c r="I3" s="2">
        <f>((I4-1)*2)+1</f>
        <v>1441</v>
      </c>
      <c r="J3" s="2" t="str">
        <f t="shared" ref="J3:J8" si="6">INT(I3/86400)&amp;":"&amp;TEXT(I3/86400,"hh:mm:ss")</f>
        <v>0:00:24:01</v>
      </c>
      <c r="K3" s="18" t="str">
        <f>G3</f>
        <v>Abandoned</v>
      </c>
      <c r="M3" s="2">
        <f>((M4-1)*2)+1</f>
        <v>5761</v>
      </c>
      <c r="N3" s="2" t="str">
        <f t="shared" ref="N3:N8" si="7">INT(M3/86400)&amp;":"&amp;TEXT(M3/86400,"hh:mm:ss")</f>
        <v>0:01:36:01</v>
      </c>
      <c r="O3" s="18" t="s">
        <v>60</v>
      </c>
      <c r="S3" s="8"/>
      <c r="T3" s="8"/>
      <c r="U3" s="8"/>
      <c r="V3" s="2">
        <f t="shared" si="0"/>
        <v>409599</v>
      </c>
      <c r="W3" s="2">
        <f t="shared" si="1"/>
        <v>368641</v>
      </c>
      <c r="X3" s="2" t="str">
        <f t="shared" si="2"/>
        <v>4:06:24:01</v>
      </c>
      <c r="Y3" s="8"/>
    </row>
    <row r="4" spans="1:25" x14ac:dyDescent="0.2">
      <c r="A4" s="14">
        <v>1209601</v>
      </c>
      <c r="B4" s="2" t="str">
        <f t="shared" si="3"/>
        <v>14:00:00:01</v>
      </c>
      <c r="C4" s="18" t="s">
        <v>58</v>
      </c>
      <c r="D4" s="12"/>
      <c r="E4" s="2">
        <f>((E5-1)*2)+1</f>
        <v>181</v>
      </c>
      <c r="F4" s="2" t="str">
        <f t="shared" si="4"/>
        <v>0:00:03:01</v>
      </c>
      <c r="G4" s="18" t="str">
        <f t="shared" si="5"/>
        <v>Angry</v>
      </c>
      <c r="I4" s="2">
        <f>((I5-1)*2)+1</f>
        <v>721</v>
      </c>
      <c r="J4" s="2" t="str">
        <f t="shared" si="6"/>
        <v>0:00:12:01</v>
      </c>
      <c r="K4" s="18" t="str">
        <f>G4</f>
        <v>Angry</v>
      </c>
      <c r="M4" s="2">
        <f>((M5-1)*2)+1</f>
        <v>2881</v>
      </c>
      <c r="N4" s="2" t="str">
        <f t="shared" si="7"/>
        <v>0:00:48:01</v>
      </c>
      <c r="O4" s="18" t="str">
        <f>K4</f>
        <v>Angry</v>
      </c>
      <c r="R4" t="s">
        <v>171</v>
      </c>
      <c r="S4" s="8"/>
      <c r="T4" s="8"/>
      <c r="U4" s="8"/>
      <c r="V4" s="2">
        <f t="shared" si="0"/>
        <v>204799</v>
      </c>
      <c r="W4" s="2">
        <f t="shared" si="1"/>
        <v>184321</v>
      </c>
      <c r="X4" s="2" t="str">
        <f t="shared" si="2"/>
        <v>2:03:12:01</v>
      </c>
      <c r="Y4" s="8"/>
    </row>
    <row r="5" spans="1:25" x14ac:dyDescent="0.2">
      <c r="A5" s="15">
        <v>864001</v>
      </c>
      <c r="B5" s="2" t="str">
        <f t="shared" si="3"/>
        <v>10:00:00:01</v>
      </c>
      <c r="C5" s="20" t="s">
        <v>59</v>
      </c>
      <c r="D5" s="12"/>
      <c r="E5" s="5">
        <f>INDEX(W2:W23, T15-1)</f>
        <v>91</v>
      </c>
      <c r="F5" s="2" t="str">
        <f t="shared" si="4"/>
        <v>0:00:01:31</v>
      </c>
      <c r="G5" s="20" t="str">
        <f t="shared" si="5"/>
        <v>Displeased</v>
      </c>
      <c r="I5" s="5">
        <f>(INDEX(W2:W23, (T15-1)-R5))*'Provided Values and Forecast'!E10</f>
        <v>361</v>
      </c>
      <c r="J5" s="2" t="str">
        <f t="shared" si="6"/>
        <v>0:00:06:01</v>
      </c>
      <c r="K5" s="20" t="str">
        <f>G5</f>
        <v>Displeased</v>
      </c>
      <c r="M5" s="5">
        <f>(INDEX(W2:W23, (T15-1)-R2))*'Provided Values and Forecast'!E10</f>
        <v>1441</v>
      </c>
      <c r="N5" s="2" t="str">
        <f t="shared" si="7"/>
        <v>0:00:24:01</v>
      </c>
      <c r="O5" s="20" t="str">
        <f>K5</f>
        <v>Displeased</v>
      </c>
      <c r="R5" s="15">
        <v>2</v>
      </c>
      <c r="S5" s="8"/>
      <c r="T5" s="8"/>
      <c r="U5" s="8"/>
      <c r="V5" s="2">
        <f t="shared" si="0"/>
        <v>102399</v>
      </c>
      <c r="W5" s="2">
        <f t="shared" si="1"/>
        <v>92161</v>
      </c>
      <c r="X5" s="2" t="str">
        <f t="shared" si="2"/>
        <v>1:01:36:01</v>
      </c>
      <c r="Y5" s="8"/>
    </row>
    <row r="6" spans="1:25" x14ac:dyDescent="0.2">
      <c r="A6" s="15">
        <v>604801</v>
      </c>
      <c r="B6" s="2" t="str">
        <f t="shared" si="3"/>
        <v>7:00:00:01</v>
      </c>
      <c r="C6" s="20" t="s">
        <v>61</v>
      </c>
      <c r="E6" s="2">
        <f>SUM((E5-1)/2)+1</f>
        <v>46</v>
      </c>
      <c r="F6" s="2" t="str">
        <f t="shared" si="4"/>
        <v>0:00:00:46</v>
      </c>
      <c r="G6" s="20" t="str">
        <f t="shared" si="5"/>
        <v>Ok</v>
      </c>
      <c r="I6" s="2">
        <f>SUM((I5-1)/2)+1</f>
        <v>181</v>
      </c>
      <c r="J6" s="2" t="str">
        <f t="shared" si="6"/>
        <v>0:00:03:01</v>
      </c>
      <c r="K6" s="20" t="str">
        <f>G6</f>
        <v>Ok</v>
      </c>
      <c r="M6" s="2">
        <f>SUM((M5-1)/2)+1</f>
        <v>721</v>
      </c>
      <c r="N6" s="2" t="str">
        <f t="shared" si="7"/>
        <v>0:00:12:01</v>
      </c>
      <c r="O6" s="20" t="str">
        <f>K6</f>
        <v>Ok</v>
      </c>
      <c r="S6" s="8"/>
      <c r="T6" s="8"/>
      <c r="U6" s="8"/>
      <c r="V6" s="2">
        <f t="shared" si="0"/>
        <v>51199</v>
      </c>
      <c r="W6" s="2">
        <f t="shared" si="1"/>
        <v>46081</v>
      </c>
      <c r="X6" s="2" t="str">
        <f t="shared" si="2"/>
        <v>0:12:48:01</v>
      </c>
      <c r="Y6" s="8"/>
    </row>
    <row r="7" spans="1:25" x14ac:dyDescent="0.2">
      <c r="A7" s="15">
        <v>172801</v>
      </c>
      <c r="B7" s="2" t="str">
        <f t="shared" si="3"/>
        <v>2:00:00:01</v>
      </c>
      <c r="C7" s="19" t="s">
        <v>62</v>
      </c>
      <c r="D7" s="12"/>
      <c r="E7" s="2">
        <f>SUM((E6-1)/2)+1</f>
        <v>23.5</v>
      </c>
      <c r="F7" s="2" t="str">
        <f t="shared" si="4"/>
        <v>0:00:00:23</v>
      </c>
      <c r="G7" s="19" t="str">
        <f t="shared" si="5"/>
        <v>Good</v>
      </c>
      <c r="I7" s="2">
        <f>SUM((I6-1)/2)+1</f>
        <v>91</v>
      </c>
      <c r="J7" s="2" t="str">
        <f t="shared" si="6"/>
        <v>0:00:01:31</v>
      </c>
      <c r="K7" s="19" t="s">
        <v>62</v>
      </c>
      <c r="M7" s="2">
        <f>SUM((M6-1)/2)+1</f>
        <v>361</v>
      </c>
      <c r="N7" s="2" t="str">
        <f t="shared" si="7"/>
        <v>0:00:06:01</v>
      </c>
      <c r="O7" s="19" t="s">
        <v>62</v>
      </c>
      <c r="S7" s="8"/>
      <c r="T7" s="8"/>
      <c r="U7" s="8"/>
      <c r="V7" s="2">
        <f t="shared" si="0"/>
        <v>25599</v>
      </c>
      <c r="W7" s="2">
        <f t="shared" si="1"/>
        <v>23041</v>
      </c>
      <c r="X7" s="2" t="str">
        <f t="shared" si="2"/>
        <v>0:06:24:01</v>
      </c>
      <c r="Y7" s="8"/>
    </row>
    <row r="8" spans="1:25" x14ac:dyDescent="0.2">
      <c r="A8" s="15">
        <v>0</v>
      </c>
      <c r="B8" s="2" t="str">
        <f t="shared" si="3"/>
        <v>0:00:00:00</v>
      </c>
      <c r="C8" s="19" t="s">
        <v>63</v>
      </c>
      <c r="E8" s="5">
        <v>0</v>
      </c>
      <c r="F8" s="2" t="str">
        <f t="shared" si="4"/>
        <v>0:00:00:00</v>
      </c>
      <c r="G8" s="19" t="str">
        <f t="shared" si="5"/>
        <v>Delighted</v>
      </c>
      <c r="I8" s="5">
        <v>0</v>
      </c>
      <c r="J8" s="2" t="str">
        <f t="shared" si="6"/>
        <v>0:00:00:00</v>
      </c>
      <c r="K8" s="19" t="str">
        <f>G8</f>
        <v>Delighted</v>
      </c>
      <c r="M8" s="5">
        <v>0</v>
      </c>
      <c r="N8" s="2" t="str">
        <f t="shared" si="7"/>
        <v>0:00:00:00</v>
      </c>
      <c r="O8" s="19" t="str">
        <f>K8</f>
        <v>Delighted</v>
      </c>
      <c r="S8" s="8"/>
      <c r="T8" s="8"/>
      <c r="U8" s="8"/>
      <c r="V8" s="2">
        <f t="shared" si="0"/>
        <v>12799</v>
      </c>
      <c r="W8" s="2">
        <f t="shared" si="1"/>
        <v>11521</v>
      </c>
      <c r="X8" s="2" t="str">
        <f t="shared" si="2"/>
        <v>0:03:12:01</v>
      </c>
      <c r="Y8" s="8"/>
    </row>
    <row r="9" spans="1:25" x14ac:dyDescent="0.2">
      <c r="S9" s="8"/>
      <c r="T9" s="8"/>
      <c r="U9" s="8"/>
      <c r="V9" s="2">
        <f t="shared" si="0"/>
        <v>6399</v>
      </c>
      <c r="W9" s="2">
        <f t="shared" si="1"/>
        <v>5761</v>
      </c>
      <c r="X9" s="2" t="str">
        <f t="shared" si="2"/>
        <v>0:01:36:01</v>
      </c>
      <c r="Y9" s="8"/>
    </row>
    <row r="10" spans="1:25" x14ac:dyDescent="0.2">
      <c r="S10" s="8"/>
      <c r="T10" s="8"/>
      <c r="U10" s="8"/>
      <c r="V10" s="2">
        <f t="shared" si="0"/>
        <v>3199</v>
      </c>
      <c r="W10" s="2">
        <f t="shared" si="1"/>
        <v>2881</v>
      </c>
      <c r="X10" s="2" t="str">
        <f t="shared" si="2"/>
        <v>0:00:48:01</v>
      </c>
      <c r="Y10" s="8"/>
    </row>
    <row r="11" spans="1:25" x14ac:dyDescent="0.2">
      <c r="S11" s="8"/>
      <c r="T11" s="8"/>
      <c r="U11" s="8"/>
      <c r="V11" s="2">
        <f t="shared" si="0"/>
        <v>1599</v>
      </c>
      <c r="W11" s="2">
        <f t="shared" si="1"/>
        <v>1441</v>
      </c>
      <c r="X11" s="2" t="str">
        <f t="shared" si="2"/>
        <v>0:00:24:01</v>
      </c>
      <c r="Y11" s="8"/>
    </row>
    <row r="12" spans="1:25" x14ac:dyDescent="0.2">
      <c r="S12" s="8"/>
      <c r="T12" s="8"/>
      <c r="U12" s="8"/>
      <c r="V12" s="2">
        <f t="shared" si="0"/>
        <v>799</v>
      </c>
      <c r="W12" s="2">
        <f t="shared" si="1"/>
        <v>721</v>
      </c>
      <c r="X12" s="2" t="str">
        <f t="shared" si="2"/>
        <v>0:00:12:01</v>
      </c>
      <c r="Y12" s="8"/>
    </row>
    <row r="13" spans="1:25" x14ac:dyDescent="0.2">
      <c r="F13" s="40"/>
      <c r="S13" s="8"/>
      <c r="T13" s="8"/>
      <c r="U13" s="8"/>
      <c r="V13" s="2">
        <f t="shared" si="0"/>
        <v>399</v>
      </c>
      <c r="W13" s="2">
        <f t="shared" si="1"/>
        <v>361</v>
      </c>
      <c r="X13" s="2" t="str">
        <f t="shared" si="2"/>
        <v>0:00:06:01</v>
      </c>
      <c r="Y13" s="8"/>
    </row>
    <row r="14" spans="1:25" x14ac:dyDescent="0.2">
      <c r="S14" s="8"/>
      <c r="T14" s="8" t="s">
        <v>173</v>
      </c>
      <c r="U14" s="8"/>
      <c r="V14" s="2">
        <f t="shared" si="0"/>
        <v>199</v>
      </c>
      <c r="W14" s="2">
        <f t="shared" si="1"/>
        <v>181</v>
      </c>
      <c r="X14" s="2" t="str">
        <f t="shared" si="2"/>
        <v>0:00:03:01</v>
      </c>
      <c r="Y14" s="8"/>
    </row>
    <row r="15" spans="1:25" x14ac:dyDescent="0.2">
      <c r="S15" s="8"/>
      <c r="T15" s="2">
        <f>MATCH('Provided Values and Forecast'!D4, 'User Experience KPI'!V2:V23, -1) +2</f>
        <v>15</v>
      </c>
      <c r="U15" s="8" t="s">
        <v>168</v>
      </c>
      <c r="V15" s="14">
        <v>99</v>
      </c>
      <c r="W15" s="14">
        <v>91</v>
      </c>
      <c r="X15" s="2" t="str">
        <f t="shared" si="2"/>
        <v>0:00:01:31</v>
      </c>
      <c r="Y15" s="8"/>
    </row>
    <row r="16" spans="1:25" x14ac:dyDescent="0.2">
      <c r="S16" s="8"/>
      <c r="T16" s="8"/>
      <c r="U16" s="8"/>
      <c r="V16" s="2">
        <f t="shared" ref="V16:V22" si="8">((V15+1)/2)-1</f>
        <v>49</v>
      </c>
      <c r="W16" s="2">
        <f t="shared" ref="W16:W22" si="9">SUM((W15-1)/2)+1</f>
        <v>46</v>
      </c>
      <c r="X16" s="2" t="str">
        <f t="shared" si="2"/>
        <v>0:00:00:46</v>
      </c>
      <c r="Y16" s="8"/>
    </row>
    <row r="17" spans="15:25" x14ac:dyDescent="0.2">
      <c r="S17" s="8"/>
      <c r="T17" s="8"/>
      <c r="U17" s="8"/>
      <c r="V17" s="2">
        <f t="shared" si="8"/>
        <v>24</v>
      </c>
      <c r="W17" s="2">
        <f t="shared" si="9"/>
        <v>23.5</v>
      </c>
      <c r="X17" s="2" t="str">
        <f t="shared" si="2"/>
        <v>0:00:00:23</v>
      </c>
      <c r="Y17" s="8"/>
    </row>
    <row r="18" spans="15:25" x14ac:dyDescent="0.2">
      <c r="O18" s="30"/>
      <c r="S18" s="8"/>
      <c r="T18" s="8"/>
      <c r="U18" s="8"/>
      <c r="V18" s="2">
        <f t="shared" si="8"/>
        <v>11.5</v>
      </c>
      <c r="W18" s="2">
        <f t="shared" si="9"/>
        <v>12.25</v>
      </c>
      <c r="X18" s="2" t="str">
        <f t="shared" si="2"/>
        <v>0:00:00:12</v>
      </c>
      <c r="Y18" s="8"/>
    </row>
    <row r="19" spans="15:25" x14ac:dyDescent="0.2">
      <c r="S19" s="8"/>
      <c r="T19" s="8"/>
      <c r="U19" s="8"/>
      <c r="V19" s="2">
        <f t="shared" si="8"/>
        <v>5.25</v>
      </c>
      <c r="W19" s="2">
        <f t="shared" si="9"/>
        <v>6.625</v>
      </c>
      <c r="X19" s="2" t="str">
        <f t="shared" si="2"/>
        <v>0:00:00:07</v>
      </c>
      <c r="Y19" s="8"/>
    </row>
    <row r="20" spans="15:25" x14ac:dyDescent="0.2">
      <c r="S20" s="8"/>
      <c r="T20" s="8"/>
      <c r="U20" s="8"/>
      <c r="V20" s="2">
        <f t="shared" si="8"/>
        <v>2.125</v>
      </c>
      <c r="W20" s="2">
        <f t="shared" si="9"/>
        <v>3.8125</v>
      </c>
      <c r="X20" s="2" t="str">
        <f t="shared" si="2"/>
        <v>0:00:00:04</v>
      </c>
      <c r="Y20" s="8"/>
    </row>
    <row r="21" spans="15:25" x14ac:dyDescent="0.2">
      <c r="S21" s="8"/>
      <c r="T21" s="8"/>
      <c r="U21" s="8"/>
      <c r="V21" s="2">
        <f t="shared" si="8"/>
        <v>0.5625</v>
      </c>
      <c r="W21" s="2">
        <f t="shared" si="9"/>
        <v>2.40625</v>
      </c>
      <c r="X21" s="2" t="str">
        <f t="shared" si="2"/>
        <v>0:00:00:02</v>
      </c>
      <c r="Y21" s="8"/>
    </row>
    <row r="22" spans="15:25" x14ac:dyDescent="0.2">
      <c r="S22" s="8"/>
      <c r="T22" s="8"/>
      <c r="U22" s="8"/>
      <c r="V22" s="2">
        <f t="shared" si="8"/>
        <v>-0.21875</v>
      </c>
      <c r="W22" s="2">
        <f t="shared" si="9"/>
        <v>1.703125</v>
      </c>
      <c r="X22" s="2" t="str">
        <f t="shared" si="2"/>
        <v>0:00:00:02</v>
      </c>
      <c r="Y22" s="8"/>
    </row>
    <row r="23" spans="15:25" x14ac:dyDescent="0.2">
      <c r="S23" s="8"/>
      <c r="T23" s="8"/>
      <c r="U23" s="8"/>
      <c r="V23" s="2">
        <v>0</v>
      </c>
      <c r="W23" s="2">
        <v>0</v>
      </c>
      <c r="X23" s="2" t="str">
        <f t="shared" si="2"/>
        <v>0:00:00:00</v>
      </c>
      <c r="Y23" s="8"/>
    </row>
    <row r="24" spans="15:25" x14ac:dyDescent="0.2">
      <c r="S24" s="8"/>
      <c r="T24" s="8"/>
      <c r="U24" s="8"/>
      <c r="V24" s="8"/>
      <c r="W24" s="8"/>
      <c r="X24" s="8"/>
      <c r="Y24" s="8"/>
    </row>
    <row r="25" spans="15:25" x14ac:dyDescent="0.2">
      <c r="T25" s="12"/>
      <c r="U25" s="12"/>
      <c r="V25" s="12"/>
      <c r="W25" s="12"/>
    </row>
    <row r="26" spans="15:25" x14ac:dyDescent="0.2">
      <c r="T26" s="12"/>
      <c r="U26" s="12"/>
      <c r="V26" s="12"/>
      <c r="W26" s="12"/>
    </row>
    <row r="27" spans="15:25" x14ac:dyDescent="0.2">
      <c r="T27" s="12"/>
      <c r="U27" s="12"/>
      <c r="V27" s="12"/>
      <c r="W27" s="12"/>
    </row>
    <row r="28" spans="15:25" x14ac:dyDescent="0.2">
      <c r="T28" s="12"/>
      <c r="U28" s="12"/>
      <c r="V28" s="12"/>
      <c r="W28" s="12"/>
    </row>
    <row r="29" spans="15:25" x14ac:dyDescent="0.2">
      <c r="T29" s="12"/>
      <c r="U29" s="12"/>
      <c r="V29" s="12"/>
      <c r="W29" s="12"/>
    </row>
    <row r="30" spans="15:25" x14ac:dyDescent="0.2">
      <c r="T30" s="12"/>
      <c r="U30" s="12"/>
      <c r="V30" s="12"/>
      <c r="W30" s="12"/>
    </row>
    <row r="31" spans="15:25" x14ac:dyDescent="0.2">
      <c r="T31" s="12"/>
      <c r="U31" s="12"/>
      <c r="V31" s="12"/>
      <c r="W31" s="12"/>
    </row>
    <row r="32" spans="15:25" x14ac:dyDescent="0.2">
      <c r="T32" s="12"/>
      <c r="U32" s="12"/>
      <c r="V32" s="12"/>
      <c r="W32" s="12"/>
    </row>
    <row r="33" spans="20:23" x14ac:dyDescent="0.2">
      <c r="T33" s="12"/>
      <c r="U33" s="12"/>
      <c r="V33" s="12"/>
      <c r="W33" s="12"/>
    </row>
    <row r="34" spans="20:23" x14ac:dyDescent="0.2">
      <c r="T34" s="12"/>
      <c r="U34" s="12"/>
      <c r="V34" s="12"/>
      <c r="W3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showRuler="0" workbookViewId="0">
      <selection activeCell="L20" sqref="L20"/>
    </sheetView>
  </sheetViews>
  <sheetFormatPr baseColWidth="10" defaultRowHeight="16" x14ac:dyDescent="0.2"/>
  <cols>
    <col min="1" max="1" width="26.5" bestFit="1" customWidth="1"/>
    <col min="2" max="3" width="10.83203125" customWidth="1"/>
    <col min="4" max="4" width="26.5" style="12" bestFit="1" customWidth="1"/>
    <col min="5" max="5" width="10.83203125" style="12" customWidth="1"/>
    <col min="6" max="6" width="10.83203125" style="12"/>
    <col min="7" max="7" width="29" bestFit="1" customWidth="1"/>
    <col min="10" max="10" width="13.33203125" style="12" bestFit="1" customWidth="1"/>
    <col min="11" max="11" width="15.83203125" customWidth="1"/>
    <col min="12" max="12" width="51.5" customWidth="1"/>
    <col min="13" max="13" width="16.6640625" bestFit="1" customWidth="1"/>
    <col min="14" max="14" width="18.83203125" bestFit="1" customWidth="1"/>
    <col min="15" max="15" width="15.5" bestFit="1" customWidth="1"/>
    <col min="16" max="17" width="15.5" style="12" customWidth="1"/>
    <col min="19" max="19" width="17.33203125" bestFit="1" customWidth="1"/>
    <col min="20" max="20" width="19.33203125" style="25" bestFit="1" customWidth="1"/>
    <col min="21" max="21" width="5.5" bestFit="1" customWidth="1"/>
    <col min="22" max="22" width="23.83203125" bestFit="1" customWidth="1"/>
    <col min="23" max="23" width="23.33203125" bestFit="1" customWidth="1"/>
    <col min="24" max="24" width="24.83203125" customWidth="1"/>
    <col min="25" max="25" width="23.83203125" bestFit="1" customWidth="1"/>
  </cols>
  <sheetData>
    <row r="1" spans="1:25" ht="17" x14ac:dyDescent="0.2">
      <c r="A1" s="8" t="s">
        <v>88</v>
      </c>
      <c r="B1" s="8"/>
      <c r="C1" s="8"/>
      <c r="D1" s="8" t="s">
        <v>88</v>
      </c>
      <c r="E1" s="8"/>
      <c r="F1" s="8"/>
      <c r="G1" s="8"/>
      <c r="H1" s="8"/>
      <c r="I1" s="8"/>
      <c r="J1" s="8"/>
      <c r="K1" s="8"/>
      <c r="L1" s="8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48" x14ac:dyDescent="0.2">
      <c r="A2" s="8" t="s">
        <v>91</v>
      </c>
      <c r="B2" s="8" t="s">
        <v>124</v>
      </c>
      <c r="C2" s="8"/>
      <c r="D2" s="8" t="s">
        <v>90</v>
      </c>
      <c r="E2" s="8" t="s">
        <v>124</v>
      </c>
      <c r="F2" s="8"/>
      <c r="G2" s="8" t="s">
        <v>89</v>
      </c>
      <c r="H2" s="8" t="s">
        <v>124</v>
      </c>
      <c r="I2" s="8"/>
      <c r="J2" s="8"/>
      <c r="K2" s="8" t="s">
        <v>124</v>
      </c>
      <c r="L2" s="8" t="s">
        <v>118</v>
      </c>
      <c r="M2" s="8" t="s">
        <v>103</v>
      </c>
      <c r="N2" s="8" t="s">
        <v>104</v>
      </c>
      <c r="O2" s="8" t="s">
        <v>105</v>
      </c>
      <c r="P2" s="8" t="s">
        <v>131</v>
      </c>
      <c r="Q2" s="8" t="s">
        <v>107</v>
      </c>
      <c r="R2" s="8" t="s">
        <v>106</v>
      </c>
      <c r="S2" s="8" t="s">
        <v>109</v>
      </c>
      <c r="T2" s="8" t="s">
        <v>110</v>
      </c>
      <c r="U2" s="8" t="s">
        <v>112</v>
      </c>
      <c r="V2" s="8" t="s">
        <v>113</v>
      </c>
      <c r="W2" s="8" t="s">
        <v>119</v>
      </c>
      <c r="X2" s="41" t="s">
        <v>172</v>
      </c>
      <c r="Y2" s="8"/>
    </row>
    <row r="3" spans="1:25" x14ac:dyDescent="0.2">
      <c r="A3" s="27">
        <v>500000000000</v>
      </c>
      <c r="B3" s="18">
        <v>6</v>
      </c>
      <c r="C3" s="8"/>
      <c r="D3" s="13">
        <f>A3*0.8</f>
        <v>400000000000</v>
      </c>
      <c r="E3" s="18">
        <v>6</v>
      </c>
      <c r="F3" s="8"/>
      <c r="G3" s="27">
        <v>100000000000000</v>
      </c>
      <c r="H3" s="18">
        <v>6</v>
      </c>
      <c r="I3" s="8"/>
      <c r="J3" s="8"/>
      <c r="K3" s="18">
        <v>6</v>
      </c>
      <c r="L3" s="18" t="s">
        <v>102</v>
      </c>
      <c r="M3" s="14">
        <v>10000</v>
      </c>
      <c r="N3" s="14">
        <f t="shared" ref="N3:N8" si="0">SUM(M3)</f>
        <v>10000</v>
      </c>
      <c r="O3" s="14">
        <v>20000</v>
      </c>
      <c r="P3" s="2">
        <f t="shared" ref="P3:P8" si="1">Q3/2</f>
        <v>32</v>
      </c>
      <c r="Q3" s="2">
        <f>MAX(R3/2, 'Internal Formula Details'!C52/3)</f>
        <v>64</v>
      </c>
      <c r="R3" s="14">
        <v>128</v>
      </c>
      <c r="S3" s="14">
        <v>2048</v>
      </c>
      <c r="T3" s="2">
        <f t="shared" ref="T3:T8" si="2">SUM(S3/2)</f>
        <v>1024</v>
      </c>
      <c r="U3" s="15" t="b">
        <v>1</v>
      </c>
      <c r="V3" s="15" t="b">
        <v>0</v>
      </c>
      <c r="W3" s="27">
        <f>(1000*1000*1000*1000*4)</f>
        <v>4000000000000</v>
      </c>
      <c r="X3" s="7">
        <v>1</v>
      </c>
      <c r="Y3" s="8"/>
    </row>
    <row r="4" spans="1:25" x14ac:dyDescent="0.2">
      <c r="A4" s="13">
        <f>SUM(A3 * X4)</f>
        <v>200000000000</v>
      </c>
      <c r="B4" s="18">
        <v>5</v>
      </c>
      <c r="C4" s="8"/>
      <c r="D4" s="13">
        <f>(D3 * X4)</f>
        <v>160000000000</v>
      </c>
      <c r="E4" s="18">
        <v>5</v>
      </c>
      <c r="F4" s="8"/>
      <c r="G4" s="13">
        <f>G3*X4</f>
        <v>40000000000000</v>
      </c>
      <c r="H4" s="18">
        <v>5</v>
      </c>
      <c r="I4" s="8"/>
      <c r="J4" s="8"/>
      <c r="K4" s="18">
        <v>5</v>
      </c>
      <c r="L4" s="18" t="s">
        <v>108</v>
      </c>
      <c r="M4" s="14">
        <v>4000</v>
      </c>
      <c r="N4" s="14">
        <f t="shared" si="0"/>
        <v>4000</v>
      </c>
      <c r="O4" s="14">
        <v>10000</v>
      </c>
      <c r="P4" s="2">
        <f t="shared" si="1"/>
        <v>10</v>
      </c>
      <c r="Q4" s="2">
        <f>MAX(R4/2, 'Internal Formula Details'!C52/3)</f>
        <v>20</v>
      </c>
      <c r="R4" s="14">
        <v>40</v>
      </c>
      <c r="S4" s="14">
        <v>160</v>
      </c>
      <c r="T4" s="2">
        <f t="shared" si="2"/>
        <v>80</v>
      </c>
      <c r="U4" s="15" t="b">
        <v>1</v>
      </c>
      <c r="V4" s="15" t="b">
        <v>0</v>
      </c>
      <c r="W4" s="8"/>
      <c r="X4" s="7">
        <f>(M4/M3)</f>
        <v>0.4</v>
      </c>
      <c r="Y4" s="8"/>
    </row>
    <row r="5" spans="1:25" x14ac:dyDescent="0.2">
      <c r="A5" s="13">
        <f>SUM(A4 * X5)</f>
        <v>160000000000</v>
      </c>
      <c r="B5" s="20">
        <v>4</v>
      </c>
      <c r="C5" s="8"/>
      <c r="D5" s="13">
        <f>(D4 * X5)</f>
        <v>128000000000</v>
      </c>
      <c r="E5" s="20">
        <v>4</v>
      </c>
      <c r="F5" s="8"/>
      <c r="G5" s="13">
        <f>G4*X5</f>
        <v>32000000000000</v>
      </c>
      <c r="H5" s="20">
        <v>4</v>
      </c>
      <c r="I5" s="8"/>
      <c r="J5" s="8"/>
      <c r="K5" s="20">
        <v>4</v>
      </c>
      <c r="L5" s="20" t="s">
        <v>101</v>
      </c>
      <c r="M5" s="14">
        <v>4000</v>
      </c>
      <c r="N5" s="14">
        <f t="shared" si="0"/>
        <v>4000</v>
      </c>
      <c r="O5" s="14">
        <v>10000</v>
      </c>
      <c r="P5" s="2">
        <f t="shared" si="1"/>
        <v>8</v>
      </c>
      <c r="Q5" s="2">
        <f>MAX(R5/2, 'Internal Formula Details'!C52/3)</f>
        <v>16</v>
      </c>
      <c r="R5" s="14">
        <v>32</v>
      </c>
      <c r="S5" s="14">
        <v>60</v>
      </c>
      <c r="T5" s="2">
        <f t="shared" si="2"/>
        <v>30</v>
      </c>
      <c r="U5" s="15" t="b">
        <v>1</v>
      </c>
      <c r="V5" s="15" t="b">
        <v>0</v>
      </c>
      <c r="W5" s="8"/>
      <c r="X5" s="7">
        <f>R5/R4</f>
        <v>0.8</v>
      </c>
      <c r="Y5" s="8"/>
    </row>
    <row r="6" spans="1:25" x14ac:dyDescent="0.2">
      <c r="A6" s="13">
        <f>SUM(A5 * X6)</f>
        <v>80000000000</v>
      </c>
      <c r="B6" s="20">
        <v>3</v>
      </c>
      <c r="C6" s="8"/>
      <c r="D6" s="13">
        <f>(D5 * X6)</f>
        <v>64000000000</v>
      </c>
      <c r="E6" s="20">
        <v>3</v>
      </c>
      <c r="F6" s="8"/>
      <c r="G6" s="13">
        <f>G5*X6</f>
        <v>16000000000000</v>
      </c>
      <c r="H6" s="20">
        <v>3</v>
      </c>
      <c r="I6" s="8"/>
      <c r="J6" s="8"/>
      <c r="K6" s="20">
        <v>3</v>
      </c>
      <c r="L6" s="20" t="s">
        <v>100</v>
      </c>
      <c r="M6" s="14">
        <v>2000</v>
      </c>
      <c r="N6" s="14">
        <f t="shared" si="0"/>
        <v>2000</v>
      </c>
      <c r="O6" s="14">
        <v>1000</v>
      </c>
      <c r="P6" s="2">
        <f t="shared" si="1"/>
        <v>4</v>
      </c>
      <c r="Q6" s="2">
        <f>MAX(R6/2, 'Internal Formula Details'!C52/3)</f>
        <v>8</v>
      </c>
      <c r="R6" s="14">
        <v>16</v>
      </c>
      <c r="S6" s="14">
        <v>60</v>
      </c>
      <c r="T6" s="2">
        <f t="shared" si="2"/>
        <v>30</v>
      </c>
      <c r="U6" s="15" t="b">
        <v>1</v>
      </c>
      <c r="V6" s="15" t="b">
        <v>0</v>
      </c>
      <c r="W6" s="8"/>
      <c r="X6" s="7">
        <f>M6/M5</f>
        <v>0.5</v>
      </c>
      <c r="Y6" s="8"/>
    </row>
    <row r="7" spans="1:25" x14ac:dyDescent="0.2">
      <c r="A7" s="13">
        <f>SUM(A6 * X7)</f>
        <v>40000000000</v>
      </c>
      <c r="B7" s="19">
        <v>2</v>
      </c>
      <c r="C7" s="8"/>
      <c r="D7" s="13">
        <f>(D6 * X7)</f>
        <v>32000000000</v>
      </c>
      <c r="E7" s="19">
        <v>2</v>
      </c>
      <c r="F7" s="8"/>
      <c r="G7" s="13">
        <f>G6*X7</f>
        <v>8000000000000</v>
      </c>
      <c r="H7" s="19">
        <v>2</v>
      </c>
      <c r="I7" s="8"/>
      <c r="J7" s="8"/>
      <c r="K7" s="19">
        <v>2</v>
      </c>
      <c r="L7" s="19" t="s">
        <v>98</v>
      </c>
      <c r="M7" s="14">
        <v>1000</v>
      </c>
      <c r="N7" s="14">
        <f t="shared" si="0"/>
        <v>1000</v>
      </c>
      <c r="O7" s="14">
        <v>1000</v>
      </c>
      <c r="P7" s="2">
        <f t="shared" si="1"/>
        <v>2</v>
      </c>
      <c r="Q7" s="2">
        <f>MAX(R7/2, 'Internal Formula Details'!C52/3)</f>
        <v>4</v>
      </c>
      <c r="R7" s="14">
        <v>8</v>
      </c>
      <c r="S7" s="14">
        <v>32</v>
      </c>
      <c r="T7" s="2">
        <f t="shared" si="2"/>
        <v>16</v>
      </c>
      <c r="U7" s="15" t="b">
        <v>1</v>
      </c>
      <c r="V7" s="15" t="b">
        <v>0</v>
      </c>
      <c r="W7" s="8"/>
      <c r="X7" s="7">
        <f>M7/M6</f>
        <v>0.5</v>
      </c>
      <c r="Y7" s="8"/>
    </row>
    <row r="8" spans="1:25" x14ac:dyDescent="0.2">
      <c r="A8" s="13">
        <v>0</v>
      </c>
      <c r="B8" s="19">
        <v>1</v>
      </c>
      <c r="C8" s="8"/>
      <c r="D8" s="13">
        <f t="shared" ref="D8" si="3">A8</f>
        <v>0</v>
      </c>
      <c r="E8" s="19">
        <v>1</v>
      </c>
      <c r="F8" s="8"/>
      <c r="G8" s="13">
        <v>0</v>
      </c>
      <c r="H8" s="19">
        <v>1</v>
      </c>
      <c r="I8" s="8"/>
      <c r="J8" s="8"/>
      <c r="K8" s="19">
        <v>1</v>
      </c>
      <c r="L8" s="19" t="s">
        <v>99</v>
      </c>
      <c r="M8" s="14">
        <v>750</v>
      </c>
      <c r="N8" s="14">
        <f t="shared" si="0"/>
        <v>750</v>
      </c>
      <c r="O8" s="14">
        <v>1000</v>
      </c>
      <c r="P8" s="2">
        <f t="shared" si="1"/>
        <v>1.6712962962962961</v>
      </c>
      <c r="Q8" s="2">
        <f>MAX(R8/2, 'Internal Formula Details'!C52/3)</f>
        <v>3.3425925925925921</v>
      </c>
      <c r="R8" s="14">
        <v>4</v>
      </c>
      <c r="S8" s="14">
        <v>16</v>
      </c>
      <c r="T8" s="2">
        <f t="shared" si="2"/>
        <v>8</v>
      </c>
      <c r="U8" s="15" t="b">
        <v>1</v>
      </c>
      <c r="V8" s="15" t="b">
        <v>0</v>
      </c>
      <c r="W8" s="8"/>
      <c r="X8" s="7">
        <f>M8/M7</f>
        <v>0.75</v>
      </c>
      <c r="Y8" s="8"/>
    </row>
    <row r="9" spans="1:25" x14ac:dyDescent="0.2">
      <c r="A9" s="13">
        <f>('Internal Formula Details'!A67*'Internal Formula Details'!C49*1000)</f>
        <v>5013888888.8888884</v>
      </c>
      <c r="B9" s="5">
        <f>IF(A9 &gt;= 'Server Recommendation Index'!A3, 'Server Recommendation Index'!B3,
IF(A9 &gt;= 'Server Recommendation Index'!A4, 'Server Recommendation Index'!B4,
IF(A9 &gt;= 'Server Recommendation Index'!A5, 'Server Recommendation Index'!B5,
IF(A9 &gt;= 'Server Recommendation Index'!A6, 'Server Recommendation Index'!B6,
IF(A9 &gt;= 'Server Recommendation Index'!A7, 'Server Recommendation Index'!B7,
IF(A9 &gt;= 'Server Recommendation Index'!A8, 'Server Recommendation Index'!B8,
"ERROR"))))))</f>
        <v>1</v>
      </c>
      <c r="C9" s="8"/>
      <c r="D9" s="13">
        <f>SUM('Internal Formula Details'!A64*'Provided Values and Forecast'!E10*'Internal Formula Details'!C49)*1000</f>
        <v>6020677777.7777767</v>
      </c>
      <c r="E9" s="5">
        <f>IF(D9 &gt;= 'Server Recommendation Index'!D3, 'Server Recommendation Index'!E3,
IF(D9 &gt;= 'Server Recommendation Index'!D4, 'Server Recommendation Index'!E4,
IF(D9 &gt;= 'Server Recommendation Index'!D5, 'Server Recommendation Index'!E5,
IF(D9 &gt;= 'Server Recommendation Index'!D6, 'Server Recommendation Index'!E6,
IF(D9 &gt;= 'Server Recommendation Index'!D7, 'Server Recommendation Index'!E7,
IF(D9 &gt;= 'Server Recommendation Index'!D8, 'Server Recommendation Index'!E8,
"ERROR"))))))</f>
        <v>1</v>
      </c>
      <c r="F9" s="8"/>
      <c r="G9" s="13">
        <f>SUM('Provided Values and Forecast'!C4*('Internal Formula Details'!A7+'Internal Formula Details'!C13))*1000</f>
        <v>1004000000000</v>
      </c>
      <c r="H9" s="5">
        <f>IF(G9 &gt;= 'Server Recommendation Index'!G3, 'Server Recommendation Index'!H3,
IF(G9 &gt;= 'Server Recommendation Index'!G4, 'Server Recommendation Index'!H4,
IF(G9 &gt;= 'Server Recommendation Index'!G5, 'Server Recommendation Index'!H5,
IF(G9 &gt;= 'Server Recommendation Index'!G6, 'Server Recommendation Index'!H6,
IF(G9 &gt;= 'Server Recommendation Index'!G7, 'Server Recommendation Index'!H7,
IF(G9 &gt;= 'Server Recommendation Index'!G8, 'Server Recommendation Index'!H8,
"ERROR"))))))</f>
        <v>1</v>
      </c>
      <c r="I9" s="8"/>
      <c r="J9" s="8" t="s">
        <v>129</v>
      </c>
      <c r="K9" s="8">
        <v>0</v>
      </c>
      <c r="L9" s="8" t="s">
        <v>128</v>
      </c>
      <c r="M9" s="8"/>
      <c r="N9" s="8"/>
      <c r="O9" s="8"/>
      <c r="P9" s="8"/>
      <c r="Q9" s="8"/>
      <c r="R9" s="8"/>
      <c r="S9" s="8"/>
      <c r="T9" s="28"/>
      <c r="U9" s="8"/>
      <c r="V9" s="8"/>
      <c r="W9" s="8" t="s">
        <v>120</v>
      </c>
      <c r="X9" s="42"/>
      <c r="Y9" s="8"/>
    </row>
    <row r="10" spans="1:25" x14ac:dyDescent="0.2">
      <c r="A10" s="8"/>
      <c r="B10" s="8"/>
      <c r="C10" s="8"/>
      <c r="D10" s="8"/>
      <c r="E10" s="8"/>
      <c r="F10" s="8"/>
      <c r="G10" s="8"/>
      <c r="H10" s="8"/>
      <c r="I10" s="8"/>
      <c r="J10" s="8" t="s">
        <v>125</v>
      </c>
      <c r="K10" s="5">
        <f>IF(K12&gt;0, K12, K11)</f>
        <v>1</v>
      </c>
      <c r="L10" s="5" t="str">
        <f>INDEX(L3:L9, MATCH(K10,K3:K9, 0))</f>
        <v>m4.xlarge (750mbit disk, 1gb network, 16gb ram, 4 cores)</v>
      </c>
      <c r="M10" s="5">
        <f>IF('Server Recommendation Index'!K10 &gt;= 'Server Recommendation Index'!K3, 'Server Recommendation Index'!M3,
IF('Server Recommendation Index'!K10 &gt;= 'Server Recommendation Index'!K4, 'Server Recommendation Index'!M4,
IF('Server Recommendation Index'!K10 &gt;= 'Server Recommendation Index'!K5, 'Server Recommendation Index'!M5,
IF('Server Recommendation Index'!K10 &gt;= 'Server Recommendation Index'!K6, 'Server Recommendation Index'!M6,
IF('Server Recommendation Index'!K10 &gt;= 'Server Recommendation Index'!K7, 'Server Recommendation Index'!M7,
IF('Server Recommendation Index'!K10 &gt;= 'Server Recommendation Index'!K8, 'Server Recommendation Index'!M8,
"ERROR"))))))</f>
        <v>750</v>
      </c>
      <c r="N10" s="5">
        <f>IF('Server Recommendation Index'!K10 &gt;= 'Server Recommendation Index'!K3, 'Server Recommendation Index'!N3,
IF('Server Recommendation Index'!K10 &gt;= 'Server Recommendation Index'!K4, 'Server Recommendation Index'!N4,
IF('Server Recommendation Index'!K10 &gt;= 'Server Recommendation Index'!K5, 'Server Recommendation Index'!N5,
IF('Server Recommendation Index'!K10 &gt;= 'Server Recommendation Index'!K6, 'Server Recommendation Index'!N6,
IF('Server Recommendation Index'!K10 &gt;= 'Server Recommendation Index'!K7, 'Server Recommendation Index'!N7,
IF('Server Recommendation Index'!K10 &gt;= 'Server Recommendation Index'!K8, 'Server Recommendation Index'!N8,
"ERROR"))))))</f>
        <v>750</v>
      </c>
      <c r="O10" s="5">
        <f>IF('Server Recommendation Index'!K10 &gt;= 'Server Recommendation Index'!K3, 'Server Recommendation Index'!O3,
IF('Server Recommendation Index'!K10 &gt;= 'Server Recommendation Index'!K4, 'Server Recommendation Index'!O4,
IF('Server Recommendation Index'!K10 &gt;= 'Server Recommendation Index'!K5, 'Server Recommendation Index'!O5,
IF('Server Recommendation Index'!K10 &gt;= 'Server Recommendation Index'!K6, 'Server Recommendation Index'!O6,
IF('Server Recommendation Index'!K10 &gt;= 'Server Recommendation Index'!K7, 'Server Recommendation Index'!O7,
IF('Server Recommendation Index'!K10 &gt;= 'Server Recommendation Index'!K8, 'Server Recommendation Index'!O8,
"ERROR"))))))</f>
        <v>1000</v>
      </c>
      <c r="P10" s="2">
        <f>IF('Server Recommendation Index'!K10 &gt;= 'Server Recommendation Index'!K3, 'Server Recommendation Index'!P3,
IF('Server Recommendation Index'!K10 &gt;= 'Server Recommendation Index'!K4, 'Server Recommendation Index'!P4,
IF('Server Recommendation Index'!K10 &gt;= 'Server Recommendation Index'!K5, 'Server Recommendation Index'!P5,
IF('Server Recommendation Index'!K10 &gt;= 'Server Recommendation Index'!K6, 'Server Recommendation Index'!P6,
IF('Server Recommendation Index'!K10 &gt;= 'Server Recommendation Index'!K7, 'Server Recommendation Index'!P7,
IF('Server Recommendation Index'!K10 &gt;= 'Server Recommendation Index'!K8, 'Server Recommendation Index'!P8,
"ERROR"))))))</f>
        <v>1.6712962962962961</v>
      </c>
      <c r="Q10" s="2">
        <f>IF('Server Recommendation Index'!K10 &gt;= 'Server Recommendation Index'!K3, 'Server Recommendation Index'!Q3,
IF('Server Recommendation Index'!K10 &gt;= 'Server Recommendation Index'!K4, 'Server Recommendation Index'!Q4,
IF('Server Recommendation Index'!K10 &gt;= 'Server Recommendation Index'!K5, 'Server Recommendation Index'!Q5,
IF('Server Recommendation Index'!K10 &gt;= 'Server Recommendation Index'!K6, 'Server Recommendation Index'!Q6,
IF('Server Recommendation Index'!K10 &gt;= 'Server Recommendation Index'!K7, 'Server Recommendation Index'!Q7,
IF('Server Recommendation Index'!K10 &gt;= 'Server Recommendation Index'!K8, 'Server Recommendation Index'!Q8,
"ERROR"))))))</f>
        <v>3.3425925925925921</v>
      </c>
      <c r="R10" s="5">
        <f>IF('Server Recommendation Index'!K10 &gt;= 'Server Recommendation Index'!K3, 'Server Recommendation Index'!R3,
IF('Server Recommendation Index'!K10 &gt;= 'Server Recommendation Index'!K4, 'Server Recommendation Index'!R4,
IF('Server Recommendation Index'!K10 &gt;= 'Server Recommendation Index'!K5, 'Server Recommendation Index'!R5,
IF('Server Recommendation Index'!K10 &gt;= 'Server Recommendation Index'!K6, 'Server Recommendation Index'!R6,
IF('Server Recommendation Index'!K10 &gt;= 'Server Recommendation Index'!K7, 'Server Recommendation Index'!R7,
IF('Server Recommendation Index'!K10 &gt;= 'Server Recommendation Index'!K8, 'Server Recommendation Index'!R8,
"ERROR"))))))</f>
        <v>4</v>
      </c>
      <c r="S10" s="5">
        <f>IF('Server Recommendation Index'!K10 &gt;= 'Server Recommendation Index'!K3, 'Server Recommendation Index'!S3,
IF('Server Recommendation Index'!K10 &gt;= 'Server Recommendation Index'!K4, 'Server Recommendation Index'!S4,
IF('Server Recommendation Index'!K10 &gt;= 'Server Recommendation Index'!K5, 'Server Recommendation Index'!S5,
IF('Server Recommendation Index'!K10 &gt;= 'Server Recommendation Index'!K6, 'Server Recommendation Index'!S6,
IF('Server Recommendation Index'!K10 &gt;= 'Server Recommendation Index'!K7, 'Server Recommendation Index'!S7,
IF('Server Recommendation Index'!K10 &gt;= 'Server Recommendation Index'!K8, 'Server Recommendation Index'!S8,
"ERROR"))))))</f>
        <v>16</v>
      </c>
      <c r="T10" s="5">
        <f>IF('Server Recommendation Index'!K10 &gt;= 'Server Recommendation Index'!K3, 'Server Recommendation Index'!T3,
IF('Server Recommendation Index'!K10 &gt;= 'Server Recommendation Index'!K4, 'Server Recommendation Index'!T4,
IF('Server Recommendation Index'!K10 &gt;= 'Server Recommendation Index'!K5, 'Server Recommendation Index'!T5,
IF('Server Recommendation Index'!K10 &gt;= 'Server Recommendation Index'!K6, 'Server Recommendation Index'!T6,
IF('Server Recommendation Index'!K10 &gt;= 'Server Recommendation Index'!K7, 'Server Recommendation Index'!T7,
IF('Server Recommendation Index'!K10 &gt;= 'Server Recommendation Index'!K8, 'Server Recommendation Index'!T8,
"ERROR"))))))</f>
        <v>8</v>
      </c>
      <c r="U10" s="5" t="b">
        <f>IF('Server Recommendation Index'!K10 &gt;= 'Server Recommendation Index'!K3, 'Server Recommendation Index'!U3,
IF('Server Recommendation Index'!K10 &gt;= 'Server Recommendation Index'!K4, 'Server Recommendation Index'!U4,
IF('Server Recommendation Index'!K10 &gt;= 'Server Recommendation Index'!K5, 'Server Recommendation Index'!U5,
IF('Server Recommendation Index'!K10 &gt;= 'Server Recommendation Index'!K6, 'Server Recommendation Index'!U6,
IF('Server Recommendation Index'!K10 &gt;= 'Server Recommendation Index'!K7, 'Server Recommendation Index'!U7,
IF('Server Recommendation Index'!K10 &gt;= 'Server Recommendation Index'!K8, 'Server Recommendation Index'!U8,
"ERROR"))))))</f>
        <v>1</v>
      </c>
      <c r="V10" s="5" t="b">
        <f>IF('Server Recommendation Index'!K10 &gt;= 'Server Recommendation Index'!K3, 'Server Recommendation Index'!V3,
IF('Server Recommendation Index'!K10 &gt;= 'Server Recommendation Index'!K4, 'Server Recommendation Index'!V4,
IF('Server Recommendation Index'!K10 &gt;= 'Server Recommendation Index'!K5, 'Server Recommendation Index'!V5,
IF('Server Recommendation Index'!K10 &gt;= 'Server Recommendation Index'!K6, 'Server Recommendation Index'!V6,
IF('Server Recommendation Index'!K10 &gt;= 'Server Recommendation Index'!K7, 'Server Recommendation Index'!V7,
IF('Server Recommendation Index'!K10 &gt;= 'Server Recommendation Index'!K8, 'Server Recommendation Index'!V8,
"ERROR"))))))</f>
        <v>0</v>
      </c>
      <c r="W10" s="5" t="b">
        <f>IF(G9&gt;=W3, TRUE, FALSE)</f>
        <v>0</v>
      </c>
      <c r="X10" s="8"/>
      <c r="Y10" s="8"/>
    </row>
    <row r="11" spans="1:25" x14ac:dyDescent="0.2">
      <c r="A11" s="8"/>
      <c r="B11" s="8"/>
      <c r="C11" s="8"/>
      <c r="D11" s="8"/>
      <c r="E11" s="8"/>
      <c r="F11" s="8"/>
      <c r="G11" s="8"/>
      <c r="H11" s="8"/>
      <c r="I11" s="8"/>
      <c r="J11" s="8" t="s">
        <v>117</v>
      </c>
      <c r="K11" s="5">
        <f>MAX(B19,B9,E9,H9, E19, H19)</f>
        <v>1</v>
      </c>
      <c r="L11" s="5" t="str">
        <f>INDEX(L3:L9, MATCH(K11,K3:K9, 0))</f>
        <v>m4.xlarge (750mbit disk, 1gb network, 16gb ram, 4 cores)</v>
      </c>
      <c r="M11" s="5">
        <f>IF('Server Recommendation Index'!K11 &gt;= 'Server Recommendation Index'!K3, 'Server Recommendation Index'!M3,
IF('Server Recommendation Index'!K11 &gt;= 'Server Recommendation Index'!K4, 'Server Recommendation Index'!M4,
IF('Server Recommendation Index'!K11 &gt;= 'Server Recommendation Index'!K5, 'Server Recommendation Index'!M5,
IF('Server Recommendation Index'!K11 &gt;= 'Server Recommendation Index'!K6, 'Server Recommendation Index'!M6,
IF('Server Recommendation Index'!K11 &gt;= 'Server Recommendation Index'!K7, 'Server Recommendation Index'!M7,
IF('Server Recommendation Index'!K11 &gt;= 'Server Recommendation Index'!K8, 'Server Recommendation Index'!M8,
"ERROR"))))))</f>
        <v>750</v>
      </c>
      <c r="N11" s="5">
        <f>IF('Server Recommendation Index'!K11 &gt;= 'Server Recommendation Index'!K3, 'Server Recommendation Index'!N3,
IF('Server Recommendation Index'!K11 &gt;= 'Server Recommendation Index'!K4, 'Server Recommendation Index'!N4,
IF('Server Recommendation Index'!K11 &gt;= 'Server Recommendation Index'!K5, 'Server Recommendation Index'!N5,
IF('Server Recommendation Index'!K11 &gt;= 'Server Recommendation Index'!K6, 'Server Recommendation Index'!N6,
IF('Server Recommendation Index'!K11 &gt;= 'Server Recommendation Index'!K7, 'Server Recommendation Index'!N7,
IF('Server Recommendation Index'!K11 &gt;= 'Server Recommendation Index'!K8, 'Server Recommendation Index'!N8,
"ERROR"))))))</f>
        <v>750</v>
      </c>
      <c r="O11" s="5">
        <f>IF('Server Recommendation Index'!K11 &gt;= 'Server Recommendation Index'!K3, 'Server Recommendation Index'!O3,
IF('Server Recommendation Index'!K11 &gt;= 'Server Recommendation Index'!K4, 'Server Recommendation Index'!O4,
IF('Server Recommendation Index'!K11 &gt;= 'Server Recommendation Index'!K5, 'Server Recommendation Index'!O5,
IF('Server Recommendation Index'!K11 &gt;= 'Server Recommendation Index'!K6, 'Server Recommendation Index'!O6,
IF('Server Recommendation Index'!K11 &gt;= 'Server Recommendation Index'!K7, 'Server Recommendation Index'!O7,
IF('Server Recommendation Index'!K11 &gt;= 'Server Recommendation Index'!K8, 'Server Recommendation Index'!O8,
"ERROR"))))))</f>
        <v>1000</v>
      </c>
      <c r="P11" s="35">
        <f>IF('Server Recommendation Index'!K11 &gt;= 'Server Recommendation Index'!K3, 'Server Recommendation Index'!P3,
IF('Server Recommendation Index'!K11 &gt;= 'Server Recommendation Index'!K4, 'Server Recommendation Index'!P4,
IF('Server Recommendation Index'!K11 &gt;= 'Server Recommendation Index'!K5, 'Server Recommendation Index'!P5,
IF('Server Recommendation Index'!K11 &gt;= 'Server Recommendation Index'!K6, 'Server Recommendation Index'!P6,
IF('Server Recommendation Index'!K11 &gt;= 'Server Recommendation Index'!K7, 'Server Recommendation Index'!P7,
IF('Server Recommendation Index'!K11 &gt;= 'Server Recommendation Index'!K8, 'Server Recommendation Index'!P8,
"ERROR"))))))</f>
        <v>1.6712962962962961</v>
      </c>
      <c r="Q11" s="35">
        <f>IF('Server Recommendation Index'!K11 &gt;= 'Server Recommendation Index'!K3, 'Server Recommendation Index'!Q3,
IF('Server Recommendation Index'!K11 &gt;= 'Server Recommendation Index'!K4, 'Server Recommendation Index'!Q4,
IF('Server Recommendation Index'!K11 &gt;= 'Server Recommendation Index'!K5, 'Server Recommendation Index'!Q5,
IF('Server Recommendation Index'!K11 &gt;= 'Server Recommendation Index'!K6, 'Server Recommendation Index'!Q6,
IF('Server Recommendation Index'!K11 &gt;= 'Server Recommendation Index'!K7, 'Server Recommendation Index'!Q7,
IF('Server Recommendation Index'!K11 &gt;= 'Server Recommendation Index'!K8, 'Server Recommendation Index'!Q8,
"ERROR"))))))</f>
        <v>3.3425925925925921</v>
      </c>
      <c r="R11" s="5">
        <f>IF('Server Recommendation Index'!K11 &gt;= 'Server Recommendation Index'!K3, 'Server Recommendation Index'!R3,
IF('Server Recommendation Index'!K11 &gt;= 'Server Recommendation Index'!K4, 'Server Recommendation Index'!R4,
IF('Server Recommendation Index'!K11 &gt;= 'Server Recommendation Index'!K5, 'Server Recommendation Index'!R5,
IF('Server Recommendation Index'!K11 &gt;= 'Server Recommendation Index'!K6, 'Server Recommendation Index'!R6,
IF('Server Recommendation Index'!K11 &gt;= 'Server Recommendation Index'!K7, 'Server Recommendation Index'!R7,
IF('Server Recommendation Index'!K11 &gt;= 'Server Recommendation Index'!K8, 'Server Recommendation Index'!R8,
"ERROR"))))))</f>
        <v>4</v>
      </c>
      <c r="S11" s="5">
        <f>IF('Server Recommendation Index'!K11 &gt;= 'Server Recommendation Index'!K3, 'Server Recommendation Index'!S3,
IF('Server Recommendation Index'!K11 &gt;= 'Server Recommendation Index'!K4, 'Server Recommendation Index'!S4,
IF('Server Recommendation Index'!K11 &gt;= 'Server Recommendation Index'!K5, 'Server Recommendation Index'!S5,
IF('Server Recommendation Index'!K11 &gt;= 'Server Recommendation Index'!K6, 'Server Recommendation Index'!S6,
IF('Server Recommendation Index'!K11 &gt;= 'Server Recommendation Index'!K7, 'Server Recommendation Index'!S7,
IF('Server Recommendation Index'!K11 &gt;= 'Server Recommendation Index'!K8, 'Server Recommendation Index'!S8,
"ERROR"))))))</f>
        <v>16</v>
      </c>
      <c r="T11" s="35">
        <f>IF('Server Recommendation Index'!K11 &gt;= 'Server Recommendation Index'!K3, 'Server Recommendation Index'!T3,
IF('Server Recommendation Index'!K11 &gt;= 'Server Recommendation Index'!K4, 'Server Recommendation Index'!T4,
IF('Server Recommendation Index'!K11 &gt;= 'Server Recommendation Index'!K5, 'Server Recommendation Index'!T5,
IF('Server Recommendation Index'!K11 &gt;= 'Server Recommendation Index'!K6, 'Server Recommendation Index'!T6,
IF('Server Recommendation Index'!K11 &gt;= 'Server Recommendation Index'!K7, 'Server Recommendation Index'!T7,
IF('Server Recommendation Index'!K11 &gt;= 'Server Recommendation Index'!K8, 'Server Recommendation Index'!T8,
"ERROR"))))))</f>
        <v>8</v>
      </c>
      <c r="U11" s="5" t="b">
        <f>IF('Server Recommendation Index'!K11 &gt;= 'Server Recommendation Index'!K3, 'Server Recommendation Index'!U3,
IF('Server Recommendation Index'!K11 &gt;= 'Server Recommendation Index'!K4, 'Server Recommendation Index'!U4,
IF('Server Recommendation Index'!K11 &gt;= 'Server Recommendation Index'!K5, 'Server Recommendation Index'!U5,
IF('Server Recommendation Index'!K11 &gt;= 'Server Recommendation Index'!K6, 'Server Recommendation Index'!U6,
IF('Server Recommendation Index'!K11 &gt;= 'Server Recommendation Index'!K7, 'Server Recommendation Index'!U7,
IF('Server Recommendation Index'!K11 &gt;= 'Server Recommendation Index'!K8, 'Server Recommendation Index'!U8,
"ERROR"))))))</f>
        <v>1</v>
      </c>
      <c r="V11" s="5" t="b">
        <f>IF('Server Recommendation Index'!K11 &gt;= 'Server Recommendation Index'!K3, 'Server Recommendation Index'!V3,
IF('Server Recommendation Index'!K11 &gt;= 'Server Recommendation Index'!K4, 'Server Recommendation Index'!V4,
IF('Server Recommendation Index'!K11 &gt;= 'Server Recommendation Index'!K5, 'Server Recommendation Index'!V5,
IF('Server Recommendation Index'!K11 &gt;= 'Server Recommendation Index'!K6, 'Server Recommendation Index'!V6,
IF('Server Recommendation Index'!K11 &gt;= 'Server Recommendation Index'!K7, 'Server Recommendation Index'!V7,
IF('Server Recommendation Index'!K11 &gt;= 'Server Recommendation Index'!K8, 'Server Recommendation Index'!V8,
"ERROR"))))))</f>
        <v>0</v>
      </c>
      <c r="W11" s="5" t="b">
        <f>W10</f>
        <v>0</v>
      </c>
      <c r="X11" s="8"/>
      <c r="Y11" s="8"/>
    </row>
    <row r="12" spans="1:25" ht="32" x14ac:dyDescent="0.2">
      <c r="A12" s="43" t="s">
        <v>111</v>
      </c>
      <c r="B12" s="43" t="s">
        <v>124</v>
      </c>
      <c r="C12" s="43"/>
      <c r="D12" s="43" t="s">
        <v>177</v>
      </c>
      <c r="E12" s="43" t="s">
        <v>124</v>
      </c>
      <c r="F12" s="43"/>
      <c r="G12" s="43"/>
      <c r="H12" s="8"/>
      <c r="I12" s="8"/>
      <c r="J12" s="8" t="s">
        <v>126</v>
      </c>
      <c r="K12" s="5">
        <f>IFERROR(INDEX(K3:K9, MATCH('Provided Values and Forecast'!C17,L3:L9, 0)),0)</f>
        <v>0</v>
      </c>
      <c r="L12" s="5" t="str">
        <f>INDEX(L3:L9, MATCH(K12,K3:K9, 0))</f>
        <v>Use Recommended Server Size</v>
      </c>
      <c r="M12" s="8"/>
      <c r="N12" s="8"/>
      <c r="O12" s="8"/>
      <c r="P12" s="8"/>
      <c r="Q12" s="8"/>
      <c r="R12" s="8"/>
      <c r="S12" s="8"/>
      <c r="T12" s="28"/>
      <c r="U12" s="8"/>
      <c r="V12" s="8"/>
      <c r="W12" s="8"/>
      <c r="X12" s="8"/>
      <c r="Y12" s="8"/>
    </row>
    <row r="13" spans="1:25" x14ac:dyDescent="0.2">
      <c r="A13" s="13">
        <f>(T4-2)*1000*1000*1000</f>
        <v>78000000000</v>
      </c>
      <c r="B13" s="18">
        <v>6</v>
      </c>
      <c r="C13" s="8"/>
      <c r="D13" s="33">
        <v>160</v>
      </c>
      <c r="E13" s="18">
        <v>6</v>
      </c>
      <c r="F13" s="8"/>
      <c r="G13" s="14">
        <v>1</v>
      </c>
      <c r="H13" s="18">
        <v>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28"/>
      <c r="U13" s="8"/>
      <c r="V13" s="8"/>
      <c r="W13" s="8"/>
      <c r="X13" s="8"/>
      <c r="Y13" s="8"/>
    </row>
    <row r="14" spans="1:25" x14ac:dyDescent="0.2">
      <c r="A14" s="13">
        <f>(T5-2)*1000*1000*1000</f>
        <v>28000000000</v>
      </c>
      <c r="B14" s="18">
        <v>5</v>
      </c>
      <c r="C14" s="8"/>
      <c r="D14" s="35">
        <f>SUM(D13 * X4)</f>
        <v>64</v>
      </c>
      <c r="E14" s="18">
        <v>5</v>
      </c>
      <c r="F14" s="8"/>
      <c r="G14" s="2">
        <f>(G13 * X4)</f>
        <v>0.4</v>
      </c>
      <c r="H14" s="18">
        <v>5</v>
      </c>
      <c r="I14" s="8"/>
      <c r="J14" s="8"/>
      <c r="R14" s="25"/>
      <c r="T14"/>
    </row>
    <row r="15" spans="1:25" x14ac:dyDescent="0.2">
      <c r="A15" s="13">
        <f>((T6-2)*X5)*1000*1000*1000</f>
        <v>22400000000.000004</v>
      </c>
      <c r="B15" s="20">
        <v>4</v>
      </c>
      <c r="C15" s="8"/>
      <c r="D15" s="35">
        <f>SUM(D14 * X5)</f>
        <v>51.2</v>
      </c>
      <c r="E15" s="20">
        <v>4</v>
      </c>
      <c r="F15" s="8"/>
      <c r="G15" s="2">
        <f>(G14 * X5)</f>
        <v>0.32000000000000006</v>
      </c>
      <c r="H15" s="20">
        <v>4</v>
      </c>
      <c r="I15" s="8"/>
      <c r="J15" s="8"/>
      <c r="R15" s="25"/>
      <c r="T15"/>
    </row>
    <row r="16" spans="1:25" x14ac:dyDescent="0.2">
      <c r="A16" s="13">
        <f>(T7-2)*1000*1000*1000</f>
        <v>14000000000</v>
      </c>
      <c r="B16" s="20">
        <v>3</v>
      </c>
      <c r="C16" s="8"/>
      <c r="D16" s="35">
        <f>SUM(D15 * X6)</f>
        <v>25.6</v>
      </c>
      <c r="E16" s="20">
        <v>3</v>
      </c>
      <c r="F16" s="8"/>
      <c r="G16" s="2">
        <f>(G15 * X6)</f>
        <v>0.16000000000000003</v>
      </c>
      <c r="H16" s="20">
        <v>3</v>
      </c>
      <c r="I16" s="8"/>
      <c r="J16" s="8"/>
      <c r="R16" s="25"/>
      <c r="T16"/>
    </row>
    <row r="17" spans="1:20" x14ac:dyDescent="0.2">
      <c r="A17" s="13">
        <f>(T8-2)*1000*1000*1000</f>
        <v>6000000000</v>
      </c>
      <c r="B17" s="19">
        <v>2</v>
      </c>
      <c r="C17" s="8"/>
      <c r="D17" s="35">
        <f>SUM(D16 * X7)</f>
        <v>12.8</v>
      </c>
      <c r="E17" s="19">
        <v>2</v>
      </c>
      <c r="F17" s="8"/>
      <c r="G17" s="2">
        <f>(G16 * X7)</f>
        <v>8.0000000000000016E-2</v>
      </c>
      <c r="H17" s="19">
        <v>2</v>
      </c>
      <c r="I17" s="8"/>
      <c r="J17" s="8"/>
      <c r="R17" s="25"/>
      <c r="T17"/>
    </row>
    <row r="18" spans="1:20" x14ac:dyDescent="0.2">
      <c r="A18" s="13">
        <v>0</v>
      </c>
      <c r="B18" s="19">
        <v>1</v>
      </c>
      <c r="C18" s="8"/>
      <c r="D18" s="35">
        <v>0</v>
      </c>
      <c r="E18" s="19">
        <v>1</v>
      </c>
      <c r="F18" s="8"/>
      <c r="G18" s="2">
        <v>0</v>
      </c>
      <c r="H18" s="19">
        <v>1</v>
      </c>
      <c r="I18" s="8"/>
      <c r="J18" s="8"/>
      <c r="M18" s="1"/>
      <c r="R18" s="25"/>
      <c r="T18"/>
    </row>
    <row r="19" spans="1:20" x14ac:dyDescent="0.2">
      <c r="A19" s="13">
        <f>(ABS('Provided Values and Forecast'!F7-1)*('Internal Formula Details'!C49*MIN('Provided Values and Forecast'!E10,'Internal Formula Details'!D49)*'Internal Formula Details'!A7))*1000</f>
        <v>1002777777.7777777</v>
      </c>
      <c r="B19" s="5">
        <f>IF('Server Recommendation Index'!A19 &gt;= 'Server Recommendation Index'!A13, 'Server Recommendation Index'!B13,
IF('Server Recommendation Index'!A19 &gt;= 'Server Recommendation Index'!A14, 'Server Recommendation Index'!B14,
IF('Server Recommendation Index'!A19 &gt;= 'Server Recommendation Index'!A15, 'Server Recommendation Index'!B15,
IF('Server Recommendation Index'!A19 &gt;= 'Server Recommendation Index'!A16, 'Server Recommendation Index'!B16,
IF('Server Recommendation Index'!A19 &gt;= 'Server Recommendation Index'!A17, 'Server Recommendation Index'!B17,
IF('Server Recommendation Index'!A19 &gt;= 'Server Recommendation Index'!A18, 'Server Recommendation Index'!B18,
"ERROR"))))))</f>
        <v>1</v>
      </c>
      <c r="C19" s="8"/>
      <c r="D19" s="2">
        <f>'Internal Formula Details'!C49*'Internal Formula Details'!D49</f>
        <v>10.027777777777777</v>
      </c>
      <c r="E19" s="5">
        <f>IF('Server Recommendation Index'!D19 &gt;= 'Server Recommendation Index'!D13, 'Server Recommendation Index'!E13,
IF('Server Recommendation Index'!D19 &gt;= 'Server Recommendation Index'!D14, 'Server Recommendation Index'!E14,
IF('Server Recommendation Index'!D19 &gt;= 'Server Recommendation Index'!D15, 'Server Recommendation Index'!E15,
IF('Server Recommendation Index'!D19 &gt;= 'Server Recommendation Index'!D16, 'Server Recommendation Index'!E16,
IF('Server Recommendation Index'!D19 &gt;= 'Server Recommendation Index'!D17, 'Server Recommendation Index'!E17,
IF('Server Recommendation Index'!D19 &gt;= 'Server Recommendation Index'!D18, 'Server Recommendation Index'!E18,
"ERROR"))))))</f>
        <v>1</v>
      </c>
      <c r="F19" s="8"/>
      <c r="G19" s="38">
        <v>0</v>
      </c>
      <c r="H19" s="5">
        <f>IF(G19 &gt;= 'Server Recommendation Index'!G13, 'Server Recommendation Index'!H13,
IF(G19 &gt;= 'Server Recommendation Index'!G14, 'Server Recommendation Index'!H14,
IF(G19 &gt;= 'Server Recommendation Index'!G15, 'Server Recommendation Index'!H15,
IF(G19 &gt;= 'Server Recommendation Index'!G16, 'Server Recommendation Index'!H16,
IF(G19 &gt;= 'Server Recommendation Index'!G17, 'Server Recommendation Index'!H17,
IF(G19 &gt;= 'Server Recommendation Index'!G18, 'Server Recommendation Index'!H18,
"ERROR"))))))</f>
        <v>1</v>
      </c>
      <c r="I19" s="8"/>
      <c r="J19" s="8"/>
      <c r="M19" s="1"/>
      <c r="N19" s="1"/>
      <c r="O19" s="1"/>
      <c r="P19" s="1"/>
      <c r="Q19" s="1"/>
    </row>
    <row r="20" spans="1:20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M20" s="1"/>
      <c r="N20" s="1"/>
      <c r="O20" s="1"/>
      <c r="P20" s="1"/>
      <c r="Q20" s="1"/>
    </row>
    <row r="21" spans="1:20" x14ac:dyDescent="0.2">
      <c r="M21" s="1"/>
      <c r="N21" s="1"/>
      <c r="O21" s="1"/>
      <c r="P21" s="1"/>
      <c r="Q21" s="1"/>
    </row>
    <row r="23" spans="1:20" x14ac:dyDescent="0.2">
      <c r="G23" s="12"/>
    </row>
    <row r="24" spans="1:20" x14ac:dyDescent="0.2">
      <c r="G24" s="12"/>
    </row>
    <row r="28" spans="1:20" x14ac:dyDescent="0.2">
      <c r="G28" s="12"/>
    </row>
    <row r="29" spans="1:20" x14ac:dyDescent="0.2">
      <c r="G29" s="12"/>
    </row>
    <row r="30" spans="1:20" x14ac:dyDescent="0.2">
      <c r="G30" s="12"/>
    </row>
    <row r="31" spans="1:20" x14ac:dyDescent="0.2">
      <c r="G31" s="12"/>
    </row>
    <row r="32" spans="1:20" x14ac:dyDescent="0.2">
      <c r="G32" s="12"/>
    </row>
    <row r="33" spans="1:20" x14ac:dyDescent="0.2">
      <c r="G33" s="12"/>
    </row>
    <row r="34" spans="1:20" x14ac:dyDescent="0.2">
      <c r="G34" s="12"/>
    </row>
    <row r="35" spans="1:20" x14ac:dyDescent="0.2">
      <c r="G35" s="12"/>
    </row>
    <row r="36" spans="1:20" x14ac:dyDescent="0.2">
      <c r="G36" s="12"/>
    </row>
    <row r="44" spans="1:20" x14ac:dyDescent="0.2">
      <c r="B44" s="12"/>
      <c r="D44"/>
      <c r="E44"/>
      <c r="F44"/>
      <c r="M44" s="12"/>
      <c r="O44" s="25"/>
      <c r="P44" s="25"/>
      <c r="Q44" s="25"/>
      <c r="T44"/>
    </row>
    <row r="45" spans="1:20" x14ac:dyDescent="0.2">
      <c r="B45" s="12"/>
      <c r="D45"/>
      <c r="E45"/>
      <c r="F45"/>
      <c r="M45" s="12"/>
      <c r="O45" s="25"/>
      <c r="P45" s="25"/>
      <c r="Q45" s="25"/>
      <c r="T45"/>
    </row>
    <row r="46" spans="1:20" x14ac:dyDescent="0.2">
      <c r="B46" s="12"/>
      <c r="D46"/>
      <c r="E46"/>
      <c r="F46"/>
      <c r="M46" s="12"/>
      <c r="O46" s="25"/>
      <c r="P46" s="25"/>
      <c r="Q46" s="25"/>
      <c r="T46"/>
    </row>
    <row r="47" spans="1:20" x14ac:dyDescent="0.2">
      <c r="A47" s="12"/>
      <c r="B47" s="12"/>
      <c r="D47"/>
      <c r="E47"/>
      <c r="F47"/>
      <c r="M47" s="12"/>
      <c r="O47" s="25"/>
      <c r="P47" s="25"/>
      <c r="Q47" s="25"/>
      <c r="T47"/>
    </row>
    <row r="48" spans="1:20" x14ac:dyDescent="0.2">
      <c r="A48" s="12"/>
      <c r="B48" s="12"/>
      <c r="D48"/>
      <c r="E48"/>
      <c r="F48"/>
      <c r="M48" s="12"/>
      <c r="O48" s="25"/>
      <c r="P48" s="25"/>
      <c r="Q48" s="25"/>
      <c r="T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topLeftCell="A19" zoomScale="92" zoomScaleNormal="92" zoomScalePageLayoutView="92" workbookViewId="0">
      <selection activeCell="A50" sqref="A50"/>
    </sheetView>
  </sheetViews>
  <sheetFormatPr baseColWidth="10" defaultRowHeight="16" x14ac:dyDescent="0.2"/>
  <cols>
    <col min="1" max="1" width="53.33203125" bestFit="1" customWidth="1"/>
    <col min="2" max="2" width="55" bestFit="1" customWidth="1"/>
    <col min="3" max="3" width="70.33203125" bestFit="1" customWidth="1"/>
    <col min="4" max="4" width="44.6640625" customWidth="1"/>
    <col min="5" max="5" width="47.5" bestFit="1" customWidth="1"/>
    <col min="6" max="6" width="22.83203125" bestFit="1" customWidth="1"/>
  </cols>
  <sheetData>
    <row r="1" spans="1:3" x14ac:dyDescent="0.2">
      <c r="A1" t="s">
        <v>1</v>
      </c>
    </row>
    <row r="3" spans="1:3" x14ac:dyDescent="0.2">
      <c r="A3" t="s">
        <v>9</v>
      </c>
      <c r="B3" t="s">
        <v>23</v>
      </c>
      <c r="C3" t="s">
        <v>24</v>
      </c>
    </row>
    <row r="4" spans="1:3" x14ac:dyDescent="0.2">
      <c r="A4" s="2">
        <f>('Provided Values and Forecast'!E4+'Provided Values and Forecast'!F4)</f>
        <v>1</v>
      </c>
      <c r="B4" s="2">
        <f>(((('Provided Values and Forecast'!F7+'Provided Values and Forecast'!D7)*'Provided Values and Forecast'!C7)+'Provided Values and Forecast'!G4)*'Provided Values and Forecast'!E4)</f>
        <v>5</v>
      </c>
      <c r="C4" s="2">
        <f>SUM('Provided Values and Forecast'!F4)</f>
        <v>0</v>
      </c>
    </row>
    <row r="6" spans="1:3" x14ac:dyDescent="0.2">
      <c r="A6" t="s">
        <v>39</v>
      </c>
      <c r="B6" t="s">
        <v>40</v>
      </c>
      <c r="C6" t="s">
        <v>41</v>
      </c>
    </row>
    <row r="7" spans="1:3" x14ac:dyDescent="0.2">
      <c r="A7" s="2">
        <f>('Provided Values and Forecast'!D4*1000)</f>
        <v>100000</v>
      </c>
      <c r="B7" s="2">
        <f>(A4*A7)</f>
        <v>100000</v>
      </c>
      <c r="C7" s="2">
        <f>((B4+C4)*A7)</f>
        <v>500000</v>
      </c>
    </row>
    <row r="9" spans="1:3" x14ac:dyDescent="0.2">
      <c r="A9" t="s">
        <v>42</v>
      </c>
      <c r="B9" t="s">
        <v>22</v>
      </c>
      <c r="C9" s="12" t="s">
        <v>21</v>
      </c>
    </row>
    <row r="10" spans="1:3" x14ac:dyDescent="0.2">
      <c r="A10" s="2">
        <f>(A7*1.3333333333333*'Provided Values and Forecast'!F7)</f>
        <v>0</v>
      </c>
      <c r="B10" s="2">
        <f>((A7+A10)*'Provided Values and Forecast'!E4)*'Provided Values and Forecast'!C7*'Provided Values and Forecast'!F7</f>
        <v>0</v>
      </c>
      <c r="C10" s="2">
        <f>SUM(B10)</f>
        <v>0</v>
      </c>
    </row>
    <row r="12" spans="1:3" ht="48" x14ac:dyDescent="0.2">
      <c r="A12" s="3" t="s">
        <v>43</v>
      </c>
      <c r="B12" t="s">
        <v>44</v>
      </c>
      <c r="C12" t="s">
        <v>45</v>
      </c>
    </row>
    <row r="13" spans="1:3" x14ac:dyDescent="0.2">
      <c r="A13" s="2">
        <f>((A10-A7)*'Provided Values and Forecast'!E4*'Provided Values and Forecast'!D7*'Provided Values and Forecast'!C7)*'Provided Values and Forecast'!F7</f>
        <v>0</v>
      </c>
      <c r="B13" s="5">
        <f>('Provided Values and Forecast'!D7*'Provided Values and Forecast'!E7)</f>
        <v>400</v>
      </c>
      <c r="C13" s="2">
        <f>(A10+B13)*'Provided Values and Forecast'!E4</f>
        <v>400</v>
      </c>
    </row>
    <row r="15" spans="1:3" x14ac:dyDescent="0.2">
      <c r="A15" t="s">
        <v>46</v>
      </c>
      <c r="B15" t="s">
        <v>47</v>
      </c>
    </row>
    <row r="16" spans="1:3" x14ac:dyDescent="0.2">
      <c r="A16" s="2">
        <f>(A4*A7*'Recommended Configuration'!C8)</f>
        <v>0</v>
      </c>
      <c r="B16" s="2">
        <f>(('Recommended Configuration'!C8*C13))</f>
        <v>0</v>
      </c>
    </row>
    <row r="18" spans="1:3" x14ac:dyDescent="0.2">
      <c r="A18" t="s">
        <v>48</v>
      </c>
      <c r="B18" t="s">
        <v>49</v>
      </c>
    </row>
    <row r="19" spans="1:3" x14ac:dyDescent="0.2">
      <c r="A19" s="2">
        <f>('Provided Values and Forecast'!E4*'Provided Values and Forecast'!G7*A7)</f>
        <v>0</v>
      </c>
      <c r="B19" s="2">
        <f>(C13*'Provided Values and Forecast'!G7)</f>
        <v>0</v>
      </c>
    </row>
    <row r="21" spans="1:3" x14ac:dyDescent="0.2">
      <c r="A21" t="s">
        <v>50</v>
      </c>
      <c r="B21" t="s">
        <v>51</v>
      </c>
    </row>
    <row r="22" spans="1:3" x14ac:dyDescent="0.2">
      <c r="A22" s="2">
        <f>(C7+B16+B19+A19+A16+B10+A13)</f>
        <v>500000</v>
      </c>
      <c r="B22" s="2">
        <f>(C13+B7+C10)</f>
        <v>100400</v>
      </c>
    </row>
    <row r="24" spans="1:3" x14ac:dyDescent="0.2">
      <c r="A24" t="s">
        <v>71</v>
      </c>
      <c r="B24" t="s">
        <v>72</v>
      </c>
    </row>
    <row r="25" spans="1:3" x14ac:dyDescent="0.2">
      <c r="A25" s="2">
        <f>(A22*'Provided Values and Forecast'!C4)</f>
        <v>5000000000</v>
      </c>
      <c r="B25" s="2">
        <f>(B22*'Provided Values and Forecast'!C4)</f>
        <v>1004000000</v>
      </c>
    </row>
    <row r="27" spans="1:3" x14ac:dyDescent="0.2">
      <c r="A27" t="s">
        <v>73</v>
      </c>
      <c r="B27" t="s">
        <v>74</v>
      </c>
      <c r="C27" t="s">
        <v>75</v>
      </c>
    </row>
    <row r="28" spans="1:3" x14ac:dyDescent="0.2">
      <c r="A28" s="2">
        <f>((A25+B25))</f>
        <v>6004000000</v>
      </c>
      <c r="B28" s="2">
        <f>(B19+A19+B16+A16+A7)</f>
        <v>100000</v>
      </c>
      <c r="C28" s="2">
        <f>B28*'Provided Values and Forecast'!C4</f>
        <v>1000000000</v>
      </c>
    </row>
    <row r="30" spans="1:3" x14ac:dyDescent="0.2">
      <c r="A30" t="s">
        <v>8</v>
      </c>
      <c r="B30" t="s">
        <v>4</v>
      </c>
      <c r="C30" t="s">
        <v>5</v>
      </c>
    </row>
    <row r="31" spans="1:3" x14ac:dyDescent="0.2">
      <c r="A31" s="6">
        <f>(ABS('Recommended Configuration'!E8-1)*0.1)</f>
        <v>0</v>
      </c>
      <c r="B31" s="34">
        <v>2.7400000000000001E-2</v>
      </c>
      <c r="C31" s="34">
        <v>5.0000000000000001E-3</v>
      </c>
    </row>
    <row r="33" spans="1:4" x14ac:dyDescent="0.2">
      <c r="A33" t="s">
        <v>76</v>
      </c>
      <c r="B33" t="s">
        <v>6</v>
      </c>
    </row>
    <row r="34" spans="1:4" x14ac:dyDescent="0.2">
      <c r="A34" s="7">
        <f>(B25/A25)</f>
        <v>0.20080000000000001</v>
      </c>
      <c r="B34" s="6">
        <f>(B31+C31)</f>
        <v>3.2399999999999998E-2</v>
      </c>
    </row>
    <row r="36" spans="1:4" ht="32" x14ac:dyDescent="0.2">
      <c r="A36" s="3" t="s">
        <v>31</v>
      </c>
      <c r="B36" t="s">
        <v>10</v>
      </c>
      <c r="C36" t="s">
        <v>11</v>
      </c>
    </row>
    <row r="37" spans="1:4" x14ac:dyDescent="0.2">
      <c r="A37" s="2">
        <f>('Recommended Configuration'!I8-('Recommended Configuration'!I8*B34))</f>
        <v>967.6</v>
      </c>
      <c r="B37" s="2">
        <f>((C31*'Recommended Configuration'!G8)+((1-C31)*'Recommended Configuration'!F8)) * (1-A31)</f>
        <v>750</v>
      </c>
      <c r="C37" s="2">
        <f>(ABS('Recommended Configuration'!H8-1)*('Internal Formula Details'!B37*'Internal Formula Details'!A34))+A37</f>
        <v>1118.2</v>
      </c>
    </row>
    <row r="39" spans="1:4" x14ac:dyDescent="0.2">
      <c r="B39" t="s">
        <v>37</v>
      </c>
    </row>
    <row r="40" spans="1:4" x14ac:dyDescent="0.2">
      <c r="B40" s="2">
        <f>((MIN(C37,B37))/8)*1000</f>
        <v>93750</v>
      </c>
    </row>
    <row r="42" spans="1:4" x14ac:dyDescent="0.2">
      <c r="B42" t="s">
        <v>32</v>
      </c>
    </row>
    <row r="43" spans="1:4" x14ac:dyDescent="0.2">
      <c r="B43" s="2">
        <f>MAX((C28/B40),(A28/B40))</f>
        <v>64042.666666666664</v>
      </c>
    </row>
    <row r="44" spans="1:4" s="12" customFormat="1" x14ac:dyDescent="0.2"/>
    <row r="45" spans="1:4" s="12" customFormat="1" x14ac:dyDescent="0.2">
      <c r="A45" s="12" t="s">
        <v>133</v>
      </c>
      <c r="B45" s="12" t="s">
        <v>134</v>
      </c>
    </row>
    <row r="46" spans="1:4" s="12" customFormat="1" x14ac:dyDescent="0.2">
      <c r="A46" s="34">
        <v>0.85</v>
      </c>
      <c r="B46" s="2">
        <f>SUM('Recommended Configuration'!C4*'Internal Formula Details'!A46)</f>
        <v>2.841203703703703</v>
      </c>
    </row>
    <row r="47" spans="1:4" s="12" customFormat="1" x14ac:dyDescent="0.2"/>
    <row r="48" spans="1:4" x14ac:dyDescent="0.2">
      <c r="A48" s="12" t="s">
        <v>142</v>
      </c>
      <c r="B48" s="12" t="s">
        <v>158</v>
      </c>
      <c r="C48" s="12" t="s">
        <v>155</v>
      </c>
      <c r="D48" t="s">
        <v>162</v>
      </c>
    </row>
    <row r="49" spans="1:8" s="12" customFormat="1" x14ac:dyDescent="0.2">
      <c r="A49" s="5">
        <f>'Recommended Configuration'!C8+'Provided Values and Forecast'!G7+1</f>
        <v>1</v>
      </c>
      <c r="B49" s="6">
        <f>'User Experience KPI'!I5/(15*60)</f>
        <v>0.40111111111111108</v>
      </c>
      <c r="C49" s="2">
        <f>SUM(B49*'Provided Values and Forecast'!D10)</f>
        <v>10.027777777777777</v>
      </c>
      <c r="D49" s="2">
        <f>MIN('Provided Values and Forecast'!G10, 'Provided Values and Forecast'!E10+'Provided Values and Forecast'!F10)</f>
        <v>1</v>
      </c>
    </row>
    <row r="50" spans="1:8" s="12" customFormat="1" x14ac:dyDescent="0.2"/>
    <row r="51" spans="1:8" ht="48" x14ac:dyDescent="0.2">
      <c r="A51" t="s">
        <v>136</v>
      </c>
      <c r="B51" t="s">
        <v>138</v>
      </c>
      <c r="C51" t="s">
        <v>137</v>
      </c>
      <c r="D51" s="37" t="s">
        <v>140</v>
      </c>
    </row>
    <row r="52" spans="1:8" x14ac:dyDescent="0.2">
      <c r="A52" s="38">
        <f>MIN( ('Recommended Configuration'!C8*'Recommended Configuration'!D8)+B46+'Provided Values and Forecast'!G7, C52*A49)</f>
        <v>2.841203703703703</v>
      </c>
      <c r="B52" s="38">
        <f>(A52+C52)</f>
        <v>12.86898148148148</v>
      </c>
      <c r="C52" s="38">
        <f>('Internal Formula Details'!C49*'Internal Formula Details'!D49)</f>
        <v>10.027777777777777</v>
      </c>
      <c r="D52" s="38">
        <f>A52/C52</f>
        <v>0.28333333333333327</v>
      </c>
    </row>
    <row r="54" spans="1:8" x14ac:dyDescent="0.2">
      <c r="A54" t="s">
        <v>54</v>
      </c>
      <c r="B54" t="s">
        <v>135</v>
      </c>
      <c r="C54" t="s">
        <v>139</v>
      </c>
      <c r="D54" s="12" t="s">
        <v>141</v>
      </c>
    </row>
    <row r="55" spans="1:8" x14ac:dyDescent="0.2">
      <c r="A55" s="2">
        <f>SUM(A58/C52)</f>
        <v>120614.95844875347</v>
      </c>
      <c r="B55" s="2">
        <f>MIN(A55,C55)</f>
        <v>7284.9588085045152</v>
      </c>
      <c r="C55" s="2">
        <f>(B40/B52)</f>
        <v>7284.9588085045152</v>
      </c>
      <c r="D55" s="2">
        <f>(B40/B52)*D52</f>
        <v>2064.0716624096121</v>
      </c>
    </row>
    <row r="56" spans="1:8" x14ac:dyDescent="0.2">
      <c r="H56" s="12"/>
    </row>
    <row r="57" spans="1:8" x14ac:dyDescent="0.2">
      <c r="A57" t="s">
        <v>38</v>
      </c>
      <c r="C57" t="s">
        <v>77</v>
      </c>
    </row>
    <row r="58" spans="1:8" x14ac:dyDescent="0.2">
      <c r="A58" s="2">
        <f>(('Provided Values and Forecast'!C10-'Provided Values and Forecast'!C10*B34)/8)*1000</f>
        <v>1209500</v>
      </c>
      <c r="C58" s="2">
        <f>'Provided Values and Forecast'!E10+'Provided Values and Forecast'!F10</f>
        <v>6</v>
      </c>
    </row>
    <row r="59" spans="1:8" x14ac:dyDescent="0.2">
      <c r="C59" s="12"/>
    </row>
    <row r="60" spans="1:8" x14ac:dyDescent="0.2">
      <c r="A60" t="s">
        <v>82</v>
      </c>
      <c r="B60" s="12" t="s">
        <v>83</v>
      </c>
      <c r="C60" t="s">
        <v>86</v>
      </c>
    </row>
    <row r="61" spans="1:8" x14ac:dyDescent="0.2">
      <c r="A61" s="2">
        <f>((A7)+(A7*'Recommended Configuration'!C8))</f>
        <v>100000</v>
      </c>
      <c r="B61" s="2">
        <f>(A7*'Recommended Configuration'!C8)+A7</f>
        <v>100000</v>
      </c>
      <c r="C61" s="2">
        <f>IF('Provided Values and Forecast'!F10 &lt; 1, 0, MAX('Internal Formula Details'!A61/'Internal Formula Details'!B55, 'Internal Formula Details'!B61/'Internal Formula Details'!B55))</f>
        <v>13.726913580246913</v>
      </c>
    </row>
    <row r="63" spans="1:8" s="12" customFormat="1" ht="32" x14ac:dyDescent="0.2">
      <c r="A63" s="12" t="s">
        <v>80</v>
      </c>
      <c r="B63" s="12" t="s">
        <v>81</v>
      </c>
      <c r="C63" s="3" t="s">
        <v>144</v>
      </c>
      <c r="D63" s="12" t="s">
        <v>87</v>
      </c>
    </row>
    <row r="64" spans="1:8" s="12" customFormat="1" x14ac:dyDescent="0.2">
      <c r="A64" s="2">
        <f>A22+B22</f>
        <v>600400</v>
      </c>
      <c r="B64" s="2">
        <f>B28</f>
        <v>100000</v>
      </c>
      <c r="C64" s="2">
        <f>IF('Provided Values and Forecast'!E10&lt;1,0,(MAX(('Internal Formula Details'!A64-A7)/'Internal Formula Details'!D55,('Internal Formula Details'!B64-A7)/'Internal Formula Details'!D55)))</f>
        <v>242.43344313725495</v>
      </c>
      <c r="D64" s="2">
        <f>IF('Provided Values and Forecast'!E10&lt;1,0,A7/B55)</f>
        <v>13.726913580246913</v>
      </c>
    </row>
    <row r="65" spans="1:4" s="12" customFormat="1" x14ac:dyDescent="0.2"/>
    <row r="66" spans="1:4" s="12" customFormat="1" x14ac:dyDescent="0.2">
      <c r="A66" s="12" t="s">
        <v>84</v>
      </c>
      <c r="B66" s="12" t="s">
        <v>85</v>
      </c>
    </row>
    <row r="67" spans="1:4" s="12" customFormat="1" x14ac:dyDescent="0.2">
      <c r="A67" s="2">
        <f>(A61*'Provided Values and Forecast'!F10)</f>
        <v>500000</v>
      </c>
      <c r="B67" s="2">
        <f>(B61*'Provided Values and Forecast'!F10)</f>
        <v>500000</v>
      </c>
    </row>
    <row r="68" spans="1:4" s="12" customFormat="1" x14ac:dyDescent="0.2"/>
    <row r="69" spans="1:4" s="12" customFormat="1" x14ac:dyDescent="0.2">
      <c r="A69" s="12" t="s">
        <v>163</v>
      </c>
      <c r="B69" s="12" t="s">
        <v>164</v>
      </c>
      <c r="C69" s="12" t="s">
        <v>165</v>
      </c>
      <c r="D69" s="12" t="s">
        <v>166</v>
      </c>
    </row>
    <row r="70" spans="1:4" s="12" customFormat="1" x14ac:dyDescent="0.2">
      <c r="A70" s="38">
        <f>MAX(A73,B73)/A7</f>
        <v>11.004</v>
      </c>
      <c r="B70" s="5">
        <f>SUM('Provided Values and Forecast'!E4*('Provided Values and Forecast'!G4+'Provided Values and Forecast'!D7+'Provided Values and Forecast'!F7))*'Provided Values and Forecast'!C7</f>
        <v>5</v>
      </c>
      <c r="C70" s="2">
        <f>B70*C49</f>
        <v>50.138888888888886</v>
      </c>
      <c r="D70" s="2">
        <f>SUM(C70/B46)</f>
        <v>17.647058823529417</v>
      </c>
    </row>
    <row r="71" spans="1:4" s="12" customFormat="1" x14ac:dyDescent="0.2"/>
    <row r="72" spans="1:4" s="12" customFormat="1" x14ac:dyDescent="0.2">
      <c r="A72" t="s">
        <v>35</v>
      </c>
      <c r="B72" s="12" t="s">
        <v>36</v>
      </c>
    </row>
    <row r="73" spans="1:4" s="12" customFormat="1" x14ac:dyDescent="0.2">
      <c r="A73" s="2">
        <f>A67+(A64*'Provided Values and Forecast'!E10)</f>
        <v>1100400</v>
      </c>
      <c r="B73" s="2">
        <f>B67+(B64*'Provided Values and Forecast'!E10)</f>
        <v>600000</v>
      </c>
    </row>
    <row r="74" spans="1:4" s="12" customFormat="1" x14ac:dyDescent="0.2"/>
    <row r="75" spans="1:4" x14ac:dyDescent="0.2">
      <c r="A75" s="12" t="s">
        <v>78</v>
      </c>
      <c r="B75" t="s">
        <v>79</v>
      </c>
    </row>
    <row r="76" spans="1:4" x14ac:dyDescent="0.2">
      <c r="A76" s="2">
        <f>SUM(A73*'Internal Formula Details'!C49)</f>
        <v>11034566.666666666</v>
      </c>
      <c r="B76" s="2">
        <f>SUM(B73*'Internal Formula Details'!C49)</f>
        <v>6016666.666666666</v>
      </c>
    </row>
    <row r="78" spans="1:4" x14ac:dyDescent="0.2">
      <c r="A78" t="s">
        <v>53</v>
      </c>
    </row>
    <row r="79" spans="1:4" x14ac:dyDescent="0.2">
      <c r="A79" s="35">
        <f>MAX(C61,D64)</f>
        <v>13.726913580246913</v>
      </c>
    </row>
    <row r="81" spans="1:5" x14ac:dyDescent="0.2">
      <c r="A81" t="s">
        <v>145</v>
      </c>
      <c r="B81" t="s">
        <v>147</v>
      </c>
      <c r="C81" t="s">
        <v>148</v>
      </c>
      <c r="D81" t="s">
        <v>146</v>
      </c>
      <c r="E81" t="s">
        <v>143</v>
      </c>
    </row>
    <row r="82" spans="1:5" x14ac:dyDescent="0.2">
      <c r="A82" s="2">
        <f>(D64*'Provided Values and Forecast'!E10)+('Internal Formula Details'!C61*'Provided Values and Forecast'!F10)</f>
        <v>82.361481481481476</v>
      </c>
      <c r="B82" s="2">
        <f>SUM(C61*'Provided Values and Forecast'!F10)</f>
        <v>68.634567901234561</v>
      </c>
      <c r="C82" s="2">
        <f>SUM(D64*'Provided Values and Forecast'!E10)</f>
        <v>13.726913580246913</v>
      </c>
      <c r="D82" s="2">
        <f>SUM(C64*'Provided Values and Forecast'!E10)</f>
        <v>242.43344313725495</v>
      </c>
      <c r="E82" s="2">
        <f>(C82+D82 +B82)</f>
        <v>324.79492461873645</v>
      </c>
    </row>
    <row r="84" spans="1:5" x14ac:dyDescent="0.2">
      <c r="A84" s="8" t="s">
        <v>123</v>
      </c>
      <c r="B84" s="8"/>
      <c r="C84" s="8"/>
      <c r="D84" s="8"/>
      <c r="E84" s="8"/>
    </row>
    <row r="85" spans="1:5" x14ac:dyDescent="0.2">
      <c r="A85" t="s">
        <v>122</v>
      </c>
      <c r="B85" t="s">
        <v>33</v>
      </c>
      <c r="C85" t="s">
        <v>34</v>
      </c>
      <c r="D85" t="s">
        <v>18</v>
      </c>
      <c r="E85" s="11" t="s">
        <v>17</v>
      </c>
    </row>
    <row r="86" spans="1:5" x14ac:dyDescent="0.2">
      <c r="A86" s="13">
        <f>SUM((('Internal Formula Details'!A28)*'Recommended Configuration'!H8)+'Internal Formula Details'!C28)*1000</f>
        <v>1000000000000</v>
      </c>
      <c r="B86" s="13">
        <f>SUM((('Internal Formula Details'!A73)*'Recommended Configuration'!H8)+'Internal Formula Details'!B73)*1000</f>
        <v>600000000</v>
      </c>
      <c r="C86" s="13">
        <f>SUM(('Internal Formula Details'!A73)*ABS('Recommended Configuration'!H8-1))*1000</f>
        <v>1100400000</v>
      </c>
      <c r="D86" s="13">
        <f>SUM(('Internal Formula Details'!A28)*ABS('Recommended Configuration'!H8-1))*1000</f>
        <v>6004000000000</v>
      </c>
      <c r="E86" s="13">
        <f>SUM('Provided Values and Forecast'!C4*'Provided Values and Forecast'!D4)*1000*1000</f>
        <v>1000000000000</v>
      </c>
    </row>
    <row r="87" spans="1:5" x14ac:dyDescent="0.2">
      <c r="A87" s="8"/>
      <c r="B87" s="8"/>
      <c r="C87" s="8"/>
      <c r="D87" s="8"/>
      <c r="E87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Provided Values and Forecast</vt:lpstr>
      <vt:lpstr>Recommended Configuration</vt:lpstr>
      <vt:lpstr>User Experience KPI</vt:lpstr>
      <vt:lpstr>Server Recommendation Index</vt:lpstr>
      <vt:lpstr>Internal Formula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2016-04-25T16:24:52Z</dcterms:created>
  <dcterms:modified xsi:type="dcterms:W3CDTF">2016-08-02T17:20:53Z</dcterms:modified>
</cp:coreProperties>
</file>