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08"/>
  <workbookPr/>
  <mc:AlternateContent xmlns:mc="http://schemas.openxmlformats.org/markup-compatibility/2006">
    <mc:Choice Requires="x15">
      <x15ac:absPath xmlns:x15ac="http://schemas.microsoft.com/office/spreadsheetml/2010/11/ac" url="/Users/aheimoz/Downloads/"/>
    </mc:Choice>
  </mc:AlternateContent>
  <xr:revisionPtr revIDLastSave="0" documentId="13_ncr:1_{6C507DAD-C7ED-B34D-843E-58E443EC7956}" xr6:coauthVersionLast="45" xr6:coauthVersionMax="45" xr10:uidLastSave="{00000000-0000-0000-0000-000000000000}"/>
  <bookViews>
    <workbookView xWindow="15860" yWindow="5800" windowWidth="34220" windowHeight="19340" tabRatio="500" xr2:uid="{00000000-000D-0000-FFFF-FFFF00000000}"/>
  </bookViews>
  <sheets>
    <sheet name="Instructions" sheetId="2" r:id="rId1"/>
    <sheet name="Project Heartbeat" sheetId="3" r:id="rId2"/>
    <sheet name="Status by Role" sheetId="4" r:id="rId3"/>
    <sheet name="Project Sponsor" sheetId="5" r:id="rId4"/>
    <sheet name="Project Manager" sheetId="6" r:id="rId5"/>
    <sheet name="Architect" sheetId="7" r:id="rId6"/>
    <sheet name="Business Analyst" sheetId="8" r:id="rId7"/>
    <sheet name="Development Lead" sheetId="9" r:id="rId8"/>
    <sheet name="Quality Lead" sheetId="10" r:id="rId9"/>
    <sheet name="System Engineer" sheetId="11" r:id="rId10"/>
    <sheet name="Security Lead" sheetId="12" r:id="rId11"/>
    <sheet name="Glossary" sheetId="13" r:id="rId12"/>
    <sheet name="Persona Definitions" sheetId="14" r:id="rId13"/>
  </sheets>
  <definedNames>
    <definedName name="Arch_Dev_Complete">Architect!$D$104</definedName>
    <definedName name="Arch_Dev_In_Current">Architect!$F$104</definedName>
    <definedName name="Arch_Dev_In_Max">Architect!$E$104</definedName>
    <definedName name="Arch_Dev_Out_Current">Architect!$M$104</definedName>
    <definedName name="Arch_Dev_Out_Max">Architect!$L$104</definedName>
    <definedName name="Arch_Dev_Q">Architect!$H$104</definedName>
    <definedName name="Arch_DevP_Complete">Architect!$D$82</definedName>
    <definedName name="Arch_DevP_In_Current">Architect!$F$82</definedName>
    <definedName name="Arch_DevP_In_Max">Architect!$E$82</definedName>
    <definedName name="Arch_DevP_Out_Current">Architect!$M$82</definedName>
    <definedName name="Arch_DevP_Out_Max">Architect!$L$82</definedName>
    <definedName name="Arch_DevP_Q">Architect!$H$82</definedName>
    <definedName name="Arch_Live_Complete">Architect!$D$132</definedName>
    <definedName name="Arch_Live_In_Current">Architect!$F$132</definedName>
    <definedName name="Arch_Live_In_Max">Architect!$E$132</definedName>
    <definedName name="Arch_Live_Out_Current">Architect!$M$132</definedName>
    <definedName name="Arch_Live_Out_Max">Architect!$L$132</definedName>
    <definedName name="Arch_Live_Q">Architect!$H$132</definedName>
    <definedName name="Arch_Ops_Complete">Architect!$D$89</definedName>
    <definedName name="Arch_Ops_In_Current">Architect!$F$89</definedName>
    <definedName name="Arch_Ops_In_Max">Architect!$E$89</definedName>
    <definedName name="Arch_Ops_Out_Current">Architect!$M$89</definedName>
    <definedName name="Arch_Ops_Out_Max">Architect!$L$89</definedName>
    <definedName name="Arch_Ops_Q">Architect!$H$89</definedName>
    <definedName name="Arch_Plan_Complete">Architect!$D$44</definedName>
    <definedName name="Arch_Plan_In_Current">Architect!$F$44</definedName>
    <definedName name="Arch_Plan_In_Max">Architect!$E$44</definedName>
    <definedName name="Arch_Plan_Out_Current">Architect!$M$44</definedName>
    <definedName name="Arch_Plan_Out_Max">Architect!$L$44</definedName>
    <definedName name="Arch_Plan_Q">Architect!$H$44</definedName>
    <definedName name="Arch_Prep_In_Complete">Architect!$D$15</definedName>
    <definedName name="Arch_Prep_In_Current">Architect!$F$15</definedName>
    <definedName name="Arch_Prep_In_Max">Architect!$E$15</definedName>
    <definedName name="Arch_Prep_In_Q">Architect!$H$15</definedName>
    <definedName name="Arch_Prep_Out_Current">Architect!$M$15</definedName>
    <definedName name="Arch_Prep_Out_Max">Architect!$L$15</definedName>
    <definedName name="Arch_Roll_Complete">Architect!$D$118</definedName>
    <definedName name="Arch_Roll_In_Current">Architect!$F$118</definedName>
    <definedName name="Arch_Roll_In_Max">Architect!$E$118</definedName>
    <definedName name="Arch_Roll_Out_Current">Architect!$M$118</definedName>
    <definedName name="Arch_Roll_Out_Max">Architect!$L$118</definedName>
    <definedName name="Arch_Roll_Q">Architect!$H$118</definedName>
    <definedName name="Arch_Test_Complete">Architect!$D$113</definedName>
    <definedName name="Arch_Test_In_Current">Architect!$F$113</definedName>
    <definedName name="Arch_Test_In_Max">Architect!$E$113</definedName>
    <definedName name="Arch_Test_Out_Current">Architect!$M$113</definedName>
    <definedName name="Arch_Test_Out_Max">Architect!$L$113</definedName>
    <definedName name="Arch_Test_Q">Architect!$H$113</definedName>
    <definedName name="BA_Dev_Complete">'Business Analyst'!$D$74</definedName>
    <definedName name="BA_Dev_In_Current">'Business Analyst'!$F$74</definedName>
    <definedName name="BA_Dev_In_Max">'Business Analyst'!$E$74</definedName>
    <definedName name="BA_Dev_Out_Current">'Business Analyst'!$M$74</definedName>
    <definedName name="BA_Dev_Out_Max">'Business Analyst'!$L$74</definedName>
    <definedName name="BA_Dev_Q">'Business Analyst'!$H$74</definedName>
    <definedName name="BA_DevP_Out_Max">'Business Analyst'!$L$67</definedName>
    <definedName name="BA_DevPrep_Complete">'Business Analyst'!$D$67</definedName>
    <definedName name="BA_DevPrep_In_Current">'Business Analyst'!$F$67</definedName>
    <definedName name="BA_DevPrep_In_Max">'Business Analyst'!$E$67</definedName>
    <definedName name="BA_DevPrep_Out_Current">'Business Analyst'!$M$67</definedName>
    <definedName name="BA_DevPrep_Q">'Business Analyst'!$H$67</definedName>
    <definedName name="BA_Plan_Complete">'Business Analyst'!$D$38</definedName>
    <definedName name="BA_Plan_In_Current">'Business Analyst'!$F$38</definedName>
    <definedName name="BA_Plan_In_Max">'Business Analyst'!$E$38</definedName>
    <definedName name="BA_Plan_Out_Current">'Business Analyst'!$M$38</definedName>
    <definedName name="BA_Plan_Out_Max">'Business Analyst'!$L$38</definedName>
    <definedName name="BA_Plan_Q">'Business Analyst'!$H$38</definedName>
    <definedName name="BA_Prep_Complete">'Business Analyst'!$D$10</definedName>
    <definedName name="BA_Prep_In_Current">'Business Analyst'!$F$10</definedName>
    <definedName name="BA_Prep_In_Max">'Business Analyst'!$E$10</definedName>
    <definedName name="BA_Prep_Out_Current">'Business Analyst'!$M$10</definedName>
    <definedName name="BA_Prep_Out_Max">'Business Analyst'!$L$10</definedName>
    <definedName name="BA_Prep_Q">'Business Analyst'!$H$10</definedName>
    <definedName name="Complete_Dev">'Status by Role'!$AJ$19</definedName>
    <definedName name="Complete_DevP">'Status by Role'!$AJ$16</definedName>
    <definedName name="Complete_Live">'Status by Role'!$AJ$28</definedName>
    <definedName name="Complete_Ops">'Status by Role'!$AJ$13</definedName>
    <definedName name="Complete_Plan">'Status by Role'!$AJ$10</definedName>
    <definedName name="Complete_Prep">'Status by Role'!$AJ$7</definedName>
    <definedName name="Complete_Roll">'Status by Role'!$AJ$25</definedName>
    <definedName name="Complete_Test">'Status by Role'!$AJ$22</definedName>
    <definedName name="Dev_Dev_Complete">'Development Lead'!$D$92</definedName>
    <definedName name="Dev_Dev_In_Current">'Development Lead'!$F$92</definedName>
    <definedName name="Dev_Dev_In_Max">'Development Lead'!$E$92</definedName>
    <definedName name="Dev_Dev_Out_Current">'Development Lead'!$M$92</definedName>
    <definedName name="Dev_Dev_Out_Max">'Development Lead'!$L$92</definedName>
    <definedName name="Dev_Dev_Q">'Development Lead'!$H$92</definedName>
    <definedName name="Dev_DevP_Complete">'Development Lead'!$D$70</definedName>
    <definedName name="Dev_DevP_In_Current">'Development Lead'!$F$70</definedName>
    <definedName name="Dev_DevP_In_Max">'Development Lead'!$E$70</definedName>
    <definedName name="Dev_DevP_Out_Current">'Development Lead'!$M$70</definedName>
    <definedName name="Dev_DevP_Out_Max">'Development Lead'!$L$70</definedName>
    <definedName name="Dev_DevP_Q">'Development Lead'!$H$70</definedName>
    <definedName name="Dev_Live_Complete">'Development Lead'!$D$114</definedName>
    <definedName name="Dev_Live_In_Current">'Development Lead'!$F$114</definedName>
    <definedName name="Dev_Live_In_Max">'Development Lead'!$E$114</definedName>
    <definedName name="Dev_Live_Out_Current">'Development Lead'!$M$114</definedName>
    <definedName name="Dev_Live_Out_Max">'Development Lead'!$L$114</definedName>
    <definedName name="Dev_Live_Q">'Development Lead'!$H$114</definedName>
    <definedName name="Dev_Ops_Complete">'Development Lead'!$D$77</definedName>
    <definedName name="Dev_Ops_In_Current">'Development Lead'!$F$77</definedName>
    <definedName name="Dev_Ops_In_Max">'Development Lead'!$E$77</definedName>
    <definedName name="Dev_Ops_Out_Current">'Development Lead'!$M$77</definedName>
    <definedName name="Dev_Ops_Out_Max">'Development Lead'!$L$77</definedName>
    <definedName name="Dev_Ops_Q">'Development Lead'!$H$77</definedName>
    <definedName name="Dev_Plan_Complete">'Development Lead'!$D$35</definedName>
    <definedName name="Dev_Plan_In_Current">'Development Lead'!$F$35</definedName>
    <definedName name="Dev_Plan_In_Max">'Development Lead'!$E$35</definedName>
    <definedName name="Dev_Plan_Out_Current">'Development Lead'!$M$35</definedName>
    <definedName name="Dev_Plan_Out_Max">'Development Lead'!$L$35</definedName>
    <definedName name="Dev_Plan_Q">'Development Lead'!$H$35</definedName>
    <definedName name="Dev_Prep_Complete">'Development Lead'!$D$8</definedName>
    <definedName name="Dev_Prep_In_Current">'Development Lead'!$F$8</definedName>
    <definedName name="Dev_Prep_In_Max">'Development Lead'!$E$8</definedName>
    <definedName name="Dev_Prep_Out_Current">'Development Lead'!$M$8</definedName>
    <definedName name="Dev_Prep_Out_Max">'Development Lead'!$L$8</definedName>
    <definedName name="Dev_Prep_Q">'Development Lead'!$H$8</definedName>
    <definedName name="Dev_Roll_Complete">'Development Lead'!$D$105</definedName>
    <definedName name="Dev_Roll_In_Current">'Development Lead'!$F$105</definedName>
    <definedName name="Dev_Roll_In_Max">'Development Lead'!$E$105</definedName>
    <definedName name="Dev_Roll_Out_Current">'Development Lead'!$M$105</definedName>
    <definedName name="Dev_Roll_Out_Max">'Development Lead'!$L$105</definedName>
    <definedName name="Dev_Roll_Q">'Development Lead'!$H$105</definedName>
    <definedName name="Dev_Test_Complete">'Development Lead'!$D$101</definedName>
    <definedName name="Dev_Test_In_Current">'Development Lead'!$F$101</definedName>
    <definedName name="Dev_Test_In_Max">'Development Lead'!$E$101</definedName>
    <definedName name="Dev_Test_Out_Current">'Development Lead'!$M$101</definedName>
    <definedName name="Dev_Test_Out_Max">'Development Lead'!$L$101</definedName>
    <definedName name="Dev_Test_Q">'Development Lead'!$H$101</definedName>
    <definedName name="Health_Dev">'Status by Role'!$AH$19</definedName>
    <definedName name="Health_DevP">'Status by Role'!$AH$16</definedName>
    <definedName name="Health_Live">'Status by Role'!$AH$28</definedName>
    <definedName name="Health_Ops">'Status by Role'!$AH$13</definedName>
    <definedName name="Health_Plan">'Status by Role'!$AH$10</definedName>
    <definedName name="Health_Prep">'Status by Role'!$AH$7</definedName>
    <definedName name="Health_Roll">'Status by Role'!$AH$25</definedName>
    <definedName name="Health_Test">'Status by Role'!$AH$22</definedName>
    <definedName name="PM_Dev_Complete">'Project Manager'!$D$115</definedName>
    <definedName name="PM_Dev_In_Current">'Project Manager'!$F$115</definedName>
    <definedName name="PM_Dev_In_Max">'Project Manager'!$E$115</definedName>
    <definedName name="PM_Dev_Out_Current">'Project Manager'!$M$115</definedName>
    <definedName name="PM_Dev_Out_Max">'Project Manager'!$L$115</definedName>
    <definedName name="PM_Dev_Q">'Project Manager'!$H$115</definedName>
    <definedName name="PM_DevP_Complete">'Project Manager'!$D$84</definedName>
    <definedName name="PM_DevP_In_Current">'Project Manager'!$F$84</definedName>
    <definedName name="PM_DevP_In_Max">'Project Manager'!$E$84</definedName>
    <definedName name="PM_DevP_Out_Current">'Project Manager'!$M$115</definedName>
    <definedName name="PM_DevP_Out_Max">'Project Manager'!$L$115</definedName>
    <definedName name="PM_DevP_Q">'Project Manager'!$H$84</definedName>
    <definedName name="PM_Live_Complete">'Project Manager'!$D$149</definedName>
    <definedName name="PM_Live_In_Current">'Project Manager'!$F$149</definedName>
    <definedName name="PM_Live_In_Max">'Project Manager'!$E$149</definedName>
    <definedName name="PM_Live_Out_Current">'Project Manager'!$M$149</definedName>
    <definedName name="PM_Live_Out_Max">'Project Manager'!$L$149</definedName>
    <definedName name="PM_Live_Q">'Project Manager'!$H$149</definedName>
    <definedName name="PM_Ops_Complete">'Project Manager'!$D$94</definedName>
    <definedName name="PM_Ops_In_Current">'Project Manager'!$F$94</definedName>
    <definedName name="PM_Ops_In_Max">'Project Manager'!$E$94</definedName>
    <definedName name="PM_Ops_Out_Current">'Project Manager'!$M$94</definedName>
    <definedName name="PM_Ops_Out_Max">'Project Manager'!$L$94</definedName>
    <definedName name="PM_Ops_Q">'Project Manager'!$H$94</definedName>
    <definedName name="PM_Plan_Complete">'Project Manager'!$D$48</definedName>
    <definedName name="PM_Plan_In_Current">'Project Manager'!$F$48</definedName>
    <definedName name="PM_PLan_In_Max">'Project Manager'!$E$48</definedName>
    <definedName name="PM_Plan_Out_Current">'Project Manager'!$M$48</definedName>
    <definedName name="PM_Plan_Out_Max">'Project Manager'!$L$48</definedName>
    <definedName name="PM_Plan_Q">'Project Manager'!$H$48</definedName>
    <definedName name="PM_Prep_Complete">'Project Manager'!$D$17</definedName>
    <definedName name="PM_Prep_In_Current">'Project Manager'!$F$17</definedName>
    <definedName name="PM_Prep_In_Max">'Project Manager'!$E$17</definedName>
    <definedName name="PM_Prep_Out_Current">'Project Manager'!$M$17</definedName>
    <definedName name="PM_Prep_Out_Max">'Project Manager'!$L$17</definedName>
    <definedName name="PM_Prep_Q">'Project Manager'!$H$17</definedName>
    <definedName name="PM_Roll_Complete">'Project Manager'!$D$136</definedName>
    <definedName name="PM_Roll_In_Current">'Project Manager'!$F$136</definedName>
    <definedName name="PM_Roll_In_Max">'Project Manager'!$E$136</definedName>
    <definedName name="PM_Roll_Out_Current">'Project Manager'!$M$136</definedName>
    <definedName name="PM_Roll_Out_Max">'Project Manager'!$L$136</definedName>
    <definedName name="PM_Roll_Q">'Project Manager'!$H$136</definedName>
    <definedName name="PM_Test_Complete">'Project Manager'!$D$126</definedName>
    <definedName name="PM_Test_In_Current">'Project Manager'!$F$126</definedName>
    <definedName name="PM_Test_In_Max">'Project Manager'!$E$126</definedName>
    <definedName name="PM_Test_Out_Current">'Project Manager'!$M$126</definedName>
    <definedName name="PM_Test_Out_Max">'Project Manager'!$L$126</definedName>
    <definedName name="PM_Test_Q">'Project Manager'!$H$126</definedName>
    <definedName name="PS_DevP_Complete">'Project Sponsor'!$D$64</definedName>
    <definedName name="PS_DevP_In_Current">'Project Sponsor'!$F$64</definedName>
    <definedName name="PS_DevP_In_Max">'Project Sponsor'!$E$64</definedName>
    <definedName name="PS_DevP_Out_Current">'Project Sponsor'!$M$64</definedName>
    <definedName name="PS_DevP_Out_Max">'Project Sponsor'!$N$64</definedName>
    <definedName name="PS_DevP_Q">'Project Sponsor'!$H$64</definedName>
    <definedName name="PS_Live_Complete">'Project Sponsor'!$D$98</definedName>
    <definedName name="PS_Live_In_Current">'Project Sponsor'!$F$98</definedName>
    <definedName name="PS_Live_In_Max">'Project Sponsor'!$E$98</definedName>
    <definedName name="PS_Live_Out_Current">'Project Sponsor'!$M$98</definedName>
    <definedName name="PS_Live_Out_Max">'Project Sponsor'!$L$98</definedName>
    <definedName name="PS_Live_Q">'Project Sponsor'!$H$98</definedName>
    <definedName name="PS_Ops_Complete">'Project Sponsor'!$D$60</definedName>
    <definedName name="PS_Ops_In_Current">'Project Sponsor'!$F$60</definedName>
    <definedName name="PS_Ops_In_Max">'Project Sponsor'!$E$60</definedName>
    <definedName name="PS_Ops_Out_Current">'Project Sponsor'!$M$60</definedName>
    <definedName name="PS_Ops_Out_Max">'Project Sponsor'!$L$60</definedName>
    <definedName name="PS_Ops_Q">'Project Sponsor'!$H$60</definedName>
    <definedName name="PS_Plan_Complete">'Project Sponsor'!$D$51</definedName>
    <definedName name="PS_Plan_In_Current">'Project Sponsor'!$F$51</definedName>
    <definedName name="PS_Plan_In_Max">'Project Sponsor'!$E$51</definedName>
    <definedName name="PS_Plan_Out_Current">'Project Sponsor'!$M$51</definedName>
    <definedName name="PS_Plan_Out_Max">'Project Sponsor'!$L$51</definedName>
    <definedName name="PS_Plan_Q">'Project Sponsor'!$H$51</definedName>
    <definedName name="PS_Plan_R">#REF!</definedName>
    <definedName name="PS_Prep_Complete">'Project Sponsor'!$D$17</definedName>
    <definedName name="PS_Prep_In_Current">'Project Sponsor'!$F$17</definedName>
    <definedName name="PS_Prep_In_Max">'Project Sponsor'!$E$17</definedName>
    <definedName name="PS_Prep_Out_Current">'Project Sponsor'!$M$17</definedName>
    <definedName name="PS_Prep_Out_Max">'Project Sponsor'!$L$17</definedName>
    <definedName name="PS_Prep_Q">'Project Sponsor'!$H$17</definedName>
    <definedName name="PS_Prep_R">#REF!</definedName>
    <definedName name="PS_Roll_Complete">'Project Sponsor'!$D$86</definedName>
    <definedName name="PS_Roll_In_Current">'Project Sponsor'!$F$86</definedName>
    <definedName name="PS_Roll_In_Max">'Project Sponsor'!$E$86</definedName>
    <definedName name="PS_Roll_Out_Current">'Project Sponsor'!$M$86</definedName>
    <definedName name="PS_Roll_Out_Max">'Project Sponsor'!$L$86</definedName>
    <definedName name="PS_Roll_Q">'Project Sponsor'!$H$86</definedName>
    <definedName name="PS_Test_Complete">'Project Sponsor'!$D$75</definedName>
    <definedName name="PS_Test_In_Current">'Project Sponsor'!$F$75</definedName>
    <definedName name="PS_Test_In_Max">'Project Sponsor'!$E$75</definedName>
    <definedName name="PS_Test_Out_Current">'Project Sponsor'!$M$75</definedName>
    <definedName name="PS_Test_Out_Max">'Project Sponsor'!$L$75</definedName>
    <definedName name="PS_Test_Q">'Project Sponsor'!$H$75</definedName>
    <definedName name="QA_Dev_Complete">'Quality Lead'!$D$71</definedName>
    <definedName name="QA_Dev_In_Current">'Quality Lead'!$F$71</definedName>
    <definedName name="QA_Dev_In_Max">'Quality Lead'!$E$71</definedName>
    <definedName name="QA_Dev_Out_Current">'Quality Lead'!$M$71</definedName>
    <definedName name="QA_Dev_Out_Max">'Quality Lead'!$L$71</definedName>
    <definedName name="QA_Dev_Q">'Quality Lead'!$H$71</definedName>
    <definedName name="QA_DevP_Complete">'Quality Lead'!$D$58</definedName>
    <definedName name="QA_DevP_In_Current">'Quality Lead'!$F$58</definedName>
    <definedName name="QA_DevP_In_Max">'Quality Lead'!$E$58</definedName>
    <definedName name="QA_DevP_Out_Current">'Quality Lead'!$M$58</definedName>
    <definedName name="QA_DevP_Out_Max">'Quality Lead'!$L$58</definedName>
    <definedName name="QA_DevP_Q">'Quality Lead'!$H$58</definedName>
    <definedName name="QA_Live_Complete">'Quality Lead'!$D$85</definedName>
    <definedName name="QA_Live_In_Current">'Quality Lead'!$F$85</definedName>
    <definedName name="QA_Live_In_Max">'Quality Lead'!$E$85</definedName>
    <definedName name="QA_Live_Out_Current">'Quality Lead'!$M$85</definedName>
    <definedName name="QA_Live_Out_Max">'Quality Lead'!$L$85</definedName>
    <definedName name="QA_Live_Q">'Quality Lead'!$H$85</definedName>
    <definedName name="QA_Plan_Complete">'Quality Lead'!$D$33</definedName>
    <definedName name="QA_Plan_In_Current">'Quality Lead'!$F$33</definedName>
    <definedName name="QA_Plan_In_Max">'Quality Lead'!$E$33</definedName>
    <definedName name="QA_Plan_Out_Current">'Quality Lead'!$M$33</definedName>
    <definedName name="QA_Plan_Out_Max">'Quality Lead'!$L$33</definedName>
    <definedName name="QA_Plan_Q">'Quality Lead'!$H$33</definedName>
    <definedName name="QA_Prep_Complete">'Quality Lead'!$D$10</definedName>
    <definedName name="QA_Prep_In_Current">'Quality Lead'!$F$10</definedName>
    <definedName name="QA_Prep_In_Max">'Quality Lead'!$E$10</definedName>
    <definedName name="QA_Prep_Out_Current">'Quality Lead'!$M$10</definedName>
    <definedName name="QA_Prep_Out_Max">'Quality Lead'!$L$10</definedName>
    <definedName name="QA_Prep_Q">'Quality Lead'!$H$10</definedName>
    <definedName name="QA_Test_Complete">'Quality Lead'!$D$83</definedName>
    <definedName name="QA_Test_In_Current">'Quality Lead'!$F$83</definedName>
    <definedName name="QA_Test_In_Max">'Quality Lead'!$E$83</definedName>
    <definedName name="QA_Test_Out_Current">'Quality Lead'!$M$83</definedName>
    <definedName name="QA_Test_Out_Max">'Quality Lead'!$L$83</definedName>
    <definedName name="QA_Test_Q">'Quality Lead'!$H$83</definedName>
    <definedName name="Quality_Dev">'Status by Role'!$AI$19</definedName>
    <definedName name="Quality_DevP">'Status by Role'!$AI$16</definedName>
    <definedName name="Quality_Live">'Status by Role'!$AI$28</definedName>
    <definedName name="Quality_Ops">'Status by Role'!$AI$13</definedName>
    <definedName name="Quality_Plan">'Status by Role'!$AI$10</definedName>
    <definedName name="Quality_Prep">'Status by Role'!$AI$7</definedName>
    <definedName name="Quality_Roll">'Status by Role'!$AI$25</definedName>
    <definedName name="Quality_Test">'Status by Role'!$AI$22</definedName>
    <definedName name="SE_Dev_Complete">'System Engineer'!$D$114</definedName>
    <definedName name="SE_Dev_In_Current">'System Engineer'!$F$114</definedName>
    <definedName name="SE_Dev_In_Max">'System Engineer'!$E$114</definedName>
    <definedName name="SE_Dev_Out_Current">'System Engineer'!$M$114</definedName>
    <definedName name="SE_Dev_Out_Max">'System Engineer'!$L$114</definedName>
    <definedName name="SE_Dev_Q">'System Engineer'!$H$114</definedName>
    <definedName name="SE_DevP_Complete">'System Engineer'!$D$63</definedName>
    <definedName name="SE_DevP_In_Current">'System Engineer'!$F$63</definedName>
    <definedName name="SE_DevP_In_Max">'System Engineer'!$E$63</definedName>
    <definedName name="SE_DevP_Out_Current">'System Engineer'!$M$63</definedName>
    <definedName name="SE_DevP_Out_Max">'System Engineer'!$L$63</definedName>
    <definedName name="SE_DevP_Q">'System Engineer'!$H$63</definedName>
    <definedName name="SE_Live_Complete">'System Engineer'!$D$146</definedName>
    <definedName name="SE_Live_In_Current">'System Engineer'!$F$146</definedName>
    <definedName name="SE_Live_In_Max">'System Engineer'!$E$146</definedName>
    <definedName name="SE_Live_Out_Current">'System Engineer'!$M$146</definedName>
    <definedName name="SE_Live_Out_Max">'System Engineer'!$L$146</definedName>
    <definedName name="SE_Live_Q">'System Engineer'!$H$146</definedName>
    <definedName name="SE_Ops_Complete">'System Engineer'!$D$84</definedName>
    <definedName name="SE_Ops_In_Current">'System Engineer'!$F$84</definedName>
    <definedName name="SE_Ops_In_Max">'System Engineer'!$E$84</definedName>
    <definedName name="SE_Ops_Out_Current">'System Engineer'!$M$84</definedName>
    <definedName name="SE_Ops_Out_Max">'System Engineer'!$L$84</definedName>
    <definedName name="SE_Ops_Q">'System Engineer'!$H$84</definedName>
    <definedName name="SE_Plan_Complete">'System Engineer'!$D$44</definedName>
    <definedName name="SE_Plan_In_Current">'System Engineer'!$F$44</definedName>
    <definedName name="SE_Plan_In_Max">'System Engineer'!$E$44</definedName>
    <definedName name="SE_Plan_Out_Current">'System Engineer'!$M$44</definedName>
    <definedName name="SE_Plan_Out_Max">'System Engineer'!$L$44</definedName>
    <definedName name="SE_Plan_Q">'System Engineer'!$H$44</definedName>
    <definedName name="SE_Prep_Complete">'System Engineer'!$D$14</definedName>
    <definedName name="SE_Prep_In_Current">'System Engineer'!$F$14</definedName>
    <definedName name="SE_Prep_In_Max">'System Engineer'!$E$14</definedName>
    <definedName name="SE_Prep_Out_Current">'System Engineer'!$M$14</definedName>
    <definedName name="SE_Prep_Out_Max">'System Engineer'!$L$14</definedName>
    <definedName name="SE_Prep_Q">'System Engineer'!$H$14</definedName>
    <definedName name="SE_Roll_Complete">'System Engineer'!$D$137</definedName>
    <definedName name="SE_Roll_In_Current">'System Engineer'!$F$137</definedName>
    <definedName name="SE_Roll_In_Max">'System Engineer'!$E$137</definedName>
    <definedName name="SE_Roll_Out_Current">'System Engineer'!$M$137</definedName>
    <definedName name="SE_Roll_Out_Max">'System Engineer'!$L$137</definedName>
    <definedName name="SE_Roll_Q">'System Engineer'!$H$137</definedName>
    <definedName name="SE_Test_Complete">'System Engineer'!$D$130</definedName>
    <definedName name="SE_Test_In_Current">'System Engineer'!$F$130</definedName>
    <definedName name="SE_Test_In_Max">'System Engineer'!$E$130</definedName>
    <definedName name="SE_Test_Out_Current">'System Engineer'!$M$130</definedName>
    <definedName name="SE_Test_Out_Max">'System Engineer'!$L$130</definedName>
    <definedName name="SE_Test_Q">'System Engineer'!$H$130</definedName>
    <definedName name="SL_DevP_Complete">'Security Lead'!$D$41</definedName>
    <definedName name="SL_DevP_In_Current">'Security Lead'!$F$41</definedName>
    <definedName name="SL_DevP_In_Max">'Security Lead'!$E$41</definedName>
    <definedName name="SL_DevP_Out_Current">'Security Lead'!$M$41</definedName>
    <definedName name="SL_DevP_Out_Max">'Security Lead'!$L$41</definedName>
    <definedName name="SL_DevP_Q">'Security Lead'!$H$41</definedName>
    <definedName name="SL_Live_Complete">'Security Lead'!$D$74</definedName>
    <definedName name="SL_Live_In_Current">'Security Lead'!$F$74</definedName>
    <definedName name="SL_Live_In_Max">'Security Lead'!$E$74</definedName>
    <definedName name="SL_Live_Out_Current">'Security Lead'!$M$74</definedName>
    <definedName name="SL_Live_Out_Max">'Security Lead'!$L$74</definedName>
    <definedName name="SL_Live_Q">'Security Lead'!$H$74</definedName>
    <definedName name="SL_Ops_Complete">'Security Lead'!$D$49</definedName>
    <definedName name="SL_Ops_In_Current">'Security Lead'!$F$49</definedName>
    <definedName name="SL_Ops_In_Max">'Security Lead'!$E$49</definedName>
    <definedName name="SL_Ops_Out_Current">'Security Lead'!$M$49</definedName>
    <definedName name="SL_Ops_Out_Max">'Security Lead'!$L$49</definedName>
    <definedName name="SL_Ops_Q">'Security Lead'!$H$49</definedName>
    <definedName name="SL_Plan_Complete">'Security Lead'!$D$18</definedName>
    <definedName name="SL_Plan_In_Current">'Security Lead'!$F$18</definedName>
    <definedName name="SL_Plan_In_Max">'Security Lead'!$E$18</definedName>
    <definedName name="SL_Plan_Out_Current">'Security Lead'!$M$18</definedName>
    <definedName name="SL_Plan_Out_Max">'Security Lead'!$L$18</definedName>
    <definedName name="SL_Plan_Q">'Security Lead'!$H$18</definedName>
    <definedName name="SL_Roll_Complete">'Security Lead'!$D$64</definedName>
    <definedName name="SL_Roll_In_Current">'Security Lead'!$F$64</definedName>
    <definedName name="SL_Roll_In_Max">'Security Lead'!$E$64</definedName>
    <definedName name="SL_Roll_Out_Current">'Security Lead'!$M$64</definedName>
    <definedName name="SL_Roll_Out_Max">'Security Lead'!$L$64</definedName>
    <definedName name="SL_Roll_Q">'Security Lead'!$H$64</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7" i="7" l="1"/>
  <c r="H74" i="12"/>
  <c r="AE28" i="4" s="1"/>
  <c r="H146" i="11"/>
  <c r="AA28" i="4"/>
  <c r="H85" i="10"/>
  <c r="W28" i="4" s="1"/>
  <c r="H114" i="9"/>
  <c r="S28" i="4"/>
  <c r="H132" i="7"/>
  <c r="K28" i="4" s="1"/>
  <c r="H149" i="6"/>
  <c r="G28" i="4"/>
  <c r="H98" i="5"/>
  <c r="C28" i="4" s="1"/>
  <c r="H64" i="12"/>
  <c r="AE25" i="4" s="1"/>
  <c r="H137" i="11"/>
  <c r="AA25" i="4"/>
  <c r="H105" i="9"/>
  <c r="S25" i="4" s="1"/>
  <c r="H118" i="7"/>
  <c r="K25" i="4"/>
  <c r="H136" i="6"/>
  <c r="G25" i="4" s="1"/>
  <c r="H86" i="5"/>
  <c r="C25" i="4"/>
  <c r="H130" i="11"/>
  <c r="AA22" i="4" s="1"/>
  <c r="H83" i="10"/>
  <c r="W22" i="4" s="1"/>
  <c r="H101" i="9"/>
  <c r="S22" i="4" s="1"/>
  <c r="H113" i="7"/>
  <c r="K22" i="4" s="1"/>
  <c r="H126" i="6"/>
  <c r="G22" i="4" s="1"/>
  <c r="H75" i="5"/>
  <c r="C22" i="4" s="1"/>
  <c r="H114" i="11"/>
  <c r="AA19" i="4"/>
  <c r="H71" i="10"/>
  <c r="W19" i="4" s="1"/>
  <c r="H92" i="9"/>
  <c r="S19" i="4"/>
  <c r="H74" i="8"/>
  <c r="O19" i="4" s="1"/>
  <c r="H104" i="7"/>
  <c r="K19" i="4"/>
  <c r="H115" i="6"/>
  <c r="G19" i="4" s="1"/>
  <c r="H41" i="12"/>
  <c r="AE16" i="4"/>
  <c r="H63" i="11"/>
  <c r="AA16" i="4"/>
  <c r="H58" i="10"/>
  <c r="W16" i="4" s="1"/>
  <c r="H70" i="9"/>
  <c r="S16" i="4"/>
  <c r="H67" i="8"/>
  <c r="O16" i="4" s="1"/>
  <c r="H82" i="7"/>
  <c r="K16" i="4" s="1"/>
  <c r="H84" i="6"/>
  <c r="G16" i="4" s="1"/>
  <c r="H64" i="5"/>
  <c r="C16" i="4" s="1"/>
  <c r="H49" i="12"/>
  <c r="AE13" i="4"/>
  <c r="H84" i="11"/>
  <c r="AA13" i="4"/>
  <c r="AI13" i="4" s="1"/>
  <c r="H77" i="9"/>
  <c r="S13" i="4"/>
  <c r="H89" i="7"/>
  <c r="K13" i="4"/>
  <c r="H94" i="6"/>
  <c r="G13" i="4"/>
  <c r="H60" i="5"/>
  <c r="C13" i="4"/>
  <c r="H18" i="12"/>
  <c r="AE10" i="4" s="1"/>
  <c r="AI10" i="4" s="1"/>
  <c r="D23" i="3" s="1"/>
  <c r="H44" i="11"/>
  <c r="AA10" i="4" s="1"/>
  <c r="H33" i="10"/>
  <c r="W10" i="4" s="1"/>
  <c r="H35" i="9"/>
  <c r="S10" i="4" s="1"/>
  <c r="H38" i="8"/>
  <c r="O10" i="4" s="1"/>
  <c r="H44" i="7"/>
  <c r="K10" i="4" s="1"/>
  <c r="H48" i="6"/>
  <c r="G10" i="4" s="1"/>
  <c r="H51" i="5"/>
  <c r="C10" i="4" s="1"/>
  <c r="H15" i="7"/>
  <c r="K7" i="4"/>
  <c r="H17" i="5"/>
  <c r="C7" i="4"/>
  <c r="H17" i="6"/>
  <c r="G7" i="4"/>
  <c r="H14" i="11"/>
  <c r="AA7" i="4"/>
  <c r="AI7" i="4" s="1"/>
  <c r="H10" i="10"/>
  <c r="W7" i="4"/>
  <c r="H8" i="9"/>
  <c r="S7" i="4"/>
  <c r="H10" i="8"/>
  <c r="O7" i="4"/>
  <c r="M65" i="12"/>
  <c r="M66" i="12"/>
  <c r="M67" i="12"/>
  <c r="M74" i="12" s="1"/>
  <c r="M70" i="12"/>
  <c r="L65" i="12"/>
  <c r="L66" i="12"/>
  <c r="L74" i="12" s="1"/>
  <c r="L67" i="12"/>
  <c r="L70" i="12"/>
  <c r="F65" i="12"/>
  <c r="F74" i="12" s="1"/>
  <c r="F66" i="12"/>
  <c r="F67" i="12"/>
  <c r="F68" i="12"/>
  <c r="F70" i="12"/>
  <c r="F71" i="12"/>
  <c r="F73" i="12"/>
  <c r="E65" i="12"/>
  <c r="E74" i="12" s="1"/>
  <c r="E66" i="12"/>
  <c r="E67" i="12"/>
  <c r="E68" i="12"/>
  <c r="E70" i="12"/>
  <c r="E71" i="12"/>
  <c r="E73" i="12"/>
  <c r="D74" i="12"/>
  <c r="C73" i="12"/>
  <c r="C71" i="12"/>
  <c r="J70" i="12"/>
  <c r="C70" i="12"/>
  <c r="C68" i="12"/>
  <c r="J67" i="12"/>
  <c r="C67" i="12"/>
  <c r="J66" i="12"/>
  <c r="C66" i="12"/>
  <c r="J65" i="12"/>
  <c r="C65" i="12"/>
  <c r="M60" i="12"/>
  <c r="M64" i="12" s="1"/>
  <c r="M61" i="12"/>
  <c r="L60" i="12"/>
  <c r="L61" i="12"/>
  <c r="L64" i="12" s="1"/>
  <c r="F60" i="12"/>
  <c r="F64" i="12" s="1"/>
  <c r="AD25" i="4" s="1"/>
  <c r="F61" i="12"/>
  <c r="D64" i="12" s="1"/>
  <c r="AF25" i="4" s="1"/>
  <c r="F62" i="12"/>
  <c r="E60" i="12"/>
  <c r="E64" i="12" s="1"/>
  <c r="E61" i="12"/>
  <c r="E62" i="12"/>
  <c r="C62" i="12"/>
  <c r="J61" i="12"/>
  <c r="C61" i="12"/>
  <c r="J60" i="12"/>
  <c r="C60" i="12"/>
  <c r="M50" i="12"/>
  <c r="M51" i="12"/>
  <c r="M53" i="12"/>
  <c r="M55" i="12"/>
  <c r="M59" i="12" s="1"/>
  <c r="L50" i="12"/>
  <c r="L51" i="12"/>
  <c r="L59" i="12" s="1"/>
  <c r="L53" i="12"/>
  <c r="L55" i="12"/>
  <c r="H59" i="12"/>
  <c r="F50" i="12"/>
  <c r="F59" i="12" s="1"/>
  <c r="F51" i="12"/>
  <c r="F53" i="12"/>
  <c r="F55" i="12"/>
  <c r="F56" i="12"/>
  <c r="F57" i="12"/>
  <c r="E50" i="12"/>
  <c r="E51" i="12"/>
  <c r="E59" i="12" s="1"/>
  <c r="E53" i="12"/>
  <c r="E55" i="12"/>
  <c r="E56" i="12"/>
  <c r="E57" i="12"/>
  <c r="C57" i="12"/>
  <c r="C56" i="12"/>
  <c r="J55" i="12"/>
  <c r="C55" i="12"/>
  <c r="J53" i="12"/>
  <c r="C53" i="12"/>
  <c r="J51" i="12"/>
  <c r="C51" i="12"/>
  <c r="J50" i="12"/>
  <c r="C50" i="12"/>
  <c r="M42" i="12"/>
  <c r="M44" i="12"/>
  <c r="M47" i="12"/>
  <c r="M49" i="12"/>
  <c r="L42" i="12"/>
  <c r="L44" i="12"/>
  <c r="L47" i="12"/>
  <c r="L49" i="12"/>
  <c r="F42" i="12"/>
  <c r="D49" i="12" s="1"/>
  <c r="AF13" i="4" s="1"/>
  <c r="F44" i="12"/>
  <c r="F45" i="12"/>
  <c r="F47" i="12"/>
  <c r="F49" i="12" s="1"/>
  <c r="E42" i="12"/>
  <c r="E44" i="12"/>
  <c r="E49" i="12" s="1"/>
  <c r="E45" i="12"/>
  <c r="E47" i="12"/>
  <c r="J47" i="12"/>
  <c r="C47" i="12"/>
  <c r="C45" i="12"/>
  <c r="J44" i="12"/>
  <c r="C44" i="12"/>
  <c r="J42" i="12"/>
  <c r="C42" i="12"/>
  <c r="M19" i="12"/>
  <c r="M22" i="12"/>
  <c r="M28" i="12"/>
  <c r="M34" i="12"/>
  <c r="M38" i="12"/>
  <c r="M41" i="12"/>
  <c r="L19" i="12"/>
  <c r="L41" i="12" s="1"/>
  <c r="L22" i="12"/>
  <c r="L28" i="12"/>
  <c r="L34" i="12"/>
  <c r="L38" i="12"/>
  <c r="F19" i="12"/>
  <c r="F20" i="12"/>
  <c r="D41" i="12" s="1"/>
  <c r="AF16" i="4" s="1"/>
  <c r="F22" i="12"/>
  <c r="F23" i="12"/>
  <c r="F24" i="12"/>
  <c r="F25" i="12"/>
  <c r="F26" i="12"/>
  <c r="F28" i="12"/>
  <c r="F29" i="12"/>
  <c r="F30" i="12"/>
  <c r="F31" i="12"/>
  <c r="F32" i="12"/>
  <c r="F34" i="12"/>
  <c r="F35" i="12"/>
  <c r="F36" i="12"/>
  <c r="F38" i="12"/>
  <c r="F39" i="12"/>
  <c r="F41" i="12"/>
  <c r="E19" i="12"/>
  <c r="E41" i="12" s="1"/>
  <c r="E20" i="12"/>
  <c r="E22" i="12"/>
  <c r="E23" i="12"/>
  <c r="E24" i="12"/>
  <c r="E25" i="12"/>
  <c r="E26" i="12"/>
  <c r="E28" i="12"/>
  <c r="E29" i="12"/>
  <c r="E30" i="12"/>
  <c r="E31" i="12"/>
  <c r="E32" i="12"/>
  <c r="E34" i="12"/>
  <c r="E35" i="12"/>
  <c r="E36" i="12"/>
  <c r="E38" i="12"/>
  <c r="E39" i="12"/>
  <c r="C39" i="12"/>
  <c r="J38" i="12"/>
  <c r="C38" i="12"/>
  <c r="C36" i="12"/>
  <c r="C35" i="12"/>
  <c r="J34" i="12"/>
  <c r="C34" i="12"/>
  <c r="C32" i="12"/>
  <c r="C31" i="12"/>
  <c r="C30" i="12"/>
  <c r="C29" i="12"/>
  <c r="J28" i="12"/>
  <c r="C28" i="12"/>
  <c r="C26" i="12"/>
  <c r="C25" i="12"/>
  <c r="C24" i="12"/>
  <c r="C23" i="12"/>
  <c r="J22" i="12"/>
  <c r="C22" i="12"/>
  <c r="C20" i="12"/>
  <c r="J19" i="12"/>
  <c r="C19" i="12"/>
  <c r="M2" i="12"/>
  <c r="M13" i="12"/>
  <c r="M18" i="12" s="1"/>
  <c r="M14" i="12"/>
  <c r="M15" i="12"/>
  <c r="L2" i="12"/>
  <c r="L13" i="12"/>
  <c r="L18" i="12" s="1"/>
  <c r="L14" i="12"/>
  <c r="L15" i="12"/>
  <c r="E2" i="12"/>
  <c r="E18" i="12" s="1"/>
  <c r="F2" i="12"/>
  <c r="F3" i="12"/>
  <c r="F4" i="12"/>
  <c r="D18" i="12" s="1"/>
  <c r="AF10" i="4" s="1"/>
  <c r="F5" i="12"/>
  <c r="F18" i="12" s="1"/>
  <c r="F6" i="12"/>
  <c r="F7" i="12"/>
  <c r="F8" i="12"/>
  <c r="F9" i="12"/>
  <c r="F10" i="12"/>
  <c r="F11" i="12"/>
  <c r="F13" i="12"/>
  <c r="F14" i="12"/>
  <c r="F15" i="12"/>
  <c r="F16" i="12"/>
  <c r="E3" i="12"/>
  <c r="E4" i="12"/>
  <c r="E5" i="12"/>
  <c r="E6" i="12"/>
  <c r="E7" i="12"/>
  <c r="E8" i="12"/>
  <c r="E9" i="12"/>
  <c r="E10" i="12"/>
  <c r="E11" i="12"/>
  <c r="E13" i="12"/>
  <c r="E14" i="12"/>
  <c r="E15" i="12"/>
  <c r="E16" i="12"/>
  <c r="C16" i="12"/>
  <c r="J15" i="12"/>
  <c r="C15" i="12"/>
  <c r="J14" i="12"/>
  <c r="C14" i="12"/>
  <c r="J13" i="12"/>
  <c r="C13" i="12"/>
  <c r="C11" i="12"/>
  <c r="C10" i="12"/>
  <c r="C9" i="12"/>
  <c r="C8" i="12"/>
  <c r="C7" i="12"/>
  <c r="C6" i="12"/>
  <c r="C5" i="12"/>
  <c r="C4" i="12"/>
  <c r="C3" i="12"/>
  <c r="J2" i="12"/>
  <c r="C2" i="12"/>
  <c r="M138" i="11"/>
  <c r="M146" i="11" s="1"/>
  <c r="M139" i="11"/>
  <c r="M140" i="11"/>
  <c r="M142" i="11"/>
  <c r="M145" i="11"/>
  <c r="L138" i="11"/>
  <c r="L139" i="11"/>
  <c r="L140" i="11"/>
  <c r="L142" i="11"/>
  <c r="L145" i="11"/>
  <c r="L146" i="11"/>
  <c r="F138" i="11"/>
  <c r="F139" i="11"/>
  <c r="F140" i="11"/>
  <c r="F142" i="11"/>
  <c r="F146" i="11" s="1"/>
  <c r="F143" i="11"/>
  <c r="F145" i="11"/>
  <c r="E138" i="11"/>
  <c r="E146" i="11" s="1"/>
  <c r="E139" i="11"/>
  <c r="E140" i="11"/>
  <c r="E142" i="11"/>
  <c r="E143" i="11"/>
  <c r="E145" i="11"/>
  <c r="J145" i="11"/>
  <c r="C145" i="11"/>
  <c r="C143" i="11"/>
  <c r="J142" i="11"/>
  <c r="C142" i="11"/>
  <c r="J140" i="11"/>
  <c r="C140" i="11"/>
  <c r="J139" i="11"/>
  <c r="C139" i="11"/>
  <c r="J138" i="11"/>
  <c r="C138" i="11"/>
  <c r="M131" i="11"/>
  <c r="M137" i="11" s="1"/>
  <c r="M133" i="11"/>
  <c r="L131" i="11"/>
  <c r="L133" i="11"/>
  <c r="L137" i="11"/>
  <c r="F131" i="11"/>
  <c r="F133" i="11"/>
  <c r="F134" i="11"/>
  <c r="F137" i="11" s="1"/>
  <c r="Z25" i="4" s="1"/>
  <c r="F135" i="11"/>
  <c r="D137" i="11" s="1"/>
  <c r="AB25" i="4" s="1"/>
  <c r="E131" i="11"/>
  <c r="E133" i="11"/>
  <c r="E137" i="11" s="1"/>
  <c r="E134" i="11"/>
  <c r="E135" i="11"/>
  <c r="C135" i="11"/>
  <c r="C134" i="11"/>
  <c r="J133" i="11"/>
  <c r="C133" i="11"/>
  <c r="J131" i="11"/>
  <c r="C131" i="11"/>
  <c r="M115" i="11"/>
  <c r="M119" i="11"/>
  <c r="M130" i="11" s="1"/>
  <c r="M120" i="11"/>
  <c r="M121" i="11"/>
  <c r="L115" i="11"/>
  <c r="L119" i="11"/>
  <c r="L130" i="11" s="1"/>
  <c r="L120" i="11"/>
  <c r="L121" i="11"/>
  <c r="F115" i="11"/>
  <c r="F130" i="11" s="1"/>
  <c r="Z22" i="4" s="1"/>
  <c r="F116" i="11"/>
  <c r="F117" i="11"/>
  <c r="F119" i="11"/>
  <c r="F120" i="11"/>
  <c r="F121" i="11"/>
  <c r="F122" i="11"/>
  <c r="F123" i="11"/>
  <c r="F124" i="11"/>
  <c r="F125" i="11"/>
  <c r="F126" i="11"/>
  <c r="F127" i="11"/>
  <c r="F128" i="11"/>
  <c r="E115" i="11"/>
  <c r="E116" i="11"/>
  <c r="E117" i="11"/>
  <c r="E130" i="11" s="1"/>
  <c r="E119" i="11"/>
  <c r="E120" i="11"/>
  <c r="E121" i="11"/>
  <c r="E122" i="11"/>
  <c r="E123" i="11"/>
  <c r="E124" i="11"/>
  <c r="E125" i="11"/>
  <c r="E126" i="11"/>
  <c r="E127" i="11"/>
  <c r="E128" i="11"/>
  <c r="D130" i="11"/>
  <c r="C128" i="11"/>
  <c r="C127" i="11"/>
  <c r="C126" i="11"/>
  <c r="C125" i="11"/>
  <c r="C124" i="11"/>
  <c r="C123" i="11"/>
  <c r="C122" i="11"/>
  <c r="J121" i="11"/>
  <c r="C121" i="11"/>
  <c r="J120" i="11"/>
  <c r="C120" i="11"/>
  <c r="J119" i="11"/>
  <c r="C119" i="11"/>
  <c r="C117" i="11"/>
  <c r="C116" i="11"/>
  <c r="J115" i="11"/>
  <c r="C115" i="11"/>
  <c r="M85" i="11"/>
  <c r="M86" i="11"/>
  <c r="M88" i="11"/>
  <c r="M89" i="11"/>
  <c r="M94" i="11"/>
  <c r="M95" i="11"/>
  <c r="M96" i="11"/>
  <c r="M97" i="11"/>
  <c r="M104" i="11"/>
  <c r="M107" i="11"/>
  <c r="M114" i="11"/>
  <c r="L85" i="11"/>
  <c r="L86" i="11"/>
  <c r="L88" i="11"/>
  <c r="L89" i="11"/>
  <c r="L114" i="11" s="1"/>
  <c r="L94" i="11"/>
  <c r="L95" i="11"/>
  <c r="L96" i="11"/>
  <c r="L97" i="11"/>
  <c r="L104" i="11"/>
  <c r="L107" i="11"/>
  <c r="F85" i="11"/>
  <c r="D114" i="11" s="1"/>
  <c r="F86" i="11"/>
  <c r="F88" i="11"/>
  <c r="F89" i="11"/>
  <c r="F90" i="11"/>
  <c r="F91" i="11"/>
  <c r="F92" i="11"/>
  <c r="F94" i="11"/>
  <c r="F95" i="11"/>
  <c r="F96" i="11"/>
  <c r="F97" i="11"/>
  <c r="F98" i="11"/>
  <c r="F99" i="11"/>
  <c r="F100" i="11"/>
  <c r="F101" i="11"/>
  <c r="F102" i="11"/>
  <c r="F104" i="11"/>
  <c r="F105" i="11"/>
  <c r="F107" i="11"/>
  <c r="F108" i="11"/>
  <c r="F109" i="11"/>
  <c r="F110" i="11"/>
  <c r="F111" i="11"/>
  <c r="F112" i="11"/>
  <c r="F114" i="11"/>
  <c r="E85" i="11"/>
  <c r="E86" i="11"/>
  <c r="E88" i="11"/>
  <c r="E89" i="11"/>
  <c r="E114" i="11" s="1"/>
  <c r="E90" i="11"/>
  <c r="E91" i="11"/>
  <c r="E92" i="11"/>
  <c r="E94" i="11"/>
  <c r="E95" i="11"/>
  <c r="E96" i="11"/>
  <c r="E97" i="11"/>
  <c r="E98" i="11"/>
  <c r="E99" i="11"/>
  <c r="E100" i="11"/>
  <c r="E101" i="11"/>
  <c r="E102" i="11"/>
  <c r="E104" i="11"/>
  <c r="E105" i="11"/>
  <c r="E107" i="11"/>
  <c r="E108" i="11"/>
  <c r="E109" i="11"/>
  <c r="E110" i="11"/>
  <c r="E111" i="11"/>
  <c r="E112" i="11"/>
  <c r="C112" i="11"/>
  <c r="C111" i="11"/>
  <c r="C110" i="11"/>
  <c r="C109" i="11"/>
  <c r="C108" i="11"/>
  <c r="J107" i="11"/>
  <c r="C105" i="11"/>
  <c r="J104" i="11"/>
  <c r="C104" i="11"/>
  <c r="C102" i="11"/>
  <c r="C101" i="11"/>
  <c r="C100" i="11"/>
  <c r="C99" i="11"/>
  <c r="C98" i="11"/>
  <c r="J97" i="11"/>
  <c r="C97" i="11"/>
  <c r="J96" i="11"/>
  <c r="C96" i="11"/>
  <c r="J95" i="11"/>
  <c r="C95" i="11"/>
  <c r="J94" i="11"/>
  <c r="C94" i="11"/>
  <c r="C92" i="11"/>
  <c r="C91" i="11"/>
  <c r="C90" i="11"/>
  <c r="J89" i="11"/>
  <c r="C89" i="11"/>
  <c r="J88" i="11"/>
  <c r="C88" i="11"/>
  <c r="J86" i="11"/>
  <c r="C86" i="11"/>
  <c r="J85" i="11"/>
  <c r="C85" i="11"/>
  <c r="M64" i="11"/>
  <c r="M84" i="11" s="1"/>
  <c r="M66" i="11"/>
  <c r="M67" i="11"/>
  <c r="M68" i="11"/>
  <c r="M69" i="11"/>
  <c r="M70" i="11"/>
  <c r="M71" i="11"/>
  <c r="M72" i="11"/>
  <c r="M73" i="11"/>
  <c r="M74" i="11"/>
  <c r="M75" i="11"/>
  <c r="M76" i="11"/>
  <c r="M77" i="11"/>
  <c r="M80" i="11"/>
  <c r="M81" i="11"/>
  <c r="L64" i="11"/>
  <c r="L84" i="11" s="1"/>
  <c r="L66" i="11"/>
  <c r="L67" i="11"/>
  <c r="L68" i="11"/>
  <c r="L69" i="11"/>
  <c r="L70" i="11"/>
  <c r="L71" i="11"/>
  <c r="L72" i="11"/>
  <c r="L73" i="11"/>
  <c r="L74" i="11"/>
  <c r="L75" i="11"/>
  <c r="L76" i="11"/>
  <c r="L77" i="11"/>
  <c r="L80" i="11"/>
  <c r="L81" i="11"/>
  <c r="F64" i="11"/>
  <c r="F84" i="11" s="1"/>
  <c r="F66" i="11"/>
  <c r="F67" i="11"/>
  <c r="F68" i="11"/>
  <c r="F69" i="11"/>
  <c r="F70" i="11"/>
  <c r="F71" i="11"/>
  <c r="F72" i="11"/>
  <c r="F80" i="11"/>
  <c r="F81" i="11"/>
  <c r="E64" i="11"/>
  <c r="E84" i="11" s="1"/>
  <c r="E66" i="11"/>
  <c r="E67" i="11"/>
  <c r="E68" i="11"/>
  <c r="E69" i="11"/>
  <c r="E70" i="11"/>
  <c r="E71" i="11"/>
  <c r="E72" i="11"/>
  <c r="E80" i="11"/>
  <c r="E81" i="11"/>
  <c r="J81" i="11"/>
  <c r="C81" i="11"/>
  <c r="J80" i="11"/>
  <c r="C80" i="11"/>
  <c r="J77" i="11"/>
  <c r="J76" i="11"/>
  <c r="J75" i="11"/>
  <c r="J74" i="11"/>
  <c r="J73" i="11"/>
  <c r="J72" i="11"/>
  <c r="C72" i="11"/>
  <c r="J71" i="11"/>
  <c r="C71" i="11"/>
  <c r="J70" i="11"/>
  <c r="C70" i="11"/>
  <c r="J69" i="11"/>
  <c r="C69" i="11"/>
  <c r="J68" i="11"/>
  <c r="C68" i="11"/>
  <c r="J67" i="11"/>
  <c r="C67" i="11"/>
  <c r="J66" i="11"/>
  <c r="C66" i="11"/>
  <c r="J64" i="11"/>
  <c r="C64" i="11"/>
  <c r="M45" i="11"/>
  <c r="M48" i="11"/>
  <c r="M49" i="11"/>
  <c r="M50" i="11"/>
  <c r="M57" i="11"/>
  <c r="M58" i="11"/>
  <c r="M60" i="11"/>
  <c r="M61" i="11"/>
  <c r="M63" i="11"/>
  <c r="L45" i="11"/>
  <c r="L48" i="11"/>
  <c r="L63" i="11" s="1"/>
  <c r="L49" i="11"/>
  <c r="L50" i="11"/>
  <c r="L57" i="11"/>
  <c r="L58" i="11"/>
  <c r="L60" i="11"/>
  <c r="L61" i="11"/>
  <c r="F45" i="11"/>
  <c r="F46" i="11"/>
  <c r="F48" i="11"/>
  <c r="F49" i="11"/>
  <c r="F50" i="11"/>
  <c r="F51" i="11"/>
  <c r="F52" i="11"/>
  <c r="F53" i="11"/>
  <c r="F54" i="11"/>
  <c r="F55" i="11"/>
  <c r="F57" i="11"/>
  <c r="F58" i="11"/>
  <c r="F60" i="11"/>
  <c r="F61" i="11"/>
  <c r="F63" i="11"/>
  <c r="E45" i="11"/>
  <c r="E46" i="11"/>
  <c r="E63" i="11" s="1"/>
  <c r="E48" i="11"/>
  <c r="E49" i="11"/>
  <c r="E50" i="11"/>
  <c r="E51" i="11"/>
  <c r="E52" i="11"/>
  <c r="E53" i="11"/>
  <c r="E54" i="11"/>
  <c r="E55" i="11"/>
  <c r="E57" i="11"/>
  <c r="E58" i="11"/>
  <c r="E60" i="11"/>
  <c r="E61" i="11"/>
  <c r="D63" i="11"/>
  <c r="J61" i="11"/>
  <c r="C61" i="11"/>
  <c r="J60" i="11"/>
  <c r="C60" i="11"/>
  <c r="J58" i="11"/>
  <c r="C58" i="11"/>
  <c r="J57" i="11"/>
  <c r="C57" i="11"/>
  <c r="C55" i="11"/>
  <c r="C54" i="11"/>
  <c r="C53" i="11"/>
  <c r="C52" i="11"/>
  <c r="C51" i="11"/>
  <c r="J50" i="11"/>
  <c r="C50" i="11"/>
  <c r="J49" i="11"/>
  <c r="C49" i="11"/>
  <c r="J48" i="11"/>
  <c r="C48" i="11"/>
  <c r="C46" i="11"/>
  <c r="J45" i="11"/>
  <c r="C45" i="11"/>
  <c r="M15" i="11"/>
  <c r="M44" i="11" s="1"/>
  <c r="M16" i="11"/>
  <c r="M23" i="11"/>
  <c r="M24" i="11"/>
  <c r="M25" i="11"/>
  <c r="M26" i="11"/>
  <c r="M28" i="11"/>
  <c r="M29" i="11"/>
  <c r="M30" i="11"/>
  <c r="M32" i="11"/>
  <c r="M33" i="11"/>
  <c r="M34" i="11"/>
  <c r="M35" i="11"/>
  <c r="M36" i="11"/>
  <c r="L15" i="11"/>
  <c r="L16" i="11"/>
  <c r="L23" i="11"/>
  <c r="L24" i="11"/>
  <c r="L25" i="11"/>
  <c r="L26" i="11"/>
  <c r="L28" i="11"/>
  <c r="L29" i="11"/>
  <c r="L30" i="11"/>
  <c r="L32" i="11"/>
  <c r="L33" i="11"/>
  <c r="L34" i="11"/>
  <c r="L35" i="11"/>
  <c r="L36" i="11"/>
  <c r="L44" i="11"/>
  <c r="F15" i="11"/>
  <c r="F16" i="11"/>
  <c r="F17" i="11"/>
  <c r="F18" i="11"/>
  <c r="F44" i="11" s="1"/>
  <c r="F19" i="11"/>
  <c r="F20" i="11"/>
  <c r="F21" i="11"/>
  <c r="F23" i="11"/>
  <c r="F24" i="11"/>
  <c r="F25" i="11"/>
  <c r="F26" i="11"/>
  <c r="F28" i="11"/>
  <c r="F29" i="11"/>
  <c r="F30" i="11"/>
  <c r="F32" i="11"/>
  <c r="F33" i="11"/>
  <c r="F34" i="11"/>
  <c r="F35" i="11"/>
  <c r="F36" i="11"/>
  <c r="F37" i="11"/>
  <c r="F38" i="11"/>
  <c r="F39" i="11"/>
  <c r="F40" i="11"/>
  <c r="F41" i="11"/>
  <c r="F42" i="11"/>
  <c r="E15" i="11"/>
  <c r="E16" i="11"/>
  <c r="E17" i="11"/>
  <c r="E18" i="11"/>
  <c r="E19" i="11"/>
  <c r="E20" i="11"/>
  <c r="E21" i="11"/>
  <c r="E23" i="11"/>
  <c r="E24" i="11"/>
  <c r="E25" i="11"/>
  <c r="E26" i="11"/>
  <c r="E28" i="11"/>
  <c r="E29" i="11"/>
  <c r="E30" i="11"/>
  <c r="E32" i="11"/>
  <c r="E33" i="11"/>
  <c r="E34" i="11"/>
  <c r="E35" i="11"/>
  <c r="E36" i="11"/>
  <c r="E37" i="11"/>
  <c r="E38" i="11"/>
  <c r="E39" i="11"/>
  <c r="E40" i="11"/>
  <c r="E41" i="11"/>
  <c r="E42" i="11"/>
  <c r="E44" i="11"/>
  <c r="C42" i="11"/>
  <c r="C41" i="11"/>
  <c r="C40" i="11"/>
  <c r="C39" i="11"/>
  <c r="C38" i="11"/>
  <c r="C37" i="11"/>
  <c r="J36" i="11"/>
  <c r="C36" i="11"/>
  <c r="J35" i="11"/>
  <c r="C35" i="11"/>
  <c r="J34" i="11"/>
  <c r="C34" i="11"/>
  <c r="J33" i="11"/>
  <c r="C33" i="11"/>
  <c r="J32" i="11"/>
  <c r="C32" i="11"/>
  <c r="J30" i="11"/>
  <c r="C30" i="11"/>
  <c r="J29" i="11"/>
  <c r="C29" i="11"/>
  <c r="J28" i="11"/>
  <c r="C28" i="11"/>
  <c r="J26" i="11"/>
  <c r="C26" i="11"/>
  <c r="J25" i="11"/>
  <c r="C25" i="11"/>
  <c r="J24" i="11"/>
  <c r="C24" i="11"/>
  <c r="J23" i="11"/>
  <c r="C23" i="11"/>
  <c r="C21" i="11"/>
  <c r="C20" i="11"/>
  <c r="C19" i="11"/>
  <c r="C18" i="11"/>
  <c r="C17" i="11"/>
  <c r="J16" i="11"/>
  <c r="C16" i="11"/>
  <c r="J15" i="11"/>
  <c r="C15" i="11"/>
  <c r="M2" i="11"/>
  <c r="M3" i="11"/>
  <c r="M14" i="11"/>
  <c r="L2" i="11"/>
  <c r="L14" i="11" s="1"/>
  <c r="L3" i="11"/>
  <c r="E2" i="11"/>
  <c r="F2" i="11"/>
  <c r="D14" i="11" s="1"/>
  <c r="AB7" i="4" s="1"/>
  <c r="AJ7" i="4" s="1"/>
  <c r="C27" i="3" s="1"/>
  <c r="E3" i="11"/>
  <c r="F3" i="11"/>
  <c r="F4" i="11"/>
  <c r="F5" i="11"/>
  <c r="F6" i="11"/>
  <c r="F7" i="11"/>
  <c r="F8" i="11"/>
  <c r="F9" i="11"/>
  <c r="F10" i="11"/>
  <c r="F11" i="11"/>
  <c r="F12" i="11"/>
  <c r="F14" i="11"/>
  <c r="E4" i="11"/>
  <c r="E5" i="11"/>
  <c r="E6" i="11"/>
  <c r="E7" i="11"/>
  <c r="E14" i="11" s="1"/>
  <c r="Z7" i="4" s="1"/>
  <c r="E8" i="11"/>
  <c r="E9" i="11"/>
  <c r="E10" i="11"/>
  <c r="E11" i="11"/>
  <c r="E12" i="11"/>
  <c r="C12" i="11"/>
  <c r="C11" i="11"/>
  <c r="C10" i="11"/>
  <c r="C9" i="11"/>
  <c r="C8" i="11"/>
  <c r="C7" i="11"/>
  <c r="C6" i="11"/>
  <c r="C5" i="11"/>
  <c r="C4" i="11"/>
  <c r="J3" i="11"/>
  <c r="C3" i="11"/>
  <c r="J2" i="11"/>
  <c r="C2" i="11"/>
  <c r="M84" i="10"/>
  <c r="M85" i="10"/>
  <c r="L84" i="10"/>
  <c r="L85" i="10"/>
  <c r="F84" i="10"/>
  <c r="F85" i="10"/>
  <c r="E84" i="10"/>
  <c r="E85" i="10"/>
  <c r="D85" i="10"/>
  <c r="J84" i="10"/>
  <c r="C84" i="10"/>
  <c r="M72" i="10"/>
  <c r="M74" i="10"/>
  <c r="M75" i="10"/>
  <c r="M76" i="10"/>
  <c r="M77" i="10"/>
  <c r="M78" i="10"/>
  <c r="M79" i="10"/>
  <c r="M80" i="10"/>
  <c r="M83" i="10"/>
  <c r="L72" i="10"/>
  <c r="L74" i="10"/>
  <c r="L75" i="10"/>
  <c r="L83" i="10" s="1"/>
  <c r="L76" i="10"/>
  <c r="L77" i="10"/>
  <c r="L78" i="10"/>
  <c r="L79" i="10"/>
  <c r="L80" i="10"/>
  <c r="F72" i="10"/>
  <c r="F74" i="10"/>
  <c r="F75" i="10"/>
  <c r="D83" i="10" s="1"/>
  <c r="F76" i="10"/>
  <c r="F77" i="10"/>
  <c r="F78" i="10"/>
  <c r="F79" i="10"/>
  <c r="F80" i="10"/>
  <c r="F81" i="10"/>
  <c r="E72" i="10"/>
  <c r="E83" i="10" s="1"/>
  <c r="E74" i="10"/>
  <c r="E75" i="10"/>
  <c r="E76" i="10"/>
  <c r="E77" i="10"/>
  <c r="E78" i="10"/>
  <c r="E79" i="10"/>
  <c r="E80" i="10"/>
  <c r="E81" i="10"/>
  <c r="C81" i="10"/>
  <c r="C80" i="10"/>
  <c r="J79" i="10"/>
  <c r="C79" i="10"/>
  <c r="J78" i="10"/>
  <c r="C78" i="10"/>
  <c r="J77" i="10"/>
  <c r="C77" i="10"/>
  <c r="J76" i="10"/>
  <c r="C76" i="10"/>
  <c r="J75" i="10"/>
  <c r="C75" i="10"/>
  <c r="J74" i="10"/>
  <c r="C74" i="10"/>
  <c r="J72" i="10"/>
  <c r="C72" i="10"/>
  <c r="M59" i="10"/>
  <c r="M60" i="10"/>
  <c r="M63" i="10"/>
  <c r="M66" i="10"/>
  <c r="M69" i="10"/>
  <c r="M71" i="10"/>
  <c r="L59" i="10"/>
  <c r="L60" i="10"/>
  <c r="L63" i="10"/>
  <c r="L66" i="10"/>
  <c r="L71" i="10" s="1"/>
  <c r="L69" i="10"/>
  <c r="F59" i="10"/>
  <c r="F60" i="10"/>
  <c r="F71" i="10" s="1"/>
  <c r="V19" i="4" s="1"/>
  <c r="F61" i="10"/>
  <c r="F63" i="10"/>
  <c r="F64" i="10"/>
  <c r="F66" i="10"/>
  <c r="F67" i="10"/>
  <c r="F69" i="10"/>
  <c r="E59" i="10"/>
  <c r="E60" i="10"/>
  <c r="E61" i="10"/>
  <c r="E63" i="10"/>
  <c r="E64" i="10"/>
  <c r="E66" i="10"/>
  <c r="E67" i="10"/>
  <c r="E69" i="10"/>
  <c r="E71" i="10"/>
  <c r="J69" i="10"/>
  <c r="C69" i="10"/>
  <c r="C67" i="10"/>
  <c r="J66" i="10"/>
  <c r="C66" i="10"/>
  <c r="C64" i="10"/>
  <c r="J63" i="10"/>
  <c r="C63" i="10"/>
  <c r="C61" i="10"/>
  <c r="J60" i="10"/>
  <c r="C60" i="10"/>
  <c r="J59" i="10"/>
  <c r="C59" i="10"/>
  <c r="M34" i="10"/>
  <c r="M37" i="10"/>
  <c r="M38" i="10"/>
  <c r="M41" i="10"/>
  <c r="M42" i="10"/>
  <c r="M46" i="10"/>
  <c r="M47" i="10"/>
  <c r="M48" i="10"/>
  <c r="M49" i="10"/>
  <c r="M50" i="10"/>
  <c r="M51" i="10"/>
  <c r="M52" i="10"/>
  <c r="M53" i="10"/>
  <c r="M58" i="10"/>
  <c r="L34" i="10"/>
  <c r="L37" i="10"/>
  <c r="L38" i="10"/>
  <c r="L41" i="10"/>
  <c r="L58" i="10" s="1"/>
  <c r="L42" i="10"/>
  <c r="L46" i="10"/>
  <c r="L47" i="10"/>
  <c r="L48" i="10"/>
  <c r="L49" i="10"/>
  <c r="L50" i="10"/>
  <c r="L51" i="10"/>
  <c r="L52" i="10"/>
  <c r="L53" i="10"/>
  <c r="F34" i="10"/>
  <c r="F35" i="10"/>
  <c r="F58" i="10" s="1"/>
  <c r="F37" i="10"/>
  <c r="F38" i="10"/>
  <c r="F39" i="10"/>
  <c r="F41" i="10"/>
  <c r="F42" i="10"/>
  <c r="F43" i="10"/>
  <c r="F44" i="10"/>
  <c r="F46" i="10"/>
  <c r="F47" i="10"/>
  <c r="F48" i="10"/>
  <c r="F49" i="10"/>
  <c r="F50" i="10"/>
  <c r="F51" i="10"/>
  <c r="F52" i="10"/>
  <c r="F53" i="10"/>
  <c r="F54" i="10"/>
  <c r="F55" i="10"/>
  <c r="F56" i="10"/>
  <c r="E34" i="10"/>
  <c r="E35" i="10"/>
  <c r="E37" i="10"/>
  <c r="E38" i="10"/>
  <c r="E39" i="10"/>
  <c r="E41" i="10"/>
  <c r="E42" i="10"/>
  <c r="E43" i="10"/>
  <c r="E44" i="10"/>
  <c r="E46" i="10"/>
  <c r="E47" i="10"/>
  <c r="E48" i="10"/>
  <c r="E49" i="10"/>
  <c r="E50" i="10"/>
  <c r="E51" i="10"/>
  <c r="E52" i="10"/>
  <c r="E53" i="10"/>
  <c r="E54" i="10"/>
  <c r="E55" i="10"/>
  <c r="E56" i="10"/>
  <c r="E58" i="10"/>
  <c r="C56" i="10"/>
  <c r="C55" i="10"/>
  <c r="C54" i="10"/>
  <c r="J53" i="10"/>
  <c r="C53" i="10"/>
  <c r="J52" i="10"/>
  <c r="C52" i="10"/>
  <c r="J51" i="10"/>
  <c r="C51" i="10"/>
  <c r="J50" i="10"/>
  <c r="C50" i="10"/>
  <c r="J49" i="10"/>
  <c r="C49" i="10"/>
  <c r="J48" i="10"/>
  <c r="C48" i="10"/>
  <c r="J47" i="10"/>
  <c r="C47" i="10"/>
  <c r="C46" i="10"/>
  <c r="C44" i="10"/>
  <c r="C43" i="10"/>
  <c r="J42" i="10"/>
  <c r="C42" i="10"/>
  <c r="J41" i="10"/>
  <c r="C41" i="10"/>
  <c r="C39" i="10"/>
  <c r="J38" i="10"/>
  <c r="J37" i="10"/>
  <c r="C37" i="10"/>
  <c r="C35" i="10"/>
  <c r="J34" i="10"/>
  <c r="C34" i="10"/>
  <c r="M11" i="10"/>
  <c r="M12" i="10"/>
  <c r="M13" i="10"/>
  <c r="M17" i="10"/>
  <c r="M33" i="10" s="1"/>
  <c r="M18" i="10"/>
  <c r="M21" i="10"/>
  <c r="M22" i="10"/>
  <c r="M23" i="10"/>
  <c r="M24" i="10"/>
  <c r="M25" i="10"/>
  <c r="L11" i="10"/>
  <c r="L33" i="10" s="1"/>
  <c r="L12" i="10"/>
  <c r="L13" i="10"/>
  <c r="L17" i="10"/>
  <c r="L18" i="10"/>
  <c r="L21" i="10"/>
  <c r="L22" i="10"/>
  <c r="L23" i="10"/>
  <c r="L24" i="10"/>
  <c r="L25" i="10"/>
  <c r="F11" i="10"/>
  <c r="F12" i="10"/>
  <c r="F33" i="10" s="1"/>
  <c r="F13" i="10"/>
  <c r="F14" i="10"/>
  <c r="F15" i="10"/>
  <c r="F17" i="10"/>
  <c r="F18" i="10"/>
  <c r="F19" i="10"/>
  <c r="F21" i="10"/>
  <c r="F22" i="10"/>
  <c r="F23" i="10"/>
  <c r="F24" i="10"/>
  <c r="F25" i="10"/>
  <c r="F26" i="10"/>
  <c r="F27" i="10"/>
  <c r="F28" i="10"/>
  <c r="F29" i="10"/>
  <c r="F30" i="10"/>
  <c r="F31" i="10"/>
  <c r="E11" i="10"/>
  <c r="E12" i="10"/>
  <c r="E33" i="10" s="1"/>
  <c r="E13" i="10"/>
  <c r="E14" i="10"/>
  <c r="E15" i="10"/>
  <c r="E17" i="10"/>
  <c r="E18" i="10"/>
  <c r="E19" i="10"/>
  <c r="E21" i="10"/>
  <c r="E22" i="10"/>
  <c r="E23" i="10"/>
  <c r="E24" i="10"/>
  <c r="E25" i="10"/>
  <c r="E26" i="10"/>
  <c r="E27" i="10"/>
  <c r="E28" i="10"/>
  <c r="E29" i="10"/>
  <c r="E30" i="10"/>
  <c r="E31" i="10"/>
  <c r="C31" i="10"/>
  <c r="C30" i="10"/>
  <c r="C29" i="10"/>
  <c r="C28" i="10"/>
  <c r="C27" i="10"/>
  <c r="C26" i="10"/>
  <c r="J25" i="10"/>
  <c r="C25" i="10"/>
  <c r="J24" i="10"/>
  <c r="C24" i="10"/>
  <c r="J23" i="10"/>
  <c r="C23" i="10"/>
  <c r="J22" i="10"/>
  <c r="C22" i="10"/>
  <c r="J21" i="10"/>
  <c r="C21" i="10"/>
  <c r="C19" i="10"/>
  <c r="C17" i="10"/>
  <c r="C15" i="10"/>
  <c r="C14" i="10"/>
  <c r="J13" i="10"/>
  <c r="C13" i="10"/>
  <c r="J12" i="10"/>
  <c r="C12" i="10"/>
  <c r="J11" i="10"/>
  <c r="C11" i="10"/>
  <c r="M2" i="10"/>
  <c r="M3" i="10"/>
  <c r="M10" i="10"/>
  <c r="L2" i="10"/>
  <c r="L3" i="10"/>
  <c r="L10" i="10" s="1"/>
  <c r="E2" i="10"/>
  <c r="E10" i="10" s="1"/>
  <c r="F2" i="10"/>
  <c r="F3" i="10"/>
  <c r="F4" i="10"/>
  <c r="F5" i="10"/>
  <c r="F6" i="10"/>
  <c r="F7" i="10"/>
  <c r="F8" i="10"/>
  <c r="F10" i="10"/>
  <c r="E3" i="10"/>
  <c r="E4" i="10"/>
  <c r="E5" i="10"/>
  <c r="E6" i="10"/>
  <c r="E7" i="10"/>
  <c r="E8" i="10"/>
  <c r="D10" i="10"/>
  <c r="C8" i="10"/>
  <c r="C7" i="10"/>
  <c r="C6" i="10"/>
  <c r="C5" i="10"/>
  <c r="C4" i="10"/>
  <c r="J3" i="10"/>
  <c r="C3" i="10"/>
  <c r="J2" i="10"/>
  <c r="C2" i="10"/>
  <c r="M109" i="9"/>
  <c r="M110" i="9"/>
  <c r="M111" i="9"/>
  <c r="M112" i="9"/>
  <c r="M113" i="9"/>
  <c r="M106" i="9"/>
  <c r="M114" i="9"/>
  <c r="L109" i="9"/>
  <c r="L110" i="9"/>
  <c r="L114" i="9" s="1"/>
  <c r="L111" i="9"/>
  <c r="L112" i="9"/>
  <c r="L113" i="9"/>
  <c r="L106" i="9"/>
  <c r="F106" i="9"/>
  <c r="D114" i="9" s="1"/>
  <c r="T28" i="4" s="1"/>
  <c r="F107" i="9"/>
  <c r="F109" i="9"/>
  <c r="F110" i="9"/>
  <c r="F114" i="9"/>
  <c r="E106" i="9"/>
  <c r="E107" i="9"/>
  <c r="E114" i="9" s="1"/>
  <c r="E109" i="9"/>
  <c r="E110" i="9"/>
  <c r="J113" i="9"/>
  <c r="J112" i="9"/>
  <c r="J111" i="9"/>
  <c r="J110" i="9"/>
  <c r="C110" i="9"/>
  <c r="J109" i="9"/>
  <c r="C109" i="9"/>
  <c r="C107" i="9"/>
  <c r="J106" i="9"/>
  <c r="C106" i="9"/>
  <c r="M102" i="9"/>
  <c r="M105" i="9"/>
  <c r="L102" i="9"/>
  <c r="L105" i="9"/>
  <c r="F102" i="9"/>
  <c r="F105" i="9" s="1"/>
  <c r="R25" i="4" s="1"/>
  <c r="F103" i="9"/>
  <c r="D105" i="9" s="1"/>
  <c r="T25" i="4" s="1"/>
  <c r="E102" i="9"/>
  <c r="E105" i="9" s="1"/>
  <c r="E103" i="9"/>
  <c r="C103" i="9"/>
  <c r="J102" i="9"/>
  <c r="C102" i="9"/>
  <c r="M93" i="9"/>
  <c r="M94" i="9"/>
  <c r="M101" i="9" s="1"/>
  <c r="M96" i="9"/>
  <c r="L93" i="9"/>
  <c r="L94" i="9"/>
  <c r="L101" i="9" s="1"/>
  <c r="L96" i="9"/>
  <c r="F93" i="9"/>
  <c r="F94" i="9"/>
  <c r="F101" i="9" s="1"/>
  <c r="F96" i="9"/>
  <c r="F97" i="9"/>
  <c r="F98" i="9"/>
  <c r="F99" i="9"/>
  <c r="E93" i="9"/>
  <c r="E94" i="9"/>
  <c r="E96" i="9"/>
  <c r="E97" i="9"/>
  <c r="E98" i="9"/>
  <c r="E99" i="9"/>
  <c r="E101" i="9"/>
  <c r="C99" i="9"/>
  <c r="C98" i="9"/>
  <c r="C97" i="9"/>
  <c r="J96" i="9"/>
  <c r="C96" i="9"/>
  <c r="J94" i="9"/>
  <c r="C94" i="9"/>
  <c r="J93" i="9"/>
  <c r="M78" i="9"/>
  <c r="M79" i="9"/>
  <c r="M80" i="9"/>
  <c r="M92" i="9" s="1"/>
  <c r="M81" i="9"/>
  <c r="M83" i="9"/>
  <c r="M84" i="9"/>
  <c r="M86" i="9"/>
  <c r="M90" i="9"/>
  <c r="L78" i="9"/>
  <c r="L79" i="9"/>
  <c r="L92" i="9" s="1"/>
  <c r="L80" i="9"/>
  <c r="L81" i="9"/>
  <c r="L83" i="9"/>
  <c r="L84" i="9"/>
  <c r="L86" i="9"/>
  <c r="L90" i="9"/>
  <c r="F78" i="9"/>
  <c r="F92" i="9" s="1"/>
  <c r="F79" i="9"/>
  <c r="F80" i="9"/>
  <c r="F81" i="9"/>
  <c r="F83" i="9"/>
  <c r="D92" i="9" s="1"/>
  <c r="F84" i="9"/>
  <c r="F86" i="9"/>
  <c r="F87" i="9"/>
  <c r="F88" i="9"/>
  <c r="F90" i="9"/>
  <c r="E78" i="9"/>
  <c r="E79" i="9"/>
  <c r="E92" i="9" s="1"/>
  <c r="E80" i="9"/>
  <c r="E81" i="9"/>
  <c r="E83" i="9"/>
  <c r="E84" i="9"/>
  <c r="E86" i="9"/>
  <c r="E87" i="9"/>
  <c r="E88" i="9"/>
  <c r="E90" i="9"/>
  <c r="J90" i="9"/>
  <c r="C90" i="9"/>
  <c r="C88" i="9"/>
  <c r="C87" i="9"/>
  <c r="J86" i="9"/>
  <c r="C86" i="9"/>
  <c r="J84" i="9"/>
  <c r="C84" i="9"/>
  <c r="J83" i="9"/>
  <c r="C83" i="9"/>
  <c r="J81" i="9"/>
  <c r="C81" i="9"/>
  <c r="J80" i="9"/>
  <c r="C80" i="9"/>
  <c r="J79" i="9"/>
  <c r="C79" i="9"/>
  <c r="J78" i="9"/>
  <c r="C78" i="9"/>
  <c r="M71" i="9"/>
  <c r="M72" i="9"/>
  <c r="D77" i="9" s="1"/>
  <c r="T13" i="4" s="1"/>
  <c r="M73" i="9"/>
  <c r="M74" i="9"/>
  <c r="M75" i="9"/>
  <c r="M77" i="9"/>
  <c r="L71" i="9"/>
  <c r="L72" i="9"/>
  <c r="L73" i="9"/>
  <c r="L74" i="9"/>
  <c r="L77" i="9" s="1"/>
  <c r="R13" i="4" s="1"/>
  <c r="L75" i="9"/>
  <c r="F71" i="9"/>
  <c r="F77" i="9"/>
  <c r="E71" i="9"/>
  <c r="E77" i="9"/>
  <c r="J75" i="9"/>
  <c r="J74" i="9"/>
  <c r="J73" i="9"/>
  <c r="J72" i="9"/>
  <c r="J71" i="9"/>
  <c r="C71" i="9"/>
  <c r="M36" i="9"/>
  <c r="M39" i="9"/>
  <c r="M40" i="9"/>
  <c r="M41" i="9"/>
  <c r="M45" i="9"/>
  <c r="M46" i="9"/>
  <c r="M47" i="9"/>
  <c r="M48" i="9"/>
  <c r="M55" i="9"/>
  <c r="M60" i="9"/>
  <c r="M62" i="9"/>
  <c r="M63" i="9"/>
  <c r="M65" i="9"/>
  <c r="M66" i="9"/>
  <c r="M70" i="9"/>
  <c r="L36" i="9"/>
  <c r="L39" i="9"/>
  <c r="L40" i="9"/>
  <c r="L41" i="9"/>
  <c r="L45" i="9"/>
  <c r="L46" i="9"/>
  <c r="L47" i="9"/>
  <c r="L48" i="9"/>
  <c r="L55" i="9"/>
  <c r="L60" i="9"/>
  <c r="L62" i="9"/>
  <c r="L63" i="9"/>
  <c r="L70" i="9" s="1"/>
  <c r="L65" i="9"/>
  <c r="F36" i="9"/>
  <c r="F37" i="9"/>
  <c r="F39" i="9"/>
  <c r="F40" i="9"/>
  <c r="F41" i="9"/>
  <c r="F42" i="9"/>
  <c r="F43" i="9"/>
  <c r="F45" i="9"/>
  <c r="F46" i="9"/>
  <c r="F47" i="9"/>
  <c r="F70" i="9" s="1"/>
  <c r="R16" i="4" s="1"/>
  <c r="F48" i="9"/>
  <c r="F49" i="9"/>
  <c r="F50" i="9"/>
  <c r="F51" i="9"/>
  <c r="F52" i="9"/>
  <c r="F53" i="9"/>
  <c r="F55" i="9"/>
  <c r="F56" i="9"/>
  <c r="F57" i="9"/>
  <c r="F58" i="9"/>
  <c r="F60" i="9"/>
  <c r="F62" i="9"/>
  <c r="F65" i="9"/>
  <c r="F66" i="9"/>
  <c r="F67" i="9"/>
  <c r="F68" i="9"/>
  <c r="E36" i="9"/>
  <c r="E37" i="9"/>
  <c r="E39" i="9"/>
  <c r="E40" i="9"/>
  <c r="E41" i="9"/>
  <c r="E42" i="9"/>
  <c r="E43" i="9"/>
  <c r="E45" i="9"/>
  <c r="E46" i="9"/>
  <c r="E47" i="9"/>
  <c r="E48" i="9"/>
  <c r="E49" i="9"/>
  <c r="E50" i="9"/>
  <c r="E51" i="9"/>
  <c r="E52" i="9"/>
  <c r="E53" i="9"/>
  <c r="E55" i="9"/>
  <c r="E56" i="9"/>
  <c r="E57" i="9"/>
  <c r="E58" i="9"/>
  <c r="E60" i="9"/>
  <c r="E62" i="9"/>
  <c r="E65" i="9"/>
  <c r="E66" i="9"/>
  <c r="E67" i="9"/>
  <c r="E68" i="9"/>
  <c r="E70" i="9"/>
  <c r="D70" i="9"/>
  <c r="C68" i="9"/>
  <c r="C67" i="9"/>
  <c r="C66" i="9"/>
  <c r="J65" i="9"/>
  <c r="C65" i="9"/>
  <c r="J63" i="9"/>
  <c r="J62" i="9"/>
  <c r="C62" i="9"/>
  <c r="J60" i="9"/>
  <c r="C60" i="9"/>
  <c r="C58" i="9"/>
  <c r="C57" i="9"/>
  <c r="C56" i="9"/>
  <c r="J55" i="9"/>
  <c r="C55" i="9"/>
  <c r="C53" i="9"/>
  <c r="C52" i="9"/>
  <c r="C51" i="9"/>
  <c r="C50" i="9"/>
  <c r="C49" i="9"/>
  <c r="J48" i="9"/>
  <c r="C48" i="9"/>
  <c r="J47" i="9"/>
  <c r="C47" i="9"/>
  <c r="J46" i="9"/>
  <c r="C46" i="9"/>
  <c r="J45" i="9"/>
  <c r="C45" i="9"/>
  <c r="C43" i="9"/>
  <c r="C42" i="9"/>
  <c r="J41" i="9"/>
  <c r="C41" i="9"/>
  <c r="J40" i="9"/>
  <c r="C40" i="9"/>
  <c r="J39" i="9"/>
  <c r="C39" i="9"/>
  <c r="C37" i="9"/>
  <c r="J36" i="9"/>
  <c r="C36" i="9"/>
  <c r="M9" i="9"/>
  <c r="M10" i="9"/>
  <c r="M11" i="9"/>
  <c r="M19" i="9"/>
  <c r="M20" i="9"/>
  <c r="M25" i="9"/>
  <c r="M26" i="9"/>
  <c r="M27" i="9"/>
  <c r="M28" i="9"/>
  <c r="M29" i="9"/>
  <c r="M30" i="9"/>
  <c r="M35" i="9"/>
  <c r="L9" i="9"/>
  <c r="L10" i="9"/>
  <c r="L11" i="9"/>
  <c r="L19" i="9"/>
  <c r="L20" i="9"/>
  <c r="L25" i="9"/>
  <c r="L26" i="9"/>
  <c r="L27" i="9"/>
  <c r="L28" i="9"/>
  <c r="L29" i="9"/>
  <c r="L30" i="9"/>
  <c r="L35" i="9"/>
  <c r="F9" i="9"/>
  <c r="F10" i="9"/>
  <c r="F11" i="9"/>
  <c r="F12" i="9"/>
  <c r="F13" i="9"/>
  <c r="F14" i="9"/>
  <c r="F15" i="9"/>
  <c r="F16" i="9"/>
  <c r="F17" i="9"/>
  <c r="F19" i="9"/>
  <c r="F20" i="9"/>
  <c r="F21" i="9"/>
  <c r="F22" i="9"/>
  <c r="F23" i="9"/>
  <c r="F25" i="9"/>
  <c r="F26" i="9"/>
  <c r="F27" i="9"/>
  <c r="F28" i="9"/>
  <c r="F29" i="9"/>
  <c r="F30" i="9"/>
  <c r="F31" i="9"/>
  <c r="F32" i="9"/>
  <c r="F33" i="9"/>
  <c r="F35" i="9"/>
  <c r="E9" i="9"/>
  <c r="E10" i="9"/>
  <c r="E11" i="9"/>
  <c r="E12" i="9"/>
  <c r="E13" i="9"/>
  <c r="E14" i="9"/>
  <c r="E15" i="9"/>
  <c r="E16" i="9"/>
  <c r="E17" i="9"/>
  <c r="E19" i="9"/>
  <c r="E20" i="9"/>
  <c r="E21" i="9"/>
  <c r="E22" i="9"/>
  <c r="E23" i="9"/>
  <c r="E25" i="9"/>
  <c r="E26" i="9"/>
  <c r="E27" i="9"/>
  <c r="E28" i="9"/>
  <c r="E29" i="9"/>
  <c r="E30" i="9"/>
  <c r="E31" i="9"/>
  <c r="E32" i="9"/>
  <c r="E33" i="9"/>
  <c r="E35" i="9"/>
  <c r="D35" i="9"/>
  <c r="C33" i="9"/>
  <c r="C32" i="9"/>
  <c r="C31" i="9"/>
  <c r="J30" i="9"/>
  <c r="C30" i="9"/>
  <c r="J29" i="9"/>
  <c r="C29" i="9"/>
  <c r="J28" i="9"/>
  <c r="C28" i="9"/>
  <c r="J27" i="9"/>
  <c r="C27" i="9"/>
  <c r="J26" i="9"/>
  <c r="C26" i="9"/>
  <c r="J25" i="9"/>
  <c r="C25" i="9"/>
  <c r="C23" i="9"/>
  <c r="C22" i="9"/>
  <c r="C21" i="9"/>
  <c r="J20" i="9"/>
  <c r="C20" i="9"/>
  <c r="J19" i="9"/>
  <c r="C19" i="9"/>
  <c r="C17" i="9"/>
  <c r="C16" i="9"/>
  <c r="C15" i="9"/>
  <c r="C14" i="9"/>
  <c r="C13" i="9"/>
  <c r="C12" i="9"/>
  <c r="J11" i="9"/>
  <c r="C11" i="9"/>
  <c r="C10" i="9"/>
  <c r="J9" i="9"/>
  <c r="C9" i="9"/>
  <c r="M2" i="9"/>
  <c r="M8" i="9"/>
  <c r="L2" i="9"/>
  <c r="L8" i="9"/>
  <c r="E2" i="9"/>
  <c r="F2" i="9"/>
  <c r="F8" i="9" s="1"/>
  <c r="R7" i="4" s="1"/>
  <c r="F3" i="9"/>
  <c r="F4" i="9"/>
  <c r="F5" i="9"/>
  <c r="F6" i="9"/>
  <c r="E3" i="9"/>
  <c r="E4" i="9"/>
  <c r="E5" i="9"/>
  <c r="E8" i="9" s="1"/>
  <c r="E6" i="9"/>
  <c r="D8" i="9"/>
  <c r="C6" i="9"/>
  <c r="C5" i="9"/>
  <c r="C4" i="9"/>
  <c r="C3" i="9"/>
  <c r="J2" i="9"/>
  <c r="C2" i="9"/>
  <c r="M68" i="8"/>
  <c r="M69" i="8"/>
  <c r="M74" i="8"/>
  <c r="L68" i="8"/>
  <c r="L69" i="8"/>
  <c r="L74" i="8" s="1"/>
  <c r="F68" i="8"/>
  <c r="F69" i="8"/>
  <c r="F70" i="8"/>
  <c r="F71" i="8"/>
  <c r="F72" i="8"/>
  <c r="F73" i="8"/>
  <c r="F74" i="8"/>
  <c r="E68" i="8"/>
  <c r="E69" i="8"/>
  <c r="E74" i="8" s="1"/>
  <c r="E70" i="8"/>
  <c r="E71" i="8"/>
  <c r="E72" i="8"/>
  <c r="E73" i="8"/>
  <c r="D74" i="8"/>
  <c r="C73" i="8"/>
  <c r="C72" i="8"/>
  <c r="C71" i="8"/>
  <c r="C70" i="8"/>
  <c r="J69" i="8"/>
  <c r="C69" i="8"/>
  <c r="J68" i="8"/>
  <c r="C68" i="8"/>
  <c r="M39" i="8"/>
  <c r="M42" i="8"/>
  <c r="M43" i="8"/>
  <c r="M50" i="8"/>
  <c r="M55" i="8"/>
  <c r="M56" i="8"/>
  <c r="M57" i="8"/>
  <c r="M58" i="8"/>
  <c r="M59" i="8"/>
  <c r="M61" i="8"/>
  <c r="M67" i="8" s="1"/>
  <c r="N16" i="4" s="1"/>
  <c r="M62" i="8"/>
  <c r="M64" i="8"/>
  <c r="L39" i="8"/>
  <c r="L42" i="8"/>
  <c r="L43" i="8"/>
  <c r="L50" i="8"/>
  <c r="L55" i="8"/>
  <c r="L56" i="8"/>
  <c r="L57" i="8"/>
  <c r="L58" i="8"/>
  <c r="L59" i="8"/>
  <c r="L61" i="8"/>
  <c r="L62" i="8"/>
  <c r="L64" i="8"/>
  <c r="L67" i="8"/>
  <c r="F39" i="8"/>
  <c r="F40" i="8"/>
  <c r="F42" i="8"/>
  <c r="F43" i="8"/>
  <c r="F44" i="8"/>
  <c r="F45" i="8"/>
  <c r="F46" i="8"/>
  <c r="F47" i="8"/>
  <c r="F48" i="8"/>
  <c r="F50" i="8"/>
  <c r="F51" i="8"/>
  <c r="F52" i="8"/>
  <c r="F53" i="8"/>
  <c r="F55" i="8"/>
  <c r="F56" i="8"/>
  <c r="F57" i="8"/>
  <c r="F58" i="8"/>
  <c r="F59" i="8"/>
  <c r="F67" i="8" s="1"/>
  <c r="F61" i="8"/>
  <c r="F62" i="8"/>
  <c r="F64" i="8"/>
  <c r="F65" i="8"/>
  <c r="E39" i="8"/>
  <c r="E40" i="8"/>
  <c r="E42" i="8"/>
  <c r="E43" i="8"/>
  <c r="E44" i="8"/>
  <c r="E45" i="8"/>
  <c r="E46" i="8"/>
  <c r="E47" i="8"/>
  <c r="E48" i="8"/>
  <c r="E50" i="8"/>
  <c r="E51" i="8"/>
  <c r="E52" i="8"/>
  <c r="E53" i="8"/>
  <c r="E55" i="8"/>
  <c r="E56" i="8"/>
  <c r="E57" i="8"/>
  <c r="E58" i="8"/>
  <c r="E59" i="8"/>
  <c r="E61" i="8"/>
  <c r="E62" i="8"/>
  <c r="E64" i="8"/>
  <c r="E65" i="8"/>
  <c r="E67" i="8"/>
  <c r="D67" i="8"/>
  <c r="C65" i="8"/>
  <c r="J64" i="8"/>
  <c r="C64" i="8"/>
  <c r="J62" i="8"/>
  <c r="C62" i="8"/>
  <c r="J61" i="8"/>
  <c r="C61" i="8"/>
  <c r="J59" i="8"/>
  <c r="C59" i="8"/>
  <c r="J58" i="8"/>
  <c r="C58" i="8"/>
  <c r="J57" i="8"/>
  <c r="C57" i="8"/>
  <c r="J56" i="8"/>
  <c r="C56" i="8"/>
  <c r="J55" i="8"/>
  <c r="C55" i="8"/>
  <c r="C53" i="8"/>
  <c r="C52" i="8"/>
  <c r="C51" i="8"/>
  <c r="J50" i="8"/>
  <c r="C50" i="8"/>
  <c r="C48" i="8"/>
  <c r="C47" i="8"/>
  <c r="C46" i="8"/>
  <c r="C45" i="8"/>
  <c r="C44" i="8"/>
  <c r="J43" i="8"/>
  <c r="C43" i="8"/>
  <c r="J42" i="8"/>
  <c r="C42" i="8"/>
  <c r="C40" i="8"/>
  <c r="J39" i="8"/>
  <c r="C39" i="8"/>
  <c r="M2" i="8"/>
  <c r="M3" i="8"/>
  <c r="M11" i="8"/>
  <c r="M12" i="8"/>
  <c r="M13" i="8"/>
  <c r="M19" i="8"/>
  <c r="M20" i="8"/>
  <c r="M22" i="8"/>
  <c r="M23" i="8"/>
  <c r="M26" i="8"/>
  <c r="M27" i="8"/>
  <c r="M28" i="8"/>
  <c r="M29" i="8"/>
  <c r="M38" i="8" s="1"/>
  <c r="M30" i="8"/>
  <c r="L2" i="8"/>
  <c r="L3" i="8"/>
  <c r="L38" i="8" s="1"/>
  <c r="L11" i="8"/>
  <c r="L12" i="8"/>
  <c r="L13" i="8"/>
  <c r="L19" i="8"/>
  <c r="L20" i="8"/>
  <c r="L22" i="8"/>
  <c r="L23" i="8"/>
  <c r="L26" i="8"/>
  <c r="L27" i="8"/>
  <c r="L28" i="8"/>
  <c r="L29" i="8"/>
  <c r="L30" i="8"/>
  <c r="E2" i="8"/>
  <c r="F2" i="8"/>
  <c r="F3" i="8"/>
  <c r="F10" i="8" s="1"/>
  <c r="F38" i="8" s="1"/>
  <c r="F4" i="8"/>
  <c r="F5" i="8"/>
  <c r="F6" i="8"/>
  <c r="F7" i="8"/>
  <c r="F8" i="8"/>
  <c r="F11" i="8"/>
  <c r="F12" i="8"/>
  <c r="F13" i="8"/>
  <c r="F14" i="8"/>
  <c r="F15" i="8"/>
  <c r="F16" i="8"/>
  <c r="F17" i="8"/>
  <c r="F19" i="8"/>
  <c r="F20" i="8"/>
  <c r="F22" i="8"/>
  <c r="F23" i="8"/>
  <c r="F24" i="8"/>
  <c r="F26" i="8"/>
  <c r="F27" i="8"/>
  <c r="F28" i="8"/>
  <c r="F29" i="8"/>
  <c r="F30" i="8"/>
  <c r="F31" i="8"/>
  <c r="F32" i="8"/>
  <c r="F33" i="8"/>
  <c r="F34" i="8"/>
  <c r="F35" i="8"/>
  <c r="F36" i="8"/>
  <c r="E3" i="8"/>
  <c r="E4" i="8"/>
  <c r="E10" i="8" s="1"/>
  <c r="N7" i="4" s="1"/>
  <c r="E5" i="8"/>
  <c r="E6" i="8"/>
  <c r="E7" i="8"/>
  <c r="E8" i="8"/>
  <c r="E11" i="8"/>
  <c r="E12" i="8"/>
  <c r="E13" i="8"/>
  <c r="E14" i="8"/>
  <c r="E15" i="8"/>
  <c r="E16" i="8"/>
  <c r="E17" i="8"/>
  <c r="E19" i="8"/>
  <c r="E20" i="8"/>
  <c r="E22" i="8"/>
  <c r="E23" i="8"/>
  <c r="E24" i="8"/>
  <c r="E26" i="8"/>
  <c r="E27" i="8"/>
  <c r="E28" i="8"/>
  <c r="E29" i="8"/>
  <c r="E30" i="8"/>
  <c r="E31" i="8"/>
  <c r="E32" i="8"/>
  <c r="E33" i="8"/>
  <c r="E34" i="8"/>
  <c r="E35" i="8"/>
  <c r="E36" i="8"/>
  <c r="D38" i="8"/>
  <c r="C36" i="8"/>
  <c r="C35" i="8"/>
  <c r="C34" i="8"/>
  <c r="C33" i="8"/>
  <c r="C32" i="8"/>
  <c r="C31" i="8"/>
  <c r="J30" i="8"/>
  <c r="C30" i="8"/>
  <c r="J29" i="8"/>
  <c r="C29" i="8"/>
  <c r="J28" i="8"/>
  <c r="C28" i="8"/>
  <c r="J27" i="8"/>
  <c r="C27" i="8"/>
  <c r="J26" i="8"/>
  <c r="C26" i="8"/>
  <c r="C24" i="8"/>
  <c r="J23" i="8"/>
  <c r="C23" i="8"/>
  <c r="J22" i="8"/>
  <c r="C22" i="8"/>
  <c r="J20" i="8"/>
  <c r="C20" i="8"/>
  <c r="J19" i="8"/>
  <c r="C19" i="8"/>
  <c r="C17" i="8"/>
  <c r="C16" i="8"/>
  <c r="C15" i="8"/>
  <c r="C14" i="8"/>
  <c r="C13" i="8"/>
  <c r="J12" i="8"/>
  <c r="C12" i="8"/>
  <c r="J11" i="8"/>
  <c r="C11" i="8"/>
  <c r="M10" i="8"/>
  <c r="L10" i="8"/>
  <c r="D10" i="8"/>
  <c r="C8" i="8"/>
  <c r="C7" i="8"/>
  <c r="C6" i="8"/>
  <c r="C5" i="8"/>
  <c r="C4" i="8"/>
  <c r="J3" i="8"/>
  <c r="C3" i="8"/>
  <c r="J2" i="8"/>
  <c r="C2" i="8"/>
  <c r="M119" i="7"/>
  <c r="M120" i="7"/>
  <c r="M122" i="7"/>
  <c r="M123" i="7"/>
  <c r="M126" i="7"/>
  <c r="M129" i="7"/>
  <c r="M130" i="7"/>
  <c r="M132" i="7"/>
  <c r="L119" i="7"/>
  <c r="L120" i="7"/>
  <c r="L122" i="7"/>
  <c r="L123" i="7"/>
  <c r="L126" i="7"/>
  <c r="L129" i="7"/>
  <c r="L130" i="7"/>
  <c r="L132" i="7"/>
  <c r="F119" i="7"/>
  <c r="F120" i="7"/>
  <c r="F132" i="7" s="1"/>
  <c r="J28" i="4" s="1"/>
  <c r="F122" i="7"/>
  <c r="F123" i="7"/>
  <c r="F124" i="7"/>
  <c r="F126" i="7"/>
  <c r="F127" i="7"/>
  <c r="F129" i="7"/>
  <c r="F130" i="7"/>
  <c r="F131" i="7"/>
  <c r="E119" i="7"/>
  <c r="E120" i="7"/>
  <c r="E122" i="7"/>
  <c r="E123" i="7"/>
  <c r="E124" i="7"/>
  <c r="E132" i="7" s="1"/>
  <c r="E126" i="7"/>
  <c r="E127" i="7"/>
  <c r="E129" i="7"/>
  <c r="E130" i="7"/>
  <c r="E131" i="7"/>
  <c r="C131" i="7"/>
  <c r="J130" i="7"/>
  <c r="C130" i="7"/>
  <c r="J129" i="7"/>
  <c r="C129" i="7"/>
  <c r="C127" i="7"/>
  <c r="J126" i="7"/>
  <c r="C126" i="7"/>
  <c r="C124" i="7"/>
  <c r="J123" i="7"/>
  <c r="C123" i="7"/>
  <c r="J122" i="7"/>
  <c r="C122" i="7"/>
  <c r="J120" i="7"/>
  <c r="C120" i="7"/>
  <c r="J119" i="7"/>
  <c r="C119" i="7"/>
  <c r="M114" i="7"/>
  <c r="M115" i="7"/>
  <c r="M116" i="7"/>
  <c r="M118" i="7"/>
  <c r="L114" i="7"/>
  <c r="L115" i="7"/>
  <c r="L118" i="7" s="1"/>
  <c r="L116" i="7"/>
  <c r="F114" i="7"/>
  <c r="F115" i="7"/>
  <c r="F118" i="7" s="1"/>
  <c r="J25" i="4" s="1"/>
  <c r="F116" i="7"/>
  <c r="E114" i="7"/>
  <c r="E115" i="7"/>
  <c r="E118" i="7" s="1"/>
  <c r="E116" i="7"/>
  <c r="J116" i="7"/>
  <c r="C116" i="7"/>
  <c r="J115" i="7"/>
  <c r="C115" i="7"/>
  <c r="J114" i="7"/>
  <c r="C114" i="7"/>
  <c r="M105" i="7"/>
  <c r="M106" i="7"/>
  <c r="M107" i="7"/>
  <c r="M108" i="7"/>
  <c r="M113" i="7"/>
  <c r="L105" i="7"/>
  <c r="L106" i="7"/>
  <c r="L113" i="7" s="1"/>
  <c r="L107" i="7"/>
  <c r="L108" i="7"/>
  <c r="F105" i="7"/>
  <c r="F113" i="7" s="1"/>
  <c r="J22" i="4" s="1"/>
  <c r="F106" i="7"/>
  <c r="F107" i="7"/>
  <c r="F108" i="7"/>
  <c r="F109" i="7"/>
  <c r="F110" i="7"/>
  <c r="F111" i="7"/>
  <c r="E105" i="7"/>
  <c r="E113" i="7" s="1"/>
  <c r="E106" i="7"/>
  <c r="E107" i="7"/>
  <c r="E108" i="7"/>
  <c r="E109" i="7"/>
  <c r="E110" i="7"/>
  <c r="E111" i="7"/>
  <c r="D113" i="7"/>
  <c r="C111" i="7"/>
  <c r="C110" i="7"/>
  <c r="C109" i="7"/>
  <c r="J108" i="7"/>
  <c r="C108" i="7"/>
  <c r="J107" i="7"/>
  <c r="C107" i="7"/>
  <c r="J106" i="7"/>
  <c r="C106" i="7"/>
  <c r="J105" i="7"/>
  <c r="C105" i="7"/>
  <c r="M83" i="7"/>
  <c r="M89" i="7" s="1"/>
  <c r="M104" i="7" s="1"/>
  <c r="M84" i="7"/>
  <c r="M85" i="7"/>
  <c r="L83" i="7"/>
  <c r="L84" i="7"/>
  <c r="L104" i="7" s="1"/>
  <c r="L85" i="7"/>
  <c r="L89" i="7"/>
  <c r="F83" i="7"/>
  <c r="F89" i="7" s="1"/>
  <c r="J13" i="4" s="1"/>
  <c r="F84" i="7"/>
  <c r="F85" i="7"/>
  <c r="F86" i="7"/>
  <c r="F87" i="7"/>
  <c r="F104" i="7" s="1"/>
  <c r="E83" i="7"/>
  <c r="E84" i="7"/>
  <c r="E104" i="7" s="1"/>
  <c r="E85" i="7"/>
  <c r="E86" i="7"/>
  <c r="E87" i="7"/>
  <c r="E89" i="7"/>
  <c r="F90" i="7"/>
  <c r="F91" i="7"/>
  <c r="F93" i="7"/>
  <c r="F94" i="7"/>
  <c r="F95" i="7"/>
  <c r="F97" i="7"/>
  <c r="F98" i="7"/>
  <c r="F100" i="7"/>
  <c r="F101" i="7"/>
  <c r="F102" i="7"/>
  <c r="M90" i="7"/>
  <c r="M93" i="7"/>
  <c r="M97" i="7"/>
  <c r="M98" i="7"/>
  <c r="M100" i="7"/>
  <c r="M101" i="7"/>
  <c r="D104" i="7"/>
  <c r="E102" i="7"/>
  <c r="C102" i="7"/>
  <c r="L101" i="7"/>
  <c r="J101" i="7"/>
  <c r="E101" i="7"/>
  <c r="C101" i="7"/>
  <c r="L100" i="7"/>
  <c r="J100" i="7"/>
  <c r="E100" i="7"/>
  <c r="C100" i="7"/>
  <c r="L98" i="7"/>
  <c r="E98" i="7"/>
  <c r="C98" i="7"/>
  <c r="L97" i="7"/>
  <c r="J97" i="7"/>
  <c r="E97" i="7"/>
  <c r="C97" i="7"/>
  <c r="E95" i="7"/>
  <c r="C95" i="7"/>
  <c r="E94" i="7"/>
  <c r="C94" i="7"/>
  <c r="L93" i="7"/>
  <c r="J93" i="7"/>
  <c r="E93" i="7"/>
  <c r="C93" i="7"/>
  <c r="E91" i="7"/>
  <c r="C91" i="7"/>
  <c r="L90" i="7"/>
  <c r="J90" i="7"/>
  <c r="E90" i="7"/>
  <c r="C90" i="7"/>
  <c r="D89" i="7"/>
  <c r="C87" i="7"/>
  <c r="C86" i="7"/>
  <c r="J85" i="7"/>
  <c r="C85" i="7"/>
  <c r="J84" i="7"/>
  <c r="C84" i="7"/>
  <c r="J83" i="7"/>
  <c r="C83" i="7"/>
  <c r="M45" i="7"/>
  <c r="M46" i="7"/>
  <c r="M47" i="7"/>
  <c r="M48" i="7"/>
  <c r="M82" i="7" s="1"/>
  <c r="J16" i="4" s="1"/>
  <c r="M50" i="7"/>
  <c r="M51" i="7"/>
  <c r="M52" i="7"/>
  <c r="M53" i="7"/>
  <c r="M54" i="7"/>
  <c r="M56" i="7"/>
  <c r="M57" i="7"/>
  <c r="M58" i="7"/>
  <c r="M59" i="7"/>
  <c r="M60" i="7"/>
  <c r="M61" i="7"/>
  <c r="M63" i="7"/>
  <c r="M64" i="7"/>
  <c r="M66" i="7"/>
  <c r="M67" i="7"/>
  <c r="M68" i="7"/>
  <c r="M69" i="7"/>
  <c r="M70" i="7"/>
  <c r="M71" i="7"/>
  <c r="M72" i="7"/>
  <c r="M73" i="7"/>
  <c r="M74" i="7"/>
  <c r="M75" i="7"/>
  <c r="M77" i="7"/>
  <c r="L45" i="7"/>
  <c r="L82" i="7" s="1"/>
  <c r="L46" i="7"/>
  <c r="L50" i="7"/>
  <c r="L51" i="7"/>
  <c r="L52" i="7"/>
  <c r="L56" i="7"/>
  <c r="L57" i="7"/>
  <c r="L58" i="7"/>
  <c r="L59" i="7"/>
  <c r="L60" i="7"/>
  <c r="L61" i="7"/>
  <c r="L66" i="7"/>
  <c r="L67" i="7"/>
  <c r="L68" i="7"/>
  <c r="L69" i="7"/>
  <c r="L70" i="7"/>
  <c r="L71" i="7"/>
  <c r="L72" i="7"/>
  <c r="L77" i="7"/>
  <c r="F45" i="7"/>
  <c r="F46" i="7"/>
  <c r="F47" i="7"/>
  <c r="F48" i="7"/>
  <c r="F50" i="7"/>
  <c r="F51" i="7"/>
  <c r="F52" i="7"/>
  <c r="F53" i="7"/>
  <c r="F54" i="7"/>
  <c r="F56" i="7"/>
  <c r="F57" i="7"/>
  <c r="F58" i="7"/>
  <c r="F59" i="7"/>
  <c r="F60" i="7"/>
  <c r="F61" i="7"/>
  <c r="F62" i="7"/>
  <c r="F63" i="7"/>
  <c r="F64" i="7"/>
  <c r="F66" i="7"/>
  <c r="F67" i="7"/>
  <c r="F68" i="7"/>
  <c r="F69" i="7"/>
  <c r="F70" i="7"/>
  <c r="F71" i="7"/>
  <c r="F72" i="7"/>
  <c r="F73" i="7"/>
  <c r="F74" i="7"/>
  <c r="F75" i="7"/>
  <c r="F77" i="7"/>
  <c r="F78" i="7"/>
  <c r="F79" i="7"/>
  <c r="F80" i="7"/>
  <c r="F82" i="7"/>
  <c r="E45" i="7"/>
  <c r="E46" i="7"/>
  <c r="E82" i="7" s="1"/>
  <c r="E47" i="7"/>
  <c r="E48" i="7"/>
  <c r="E50" i="7"/>
  <c r="E51" i="7"/>
  <c r="E52" i="7"/>
  <c r="E53" i="7"/>
  <c r="E54" i="7"/>
  <c r="E56" i="7"/>
  <c r="E57" i="7"/>
  <c r="E58" i="7"/>
  <c r="E59" i="7"/>
  <c r="E60" i="7"/>
  <c r="E61" i="7"/>
  <c r="E62" i="7"/>
  <c r="E63" i="7"/>
  <c r="E64" i="7"/>
  <c r="E66" i="7"/>
  <c r="E67" i="7"/>
  <c r="E68" i="7"/>
  <c r="E69" i="7"/>
  <c r="E70" i="7"/>
  <c r="E71" i="7"/>
  <c r="E72" i="7"/>
  <c r="E73" i="7"/>
  <c r="E74" i="7"/>
  <c r="E75" i="7"/>
  <c r="E77" i="7"/>
  <c r="E78" i="7"/>
  <c r="E79" i="7"/>
  <c r="E80" i="7"/>
  <c r="D82" i="7"/>
  <c r="C80" i="7"/>
  <c r="C79" i="7"/>
  <c r="C78" i="7"/>
  <c r="J77" i="7"/>
  <c r="C77" i="7"/>
  <c r="C75" i="7"/>
  <c r="C74" i="7"/>
  <c r="C73" i="7"/>
  <c r="J72" i="7"/>
  <c r="C72" i="7"/>
  <c r="J71" i="7"/>
  <c r="C71" i="7"/>
  <c r="J70" i="7"/>
  <c r="C70" i="7"/>
  <c r="J69" i="7"/>
  <c r="C69" i="7"/>
  <c r="J68" i="7"/>
  <c r="C68" i="7"/>
  <c r="J67" i="7"/>
  <c r="C67" i="7"/>
  <c r="J66" i="7"/>
  <c r="C66" i="7"/>
  <c r="C64" i="7"/>
  <c r="C63" i="7"/>
  <c r="C62" i="7"/>
  <c r="J61" i="7"/>
  <c r="C61" i="7"/>
  <c r="J60" i="7"/>
  <c r="C60" i="7"/>
  <c r="J59" i="7"/>
  <c r="C59" i="7"/>
  <c r="J58" i="7"/>
  <c r="C58" i="7"/>
  <c r="J57" i="7"/>
  <c r="C57" i="7"/>
  <c r="J56" i="7"/>
  <c r="C56" i="7"/>
  <c r="C54" i="7"/>
  <c r="C53" i="7"/>
  <c r="J52" i="7"/>
  <c r="C52" i="7"/>
  <c r="J51" i="7"/>
  <c r="C51" i="7"/>
  <c r="J50" i="7"/>
  <c r="C50" i="7"/>
  <c r="C48" i="7"/>
  <c r="C47" i="7"/>
  <c r="J46" i="7"/>
  <c r="C46" i="7"/>
  <c r="J45" i="7"/>
  <c r="C45" i="7"/>
  <c r="M16" i="7"/>
  <c r="M44" i="7" s="1"/>
  <c r="M17" i="7"/>
  <c r="M18" i="7"/>
  <c r="M25" i="7"/>
  <c r="M26" i="7"/>
  <c r="M27" i="7"/>
  <c r="M28" i="7"/>
  <c r="M31" i="7"/>
  <c r="M32" i="7"/>
  <c r="M33" i="7"/>
  <c r="M34" i="7"/>
  <c r="M35" i="7"/>
  <c r="M36" i="7"/>
  <c r="L16" i="7"/>
  <c r="L44" i="7" s="1"/>
  <c r="L17" i="7"/>
  <c r="L18" i="7"/>
  <c r="L25" i="7"/>
  <c r="L26" i="7"/>
  <c r="L27" i="7"/>
  <c r="L28" i="7"/>
  <c r="L31" i="7"/>
  <c r="L32" i="7"/>
  <c r="L33" i="7"/>
  <c r="L34" i="7"/>
  <c r="L35" i="7"/>
  <c r="L36" i="7"/>
  <c r="F16" i="7"/>
  <c r="F44" i="7" s="1"/>
  <c r="F17" i="7"/>
  <c r="F18" i="7"/>
  <c r="F19" i="7"/>
  <c r="F20" i="7"/>
  <c r="F21" i="7"/>
  <c r="F22" i="7"/>
  <c r="F23" i="7"/>
  <c r="F25" i="7"/>
  <c r="F26" i="7"/>
  <c r="F27" i="7"/>
  <c r="F28" i="7"/>
  <c r="F29" i="7"/>
  <c r="F31" i="7"/>
  <c r="F32" i="7"/>
  <c r="F33" i="7"/>
  <c r="F34" i="7"/>
  <c r="F35" i="7"/>
  <c r="F36" i="7"/>
  <c r="F37" i="7"/>
  <c r="F38" i="7"/>
  <c r="F39" i="7"/>
  <c r="F40" i="7"/>
  <c r="F41" i="7"/>
  <c r="F42" i="7"/>
  <c r="E16" i="7"/>
  <c r="E44" i="7" s="1"/>
  <c r="E17" i="7"/>
  <c r="E18" i="7"/>
  <c r="E19" i="7"/>
  <c r="E20" i="7"/>
  <c r="E21" i="7"/>
  <c r="E22" i="7"/>
  <c r="E23" i="7"/>
  <c r="E25" i="7"/>
  <c r="E26" i="7"/>
  <c r="E27" i="7"/>
  <c r="E28" i="7"/>
  <c r="E29" i="7"/>
  <c r="E31" i="7"/>
  <c r="E32" i="7"/>
  <c r="E33" i="7"/>
  <c r="E34" i="7"/>
  <c r="E35" i="7"/>
  <c r="E36" i="7"/>
  <c r="E37" i="7"/>
  <c r="E38" i="7"/>
  <c r="E39" i="7"/>
  <c r="E40" i="7"/>
  <c r="E41" i="7"/>
  <c r="E42" i="7"/>
  <c r="D44" i="7"/>
  <c r="C42" i="7"/>
  <c r="C41" i="7"/>
  <c r="C40" i="7"/>
  <c r="C39" i="7"/>
  <c r="C38" i="7"/>
  <c r="C37" i="7"/>
  <c r="J36" i="7"/>
  <c r="C36" i="7"/>
  <c r="J35" i="7"/>
  <c r="C35" i="7"/>
  <c r="J34" i="7"/>
  <c r="C34" i="7"/>
  <c r="J33" i="7"/>
  <c r="C33" i="7"/>
  <c r="J32" i="7"/>
  <c r="C32" i="7"/>
  <c r="J31" i="7"/>
  <c r="C31" i="7"/>
  <c r="C29" i="7"/>
  <c r="J28" i="7"/>
  <c r="C28" i="7"/>
  <c r="J27" i="7"/>
  <c r="C27" i="7"/>
  <c r="J26" i="7"/>
  <c r="C26" i="7"/>
  <c r="J25" i="7"/>
  <c r="C25" i="7"/>
  <c r="C23" i="7"/>
  <c r="C22" i="7"/>
  <c r="C21" i="7"/>
  <c r="C20" i="7"/>
  <c r="C19" i="7"/>
  <c r="J18" i="7"/>
  <c r="C18" i="7"/>
  <c r="J17" i="7"/>
  <c r="C17" i="7"/>
  <c r="J16" i="7"/>
  <c r="C16" i="7"/>
  <c r="M2" i="7"/>
  <c r="M3" i="7"/>
  <c r="M4" i="7"/>
  <c r="M5" i="7"/>
  <c r="M6" i="7"/>
  <c r="M15" i="7"/>
  <c r="L2" i="7"/>
  <c r="L3" i="7"/>
  <c r="L15" i="7" s="1"/>
  <c r="L4" i="7"/>
  <c r="L5" i="7"/>
  <c r="E2" i="7"/>
  <c r="E15" i="7" s="1"/>
  <c r="F2" i="7"/>
  <c r="F3" i="7"/>
  <c r="E4" i="7"/>
  <c r="F4" i="7"/>
  <c r="E5" i="7"/>
  <c r="F5" i="7"/>
  <c r="E6" i="7"/>
  <c r="F6" i="7"/>
  <c r="F7" i="7"/>
  <c r="F8" i="7"/>
  <c r="F15" i="7" s="1"/>
  <c r="J7" i="4" s="1"/>
  <c r="F9" i="7"/>
  <c r="F10" i="7"/>
  <c r="F11" i="7"/>
  <c r="F12" i="7"/>
  <c r="F13" i="7"/>
  <c r="E3" i="7"/>
  <c r="E7" i="7"/>
  <c r="E8" i="7"/>
  <c r="E9" i="7"/>
  <c r="E10" i="7"/>
  <c r="E11" i="7"/>
  <c r="E12" i="7"/>
  <c r="E13" i="7"/>
  <c r="D15" i="7"/>
  <c r="C13" i="7"/>
  <c r="C12" i="7"/>
  <c r="C11" i="7"/>
  <c r="C10" i="7"/>
  <c r="C9" i="7"/>
  <c r="C8" i="7"/>
  <c r="C6" i="7"/>
  <c r="J5" i="7"/>
  <c r="C5" i="7"/>
  <c r="J4" i="7"/>
  <c r="C4" i="7"/>
  <c r="J3" i="7"/>
  <c r="C3" i="7"/>
  <c r="J2" i="7"/>
  <c r="C2" i="7"/>
  <c r="M137" i="6"/>
  <c r="M138" i="6"/>
  <c r="M139" i="6"/>
  <c r="M141" i="6"/>
  <c r="M144" i="6"/>
  <c r="M145" i="6"/>
  <c r="M147" i="6"/>
  <c r="M148" i="6"/>
  <c r="M149" i="6"/>
  <c r="L137" i="6"/>
  <c r="L138" i="6"/>
  <c r="L149" i="6" s="1"/>
  <c r="L139" i="6"/>
  <c r="L141" i="6"/>
  <c r="L144" i="6"/>
  <c r="L145" i="6"/>
  <c r="L147" i="6"/>
  <c r="L148" i="6"/>
  <c r="F137" i="6"/>
  <c r="F138" i="6"/>
  <c r="F139" i="6"/>
  <c r="F141" i="6"/>
  <c r="F142" i="6"/>
  <c r="F144" i="6"/>
  <c r="F147" i="6"/>
  <c r="F148" i="6"/>
  <c r="F149" i="6"/>
  <c r="E137" i="6"/>
  <c r="E138" i="6"/>
  <c r="E149" i="6" s="1"/>
  <c r="E139" i="6"/>
  <c r="E141" i="6"/>
  <c r="E142" i="6"/>
  <c r="E144" i="6"/>
  <c r="E147" i="6"/>
  <c r="E148" i="6"/>
  <c r="D149" i="6"/>
  <c r="J148" i="6"/>
  <c r="C148" i="6"/>
  <c r="J147" i="6"/>
  <c r="C147" i="6"/>
  <c r="J145" i="6"/>
  <c r="J144" i="6"/>
  <c r="C144" i="6"/>
  <c r="C142" i="6"/>
  <c r="J141" i="6"/>
  <c r="C141" i="6"/>
  <c r="J139" i="6"/>
  <c r="C139" i="6"/>
  <c r="J138" i="6"/>
  <c r="C138" i="6"/>
  <c r="J137" i="6"/>
  <c r="C137" i="6"/>
  <c r="M127" i="6"/>
  <c r="M128" i="6"/>
  <c r="M136" i="6" s="1"/>
  <c r="M133" i="6"/>
  <c r="M134" i="6"/>
  <c r="L127" i="6"/>
  <c r="L128" i="6"/>
  <c r="L133" i="6"/>
  <c r="L136" i="6" s="1"/>
  <c r="L134" i="6"/>
  <c r="F127" i="6"/>
  <c r="F128" i="6"/>
  <c r="F136" i="6" s="1"/>
  <c r="F129" i="6"/>
  <c r="F130" i="6"/>
  <c r="F133" i="6"/>
  <c r="F134" i="6"/>
  <c r="E127" i="6"/>
  <c r="E128" i="6"/>
  <c r="E129" i="6"/>
  <c r="E130" i="6"/>
  <c r="E133" i="6"/>
  <c r="E134" i="6"/>
  <c r="E136" i="6"/>
  <c r="J134" i="6"/>
  <c r="C134" i="6"/>
  <c r="J133" i="6"/>
  <c r="C133" i="6"/>
  <c r="C130" i="6"/>
  <c r="C129" i="6"/>
  <c r="J128" i="6"/>
  <c r="C128" i="6"/>
  <c r="J127" i="6"/>
  <c r="C127" i="6"/>
  <c r="M116" i="6"/>
  <c r="M126" i="6" s="1"/>
  <c r="F22" i="4" s="1"/>
  <c r="M117" i="6"/>
  <c r="M120" i="6"/>
  <c r="M121" i="6"/>
  <c r="M122" i="6"/>
  <c r="L116" i="6"/>
  <c r="L126" i="6" s="1"/>
  <c r="L117" i="6"/>
  <c r="L120" i="6"/>
  <c r="L121" i="6"/>
  <c r="L122" i="6"/>
  <c r="F116" i="6"/>
  <c r="F117" i="6"/>
  <c r="F118" i="6"/>
  <c r="F120" i="6"/>
  <c r="F121" i="6"/>
  <c r="F122" i="6"/>
  <c r="F123" i="6"/>
  <c r="F124" i="6"/>
  <c r="F126" i="6"/>
  <c r="E116" i="6"/>
  <c r="E117" i="6"/>
  <c r="E126" i="6" s="1"/>
  <c r="E118" i="6"/>
  <c r="E120" i="6"/>
  <c r="E121" i="6"/>
  <c r="E122" i="6"/>
  <c r="E123" i="6"/>
  <c r="E124" i="6"/>
  <c r="D126" i="6"/>
  <c r="C124" i="6"/>
  <c r="C123" i="6"/>
  <c r="J122" i="6"/>
  <c r="C122" i="6"/>
  <c r="J121" i="6"/>
  <c r="C121" i="6"/>
  <c r="J120" i="6"/>
  <c r="C120" i="6"/>
  <c r="C118" i="6"/>
  <c r="J117" i="6"/>
  <c r="C117" i="6"/>
  <c r="J116" i="6"/>
  <c r="C116" i="6"/>
  <c r="M95" i="6"/>
  <c r="M115" i="6" s="1"/>
  <c r="M96" i="6"/>
  <c r="M99" i="6"/>
  <c r="M100" i="6"/>
  <c r="M101" i="6"/>
  <c r="M103" i="6"/>
  <c r="M104" i="6"/>
  <c r="M105" i="6"/>
  <c r="M107" i="6"/>
  <c r="M111" i="6"/>
  <c r="M112" i="6"/>
  <c r="L95" i="6"/>
  <c r="L115" i="6" s="1"/>
  <c r="L96" i="6"/>
  <c r="L99" i="6"/>
  <c r="L100" i="6"/>
  <c r="L101" i="6"/>
  <c r="L103" i="6"/>
  <c r="L104" i="6"/>
  <c r="L105" i="6"/>
  <c r="L107" i="6"/>
  <c r="L111" i="6"/>
  <c r="L112" i="6"/>
  <c r="F95" i="6"/>
  <c r="F115" i="6" s="1"/>
  <c r="F96" i="6"/>
  <c r="F97" i="6"/>
  <c r="F99" i="6"/>
  <c r="F100" i="6"/>
  <c r="F103" i="6"/>
  <c r="F104" i="6"/>
  <c r="F107" i="6"/>
  <c r="F108" i="6"/>
  <c r="F109" i="6"/>
  <c r="F111" i="6"/>
  <c r="F112" i="6"/>
  <c r="F113" i="6"/>
  <c r="E95" i="6"/>
  <c r="E115" i="6" s="1"/>
  <c r="E96" i="6"/>
  <c r="E97" i="6"/>
  <c r="E99" i="6"/>
  <c r="E100" i="6"/>
  <c r="E103" i="6"/>
  <c r="E104" i="6"/>
  <c r="E107" i="6"/>
  <c r="E108" i="6"/>
  <c r="E109" i="6"/>
  <c r="E111" i="6"/>
  <c r="E112" i="6"/>
  <c r="E113" i="6"/>
  <c r="D115" i="6"/>
  <c r="C113" i="6"/>
  <c r="J112" i="6"/>
  <c r="C112" i="6"/>
  <c r="J111" i="6"/>
  <c r="C111" i="6"/>
  <c r="C109" i="6"/>
  <c r="C108" i="6"/>
  <c r="C107" i="6"/>
  <c r="J105" i="6"/>
  <c r="J104" i="6"/>
  <c r="C104" i="6"/>
  <c r="J103" i="6"/>
  <c r="C103" i="6"/>
  <c r="J101" i="6"/>
  <c r="J100" i="6"/>
  <c r="C100" i="6"/>
  <c r="J99" i="6"/>
  <c r="C99" i="6"/>
  <c r="C97" i="6"/>
  <c r="J96" i="6"/>
  <c r="C96" i="6"/>
  <c r="J95" i="6"/>
  <c r="C95" i="6"/>
  <c r="M85" i="6"/>
  <c r="M87" i="6"/>
  <c r="M88" i="6"/>
  <c r="M90" i="6"/>
  <c r="M94" i="6"/>
  <c r="L85" i="6"/>
  <c r="L87" i="6"/>
  <c r="L94" i="6" s="1"/>
  <c r="L88" i="6"/>
  <c r="L90" i="6"/>
  <c r="F85" i="6"/>
  <c r="F94" i="6" s="1"/>
  <c r="F87" i="6"/>
  <c r="F90" i="6"/>
  <c r="F91" i="6"/>
  <c r="F92" i="6"/>
  <c r="E85" i="6"/>
  <c r="E94" i="6" s="1"/>
  <c r="E87" i="6"/>
  <c r="E90" i="6"/>
  <c r="E91" i="6"/>
  <c r="E92" i="6"/>
  <c r="D94" i="6"/>
  <c r="C92" i="6"/>
  <c r="C91" i="6"/>
  <c r="J90" i="6"/>
  <c r="C90" i="6"/>
  <c r="J88" i="6"/>
  <c r="J87" i="6"/>
  <c r="C87" i="6"/>
  <c r="J85" i="6"/>
  <c r="C85" i="6"/>
  <c r="M60" i="6"/>
  <c r="M61" i="6"/>
  <c r="M62" i="6"/>
  <c r="M63" i="6"/>
  <c r="M69" i="6"/>
  <c r="M70" i="6"/>
  <c r="M71" i="6"/>
  <c r="M73" i="6"/>
  <c r="M74" i="6"/>
  <c r="M78" i="6"/>
  <c r="M79" i="6"/>
  <c r="M84" i="6" s="1"/>
  <c r="M80" i="6"/>
  <c r="L60" i="6"/>
  <c r="L61" i="6"/>
  <c r="L84" i="6" s="1"/>
  <c r="L62" i="6"/>
  <c r="L63" i="6"/>
  <c r="L69" i="6"/>
  <c r="L70" i="6"/>
  <c r="L71" i="6"/>
  <c r="L73" i="6"/>
  <c r="L74" i="6"/>
  <c r="L78" i="6"/>
  <c r="L79" i="6"/>
  <c r="L80" i="6"/>
  <c r="F51" i="6"/>
  <c r="F84" i="6" s="1"/>
  <c r="F52" i="6"/>
  <c r="F54" i="6"/>
  <c r="F55" i="6"/>
  <c r="F56" i="6"/>
  <c r="F57" i="6"/>
  <c r="F58" i="6"/>
  <c r="F60" i="6"/>
  <c r="F61" i="6"/>
  <c r="F62" i="6"/>
  <c r="F63" i="6"/>
  <c r="F64" i="6"/>
  <c r="F65" i="6"/>
  <c r="F66" i="6"/>
  <c r="F69" i="6"/>
  <c r="F70" i="6"/>
  <c r="F71" i="6"/>
  <c r="F73" i="6"/>
  <c r="F74" i="6"/>
  <c r="F75" i="6"/>
  <c r="F76" i="6"/>
  <c r="F78" i="6"/>
  <c r="F79" i="6"/>
  <c r="F80" i="6"/>
  <c r="F81" i="6"/>
  <c r="E51" i="6"/>
  <c r="E84" i="6" s="1"/>
  <c r="E52" i="6"/>
  <c r="E54" i="6"/>
  <c r="E55" i="6"/>
  <c r="E56" i="6"/>
  <c r="E57" i="6"/>
  <c r="E58" i="6"/>
  <c r="E60" i="6"/>
  <c r="E61" i="6"/>
  <c r="E62" i="6"/>
  <c r="E63" i="6"/>
  <c r="E64" i="6"/>
  <c r="E65" i="6"/>
  <c r="E66" i="6"/>
  <c r="E69" i="6"/>
  <c r="E70" i="6"/>
  <c r="E71" i="6"/>
  <c r="E73" i="6"/>
  <c r="E74" i="6"/>
  <c r="E75" i="6"/>
  <c r="E76" i="6"/>
  <c r="E78" i="6"/>
  <c r="E79" i="6"/>
  <c r="E80" i="6"/>
  <c r="E81" i="6"/>
  <c r="F49" i="6"/>
  <c r="D84" i="6" s="1"/>
  <c r="H16" i="4" s="1"/>
  <c r="M49" i="6"/>
  <c r="M51" i="6"/>
  <c r="M54" i="6"/>
  <c r="M55" i="6"/>
  <c r="C81" i="6"/>
  <c r="J80" i="6"/>
  <c r="J79" i="6"/>
  <c r="C79" i="6"/>
  <c r="J78" i="6"/>
  <c r="C78" i="6"/>
  <c r="C76" i="6"/>
  <c r="C75" i="6"/>
  <c r="J74" i="6"/>
  <c r="C74" i="6"/>
  <c r="J73" i="6"/>
  <c r="C73" i="6"/>
  <c r="J71" i="6"/>
  <c r="C71" i="6"/>
  <c r="J70" i="6"/>
  <c r="C70" i="6"/>
  <c r="J69" i="6"/>
  <c r="C69" i="6"/>
  <c r="C66" i="6"/>
  <c r="C65" i="6"/>
  <c r="C64" i="6"/>
  <c r="J63" i="6"/>
  <c r="C63" i="6"/>
  <c r="J62" i="6"/>
  <c r="C62" i="6"/>
  <c r="J61" i="6"/>
  <c r="C61" i="6"/>
  <c r="J60" i="6"/>
  <c r="C60" i="6"/>
  <c r="C58" i="6"/>
  <c r="C57" i="6"/>
  <c r="C56" i="6"/>
  <c r="L55" i="6"/>
  <c r="J55" i="6"/>
  <c r="C55" i="6"/>
  <c r="L54" i="6"/>
  <c r="J54" i="6"/>
  <c r="C54" i="6"/>
  <c r="C52" i="6"/>
  <c r="L51" i="6"/>
  <c r="C51" i="6"/>
  <c r="L49" i="6"/>
  <c r="J49" i="6"/>
  <c r="E49" i="6"/>
  <c r="C49" i="6"/>
  <c r="M18" i="6"/>
  <c r="M19" i="6"/>
  <c r="M20" i="6"/>
  <c r="M48" i="6" s="1"/>
  <c r="M21" i="6"/>
  <c r="M25" i="6"/>
  <c r="M26" i="6"/>
  <c r="M27" i="6"/>
  <c r="M30" i="6"/>
  <c r="M31" i="6"/>
  <c r="M35" i="6"/>
  <c r="M36" i="6"/>
  <c r="M37" i="6"/>
  <c r="M38" i="6"/>
  <c r="L18" i="6"/>
  <c r="L19" i="6"/>
  <c r="L20" i="6"/>
  <c r="L21" i="6"/>
  <c r="L25" i="6"/>
  <c r="L26" i="6"/>
  <c r="L27" i="6"/>
  <c r="L30" i="6"/>
  <c r="L31" i="6"/>
  <c r="L35" i="6"/>
  <c r="L36" i="6"/>
  <c r="L37" i="6"/>
  <c r="L38" i="6"/>
  <c r="L48" i="6"/>
  <c r="F18" i="6"/>
  <c r="F19" i="6"/>
  <c r="F20" i="6"/>
  <c r="F21" i="6"/>
  <c r="F48" i="6" s="1"/>
  <c r="F10" i="4" s="1"/>
  <c r="F22" i="6"/>
  <c r="F23" i="6"/>
  <c r="F25" i="6"/>
  <c r="F26" i="6"/>
  <c r="F27" i="6"/>
  <c r="F28" i="6"/>
  <c r="F30" i="6"/>
  <c r="F31" i="6"/>
  <c r="F32" i="6"/>
  <c r="F33" i="6"/>
  <c r="F35" i="6"/>
  <c r="F36" i="6"/>
  <c r="F37" i="6"/>
  <c r="F38" i="6"/>
  <c r="F39" i="6"/>
  <c r="F40" i="6"/>
  <c r="F41" i="6"/>
  <c r="F42" i="6"/>
  <c r="F43" i="6"/>
  <c r="F44" i="6"/>
  <c r="F45" i="6"/>
  <c r="F46" i="6"/>
  <c r="E18" i="6"/>
  <c r="E48" i="6" s="1"/>
  <c r="E19" i="6"/>
  <c r="E20" i="6"/>
  <c r="E21" i="6"/>
  <c r="E22" i="6"/>
  <c r="E23" i="6"/>
  <c r="E25" i="6"/>
  <c r="E26" i="6"/>
  <c r="E27" i="6"/>
  <c r="E28" i="6"/>
  <c r="E30" i="6"/>
  <c r="E31" i="6"/>
  <c r="E32" i="6"/>
  <c r="E33" i="6"/>
  <c r="E35" i="6"/>
  <c r="E36" i="6"/>
  <c r="E37" i="6"/>
  <c r="E38" i="6"/>
  <c r="E39" i="6"/>
  <c r="E40" i="6"/>
  <c r="E41" i="6"/>
  <c r="E42" i="6"/>
  <c r="E43" i="6"/>
  <c r="E44" i="6"/>
  <c r="E45" i="6"/>
  <c r="E46" i="6"/>
  <c r="C46" i="6"/>
  <c r="C45" i="6"/>
  <c r="C44" i="6"/>
  <c r="C43" i="6"/>
  <c r="C42" i="6"/>
  <c r="C41" i="6"/>
  <c r="C40" i="6"/>
  <c r="C39" i="6"/>
  <c r="J38" i="6"/>
  <c r="C38" i="6"/>
  <c r="J37" i="6"/>
  <c r="C37" i="6"/>
  <c r="J36" i="6"/>
  <c r="C36" i="6"/>
  <c r="J35" i="6"/>
  <c r="C35" i="6"/>
  <c r="C33" i="6"/>
  <c r="C32" i="6"/>
  <c r="J31" i="6"/>
  <c r="C31" i="6"/>
  <c r="J30" i="6"/>
  <c r="C30" i="6"/>
  <c r="C28" i="6"/>
  <c r="J27" i="6"/>
  <c r="C27" i="6"/>
  <c r="J26" i="6"/>
  <c r="C26" i="6"/>
  <c r="J25" i="6"/>
  <c r="C25" i="6"/>
  <c r="C23" i="6"/>
  <c r="M22" i="6"/>
  <c r="L22" i="6"/>
  <c r="J22" i="6"/>
  <c r="C22" i="6"/>
  <c r="J21" i="6"/>
  <c r="C21" i="6"/>
  <c r="J20" i="6"/>
  <c r="C20" i="6"/>
  <c r="J19" i="6"/>
  <c r="C19" i="6"/>
  <c r="J18" i="6"/>
  <c r="C18" i="6"/>
  <c r="M2" i="6"/>
  <c r="M17" i="6" s="1"/>
  <c r="M3" i="6"/>
  <c r="M4" i="6"/>
  <c r="M5" i="6"/>
  <c r="M6" i="6"/>
  <c r="M7" i="6"/>
  <c r="M11" i="6"/>
  <c r="M12" i="6"/>
  <c r="M13" i="6"/>
  <c r="L2" i="6"/>
  <c r="L3" i="6"/>
  <c r="L4" i="6"/>
  <c r="L5" i="6"/>
  <c r="L6" i="6"/>
  <c r="L7" i="6"/>
  <c r="L11" i="6"/>
  <c r="L12" i="6"/>
  <c r="L17" i="6"/>
  <c r="F2" i="6"/>
  <c r="F17" i="6" s="1"/>
  <c r="F7" i="4" s="1"/>
  <c r="F3" i="6"/>
  <c r="E4" i="6"/>
  <c r="F4" i="6"/>
  <c r="F5" i="6"/>
  <c r="F6" i="6"/>
  <c r="F7" i="6"/>
  <c r="F8" i="6"/>
  <c r="F9" i="6"/>
  <c r="F11" i="6"/>
  <c r="F12" i="6"/>
  <c r="F13" i="6"/>
  <c r="F14" i="6"/>
  <c r="F15" i="6"/>
  <c r="E2" i="6"/>
  <c r="D17" i="6" s="1"/>
  <c r="H7" i="4" s="1"/>
  <c r="E3" i="6"/>
  <c r="E5" i="6"/>
  <c r="E6" i="6"/>
  <c r="E7" i="6"/>
  <c r="E8" i="6"/>
  <c r="E9" i="6"/>
  <c r="E11" i="6"/>
  <c r="E12" i="6"/>
  <c r="E13" i="6"/>
  <c r="E14" i="6"/>
  <c r="E15" i="6"/>
  <c r="E17" i="6"/>
  <c r="C15" i="6"/>
  <c r="C14" i="6"/>
  <c r="C13" i="6"/>
  <c r="J12" i="6"/>
  <c r="C12" i="6"/>
  <c r="J11" i="6"/>
  <c r="C11" i="6"/>
  <c r="C9" i="6"/>
  <c r="C8" i="6"/>
  <c r="J7" i="6"/>
  <c r="C7" i="6"/>
  <c r="J6" i="6"/>
  <c r="C6" i="6"/>
  <c r="J5" i="6"/>
  <c r="C5" i="6"/>
  <c r="J4" i="6"/>
  <c r="C4" i="6"/>
  <c r="J3" i="6"/>
  <c r="C3" i="6"/>
  <c r="J2" i="6"/>
  <c r="C2" i="6"/>
  <c r="M93" i="5"/>
  <c r="M95" i="5"/>
  <c r="M98" i="5" s="1"/>
  <c r="M96" i="5"/>
  <c r="M97" i="5"/>
  <c r="L93" i="5"/>
  <c r="L95" i="5"/>
  <c r="L96" i="5"/>
  <c r="L97" i="5"/>
  <c r="L98" i="5"/>
  <c r="F87" i="5"/>
  <c r="F98" i="5" s="1"/>
  <c r="B28" i="4" s="1"/>
  <c r="F88" i="5"/>
  <c r="F90" i="5"/>
  <c r="F91" i="5"/>
  <c r="F93" i="5"/>
  <c r="E87" i="5"/>
  <c r="E88" i="5"/>
  <c r="E90" i="5"/>
  <c r="E91" i="5"/>
  <c r="E93" i="5"/>
  <c r="E98" i="5"/>
  <c r="M87" i="5"/>
  <c r="M88" i="5"/>
  <c r="M90" i="5"/>
  <c r="D98" i="5"/>
  <c r="D28" i="4" s="1"/>
  <c r="J97" i="5"/>
  <c r="J96" i="5"/>
  <c r="J95" i="5"/>
  <c r="J93" i="5"/>
  <c r="C93" i="5"/>
  <c r="C91" i="5"/>
  <c r="L90" i="5"/>
  <c r="J90" i="5"/>
  <c r="C90" i="5"/>
  <c r="L88" i="5"/>
  <c r="J88" i="5"/>
  <c r="C88" i="5"/>
  <c r="L87" i="5"/>
  <c r="J87" i="5"/>
  <c r="C87" i="5"/>
  <c r="M76" i="5"/>
  <c r="M86" i="5" s="1"/>
  <c r="M80" i="5"/>
  <c r="L76" i="5"/>
  <c r="L80" i="5"/>
  <c r="L86" i="5" s="1"/>
  <c r="F76" i="5"/>
  <c r="F77" i="5"/>
  <c r="F78" i="5"/>
  <c r="F86" i="5" s="1"/>
  <c r="F80" i="5"/>
  <c r="F81" i="5"/>
  <c r="F82" i="5"/>
  <c r="F84" i="5"/>
  <c r="E76" i="5"/>
  <c r="E77" i="5"/>
  <c r="E78" i="5"/>
  <c r="E86" i="5" s="1"/>
  <c r="E80" i="5"/>
  <c r="E81" i="5"/>
  <c r="E82" i="5"/>
  <c r="E84" i="5"/>
  <c r="C84" i="5"/>
  <c r="C82" i="5"/>
  <c r="C81" i="5"/>
  <c r="J80" i="5"/>
  <c r="C80" i="5"/>
  <c r="C78" i="5"/>
  <c r="C77" i="5"/>
  <c r="J76" i="5"/>
  <c r="C76" i="5"/>
  <c r="M65" i="5"/>
  <c r="M75" i="5" s="1"/>
  <c r="M69" i="5"/>
  <c r="L65" i="5"/>
  <c r="L69" i="5"/>
  <c r="L75" i="5" s="1"/>
  <c r="F65" i="5"/>
  <c r="F66" i="5"/>
  <c r="F67" i="5"/>
  <c r="F75" i="5" s="1"/>
  <c r="F69" i="5"/>
  <c r="F70" i="5"/>
  <c r="F71" i="5"/>
  <c r="F72" i="5"/>
  <c r="F73" i="5"/>
  <c r="E65" i="5"/>
  <c r="E66" i="5"/>
  <c r="E75" i="5" s="1"/>
  <c r="E67" i="5"/>
  <c r="E69" i="5"/>
  <c r="E70" i="5"/>
  <c r="E71" i="5"/>
  <c r="E72" i="5"/>
  <c r="E73" i="5"/>
  <c r="D75" i="5"/>
  <c r="C73" i="5"/>
  <c r="C72" i="5"/>
  <c r="C71" i="5"/>
  <c r="C70" i="5"/>
  <c r="J69" i="5"/>
  <c r="C69" i="5"/>
  <c r="C67" i="5"/>
  <c r="C66" i="5"/>
  <c r="J65" i="5"/>
  <c r="C65" i="5"/>
  <c r="N64" i="5"/>
  <c r="M61" i="5"/>
  <c r="M64" i="5" s="1"/>
  <c r="M62" i="5"/>
  <c r="L61" i="5"/>
  <c r="L62" i="5"/>
  <c r="L64" i="5" s="1"/>
  <c r="F61" i="5"/>
  <c r="F64" i="5" s="1"/>
  <c r="E61" i="5"/>
  <c r="E64" i="5" s="1"/>
  <c r="J62" i="5"/>
  <c r="J61" i="5"/>
  <c r="C61" i="5"/>
  <c r="M52" i="5"/>
  <c r="M54" i="5"/>
  <c r="M56" i="5"/>
  <c r="M60" i="5" s="1"/>
  <c r="M58" i="5"/>
  <c r="L52" i="5"/>
  <c r="L54" i="5"/>
  <c r="L60" i="5" s="1"/>
  <c r="L56" i="5"/>
  <c r="L58" i="5"/>
  <c r="F52" i="5"/>
  <c r="D60" i="5" s="1"/>
  <c r="D13" i="4" s="1"/>
  <c r="F54" i="5"/>
  <c r="F56" i="5"/>
  <c r="F58" i="5"/>
  <c r="E52" i="5"/>
  <c r="E54" i="5"/>
  <c r="E56" i="5"/>
  <c r="E58" i="5"/>
  <c r="E60" i="5" s="1"/>
  <c r="J58" i="5"/>
  <c r="C58" i="5"/>
  <c r="J56" i="5"/>
  <c r="C56" i="5"/>
  <c r="J54" i="5"/>
  <c r="C54" i="5"/>
  <c r="J52" i="5"/>
  <c r="C52" i="5"/>
  <c r="M18" i="5"/>
  <c r="M19" i="5"/>
  <c r="M51" i="5" s="1"/>
  <c r="M20" i="5"/>
  <c r="M26" i="5"/>
  <c r="M27" i="5"/>
  <c r="M28" i="5"/>
  <c r="M29" i="5"/>
  <c r="M30" i="5"/>
  <c r="M32" i="5"/>
  <c r="M33" i="5"/>
  <c r="M34" i="5"/>
  <c r="M35" i="5"/>
  <c r="M36" i="5"/>
  <c r="M38" i="5"/>
  <c r="M39" i="5"/>
  <c r="M40" i="5"/>
  <c r="L18" i="5"/>
  <c r="L19" i="5"/>
  <c r="L20" i="5"/>
  <c r="L26" i="5"/>
  <c r="L27" i="5"/>
  <c r="L28" i="5"/>
  <c r="L29" i="5"/>
  <c r="L30" i="5"/>
  <c r="L32" i="5"/>
  <c r="L33" i="5"/>
  <c r="L34" i="5"/>
  <c r="L35" i="5"/>
  <c r="L36" i="5"/>
  <c r="L38" i="5"/>
  <c r="L39" i="5"/>
  <c r="L40" i="5"/>
  <c r="L51" i="5"/>
  <c r="F18" i="5"/>
  <c r="F51" i="5" s="1"/>
  <c r="F19" i="5"/>
  <c r="F20" i="5"/>
  <c r="F21" i="5"/>
  <c r="D51" i="5" s="1"/>
  <c r="D10" i="4" s="1"/>
  <c r="F22" i="5"/>
  <c r="F23" i="5"/>
  <c r="F26" i="5"/>
  <c r="F27" i="5"/>
  <c r="F32" i="5"/>
  <c r="F38" i="5"/>
  <c r="F39" i="5"/>
  <c r="F40" i="5"/>
  <c r="F41" i="5"/>
  <c r="F42" i="5"/>
  <c r="F43" i="5"/>
  <c r="F44" i="5"/>
  <c r="F45" i="5"/>
  <c r="F46" i="5"/>
  <c r="F47" i="5"/>
  <c r="F48" i="5"/>
  <c r="F49" i="5"/>
  <c r="E18" i="5"/>
  <c r="E19" i="5"/>
  <c r="E20" i="5"/>
  <c r="E21" i="5"/>
  <c r="E22" i="5"/>
  <c r="E23" i="5"/>
  <c r="E26" i="5"/>
  <c r="E27" i="5"/>
  <c r="E32" i="5"/>
  <c r="E38" i="5"/>
  <c r="E39" i="5"/>
  <c r="E40" i="5"/>
  <c r="E41" i="5"/>
  <c r="E42" i="5"/>
  <c r="E43" i="5"/>
  <c r="E44" i="5"/>
  <c r="E45" i="5"/>
  <c r="E46" i="5"/>
  <c r="E47" i="5"/>
  <c r="E48" i="5"/>
  <c r="E49" i="5"/>
  <c r="E51" i="5"/>
  <c r="C49" i="5"/>
  <c r="C48" i="5"/>
  <c r="C47" i="5"/>
  <c r="C46" i="5"/>
  <c r="C45" i="5"/>
  <c r="C44" i="5"/>
  <c r="C43" i="5"/>
  <c r="C42" i="5"/>
  <c r="C41" i="5"/>
  <c r="J40" i="5"/>
  <c r="C40" i="5"/>
  <c r="J39" i="5"/>
  <c r="C39" i="5"/>
  <c r="J38" i="5"/>
  <c r="C38" i="5"/>
  <c r="J36" i="5"/>
  <c r="J35" i="5"/>
  <c r="J34" i="5"/>
  <c r="J33" i="5"/>
  <c r="J32" i="5"/>
  <c r="C32" i="5"/>
  <c r="J30" i="5"/>
  <c r="J29" i="5"/>
  <c r="J28" i="5"/>
  <c r="J27" i="5"/>
  <c r="C27" i="5"/>
  <c r="J26" i="5"/>
  <c r="C26" i="5"/>
  <c r="C23" i="5"/>
  <c r="C22" i="5"/>
  <c r="C21" i="5"/>
  <c r="J20" i="5"/>
  <c r="C20" i="5"/>
  <c r="J19" i="5"/>
  <c r="C19" i="5"/>
  <c r="J18" i="5"/>
  <c r="C18" i="5"/>
  <c r="M2" i="5"/>
  <c r="M3" i="5"/>
  <c r="M4" i="5"/>
  <c r="M5" i="5"/>
  <c r="M6" i="5"/>
  <c r="M7" i="5"/>
  <c r="M8" i="5"/>
  <c r="M9" i="5"/>
  <c r="M10" i="5"/>
  <c r="M11" i="5"/>
  <c r="M13" i="5"/>
  <c r="M14" i="5"/>
  <c r="L2" i="5"/>
  <c r="L3" i="5"/>
  <c r="L4" i="5"/>
  <c r="L5" i="5"/>
  <c r="L6" i="5"/>
  <c r="L7" i="5"/>
  <c r="L8" i="5"/>
  <c r="L9" i="5"/>
  <c r="L10" i="5"/>
  <c r="L11" i="5"/>
  <c r="L13" i="5"/>
  <c r="L14" i="5"/>
  <c r="L17" i="5"/>
  <c r="E2" i="5"/>
  <c r="F2" i="5"/>
  <c r="E3" i="5"/>
  <c r="F3" i="5"/>
  <c r="F4" i="5"/>
  <c r="F5" i="5"/>
  <c r="F13" i="5"/>
  <c r="F14" i="5"/>
  <c r="F15" i="5"/>
  <c r="E4" i="5"/>
  <c r="E5" i="5"/>
  <c r="D17" i="5" s="1"/>
  <c r="D7" i="4" s="1"/>
  <c r="E13" i="5"/>
  <c r="E14" i="5"/>
  <c r="E15" i="5"/>
  <c r="C15" i="5"/>
  <c r="J14" i="5"/>
  <c r="C14" i="5"/>
  <c r="J13" i="5"/>
  <c r="C13" i="5"/>
  <c r="J11" i="5"/>
  <c r="J10" i="5"/>
  <c r="J9" i="5"/>
  <c r="J8" i="5"/>
  <c r="J7" i="5"/>
  <c r="J6" i="5"/>
  <c r="J5" i="5"/>
  <c r="C5" i="5"/>
  <c r="J4" i="5"/>
  <c r="C4" i="5"/>
  <c r="J3" i="5"/>
  <c r="C3" i="5"/>
  <c r="J2" i="5"/>
  <c r="C2" i="5"/>
  <c r="AF28" i="4"/>
  <c r="X28" i="4"/>
  <c r="H28" i="4"/>
  <c r="V28" i="4"/>
  <c r="R28" i="4"/>
  <c r="F25" i="4"/>
  <c r="AB22" i="4"/>
  <c r="X22" i="4"/>
  <c r="L22" i="4"/>
  <c r="H22" i="4"/>
  <c r="D22" i="4"/>
  <c r="R22" i="4"/>
  <c r="AB19" i="4"/>
  <c r="T19" i="4"/>
  <c r="P19" i="4"/>
  <c r="L19" i="4"/>
  <c r="H19" i="4"/>
  <c r="Z19" i="4"/>
  <c r="J19" i="4"/>
  <c r="AB16" i="4"/>
  <c r="T16" i="4"/>
  <c r="P16" i="4"/>
  <c r="L16" i="4"/>
  <c r="AD16" i="4"/>
  <c r="L13" i="4"/>
  <c r="H13" i="4"/>
  <c r="AD13" i="4"/>
  <c r="Z13" i="4"/>
  <c r="F13" i="4"/>
  <c r="T10" i="4"/>
  <c r="P10" i="4"/>
  <c r="L10" i="4"/>
  <c r="AD10" i="4"/>
  <c r="Z10" i="4"/>
  <c r="R10" i="4"/>
  <c r="J10" i="4"/>
  <c r="X7" i="4"/>
  <c r="T7" i="4"/>
  <c r="P7" i="4"/>
  <c r="L7" i="4"/>
  <c r="F23" i="3"/>
  <c r="C23" i="3"/>
  <c r="E17" i="5" l="1"/>
  <c r="F17" i="5"/>
  <c r="B7" i="4" s="1"/>
  <c r="AH7" i="4" s="1"/>
  <c r="C25" i="3" s="1"/>
  <c r="B10" i="4"/>
  <c r="B22" i="4"/>
  <c r="F28" i="4"/>
  <c r="N19" i="4"/>
  <c r="R19" i="4"/>
  <c r="AH19" i="4" s="1"/>
  <c r="G25" i="3" s="1"/>
  <c r="Z28" i="4"/>
  <c r="AJ25" i="4"/>
  <c r="I27" i="3" s="1"/>
  <c r="AI16" i="4"/>
  <c r="E23" i="3" s="1"/>
  <c r="AI25" i="4"/>
  <c r="I23" i="3" s="1"/>
  <c r="B16" i="4"/>
  <c r="F19" i="4"/>
  <c r="Z16" i="4"/>
  <c r="AI28" i="4"/>
  <c r="J23" i="3" s="1"/>
  <c r="M17" i="5"/>
  <c r="B25" i="4"/>
  <c r="AH25" i="4" s="1"/>
  <c r="I25" i="3" s="1"/>
  <c r="F16" i="4"/>
  <c r="V7" i="4"/>
  <c r="V10" i="4"/>
  <c r="V16" i="4"/>
  <c r="AD28" i="4"/>
  <c r="AH28" i="4" s="1"/>
  <c r="J25" i="3" s="1"/>
  <c r="AI19" i="4"/>
  <c r="G23" i="3" s="1"/>
  <c r="AI22" i="4"/>
  <c r="H23" i="3" s="1"/>
  <c r="D48" i="6"/>
  <c r="H10" i="4" s="1"/>
  <c r="D118" i="7"/>
  <c r="L25" i="4" s="1"/>
  <c r="E38" i="8"/>
  <c r="N10" i="4" s="1"/>
  <c r="AH10" i="4" s="1"/>
  <c r="D25" i="3" s="1"/>
  <c r="D101" i="9"/>
  <c r="T22" i="4" s="1"/>
  <c r="AJ22" i="4" s="1"/>
  <c r="H27" i="3" s="1"/>
  <c r="D58" i="10"/>
  <c r="D71" i="10"/>
  <c r="D44" i="11"/>
  <c r="AB10" i="4" s="1"/>
  <c r="F60" i="5"/>
  <c r="B13" i="4" s="1"/>
  <c r="AH13" i="4" s="1"/>
  <c r="F25" i="3" s="1"/>
  <c r="D64" i="5"/>
  <c r="D16" i="4" s="1"/>
  <c r="D86" i="5"/>
  <c r="D25" i="4" s="1"/>
  <c r="D136" i="6"/>
  <c r="H25" i="4" s="1"/>
  <c r="D132" i="7"/>
  <c r="L28" i="4" s="1"/>
  <c r="D33" i="10"/>
  <c r="X10" i="4" s="1"/>
  <c r="AJ10" i="4" s="1"/>
  <c r="D27" i="3" s="1"/>
  <c r="F83" i="10"/>
  <c r="V22" i="4" s="1"/>
  <c r="AH22" i="4" s="1"/>
  <c r="H25" i="3" s="1"/>
  <c r="D146" i="11"/>
  <c r="AB28" i="4" s="1"/>
  <c r="D84" i="11"/>
  <c r="AB13" i="4" s="1"/>
  <c r="AJ13" i="4" s="1"/>
  <c r="F27" i="3" s="1"/>
  <c r="D59" i="12"/>
  <c r="X16" i="4" l="1"/>
  <c r="AJ16" i="4" s="1"/>
  <c r="E27" i="3" s="1"/>
  <c r="X19" i="4"/>
  <c r="AJ19" i="4" s="1"/>
  <c r="G27" i="3" s="1"/>
  <c r="AJ28" i="4"/>
  <c r="J27" i="3" s="1"/>
  <c r="AH16" i="4"/>
  <c r="E25" i="3" s="1"/>
</calcChain>
</file>

<file path=xl/sharedStrings.xml><?xml version="1.0" encoding="utf-8"?>
<sst xmlns="http://schemas.openxmlformats.org/spreadsheetml/2006/main" count="975" uniqueCount="653">
  <si>
    <t>Persona</t>
  </si>
  <si>
    <t>Project Sponsor</t>
  </si>
  <si>
    <t>Project Manager</t>
  </si>
  <si>
    <t>Business Analyst</t>
  </si>
  <si>
    <t>Architect</t>
  </si>
  <si>
    <t>Development Lead</t>
  </si>
  <si>
    <t>Quality Lead</t>
  </si>
  <si>
    <t>Security Lead</t>
  </si>
  <si>
    <t>System Engineer</t>
  </si>
  <si>
    <t>The Best Practice Checklist</t>
  </si>
  <si>
    <t>The Best Practice Checklist is designed to guide and provide high level monitoring for AEM implementations. Based on personas, each role has a tailored set of required documents and deliverables (or inputs into deliverables) for each phase and milestone of a project. The goal of the Best Practice Checklist is to ensure alignment with customer goals across all roles. It ensures accountability and transparency throughout the project with all major stakeholders.</t>
  </si>
  <si>
    <t>X</t>
  </si>
  <si>
    <t>Goals of the Best Practice Checklist</t>
  </si>
  <si>
    <t>Alignment with customer success definitions and goals</t>
  </si>
  <si>
    <t>Transparency into the project via input from all roles across all phases</t>
  </si>
  <si>
    <t>Guide the customer and project team to successful implementations</t>
  </si>
  <si>
    <t>How to use the Best Practice Checklist</t>
  </si>
  <si>
    <r>
      <t xml:space="preserve">Each role is responsible for maintaining the documents and deliverables for each phase. This is used to roll up into the </t>
    </r>
    <r>
      <rPr>
        <b/>
        <sz val="10"/>
        <rFont val="Arial"/>
      </rPr>
      <t>Project Heartbeat</t>
    </r>
    <r>
      <rPr>
        <sz val="10"/>
        <color rgb="FF000000"/>
        <rFont val="Arial"/>
      </rPr>
      <t xml:space="preserve"> that delivers a highlevel gauge of the project health, progress, and quality. </t>
    </r>
  </si>
  <si>
    <t>Definition of Columns</t>
  </si>
  <si>
    <t>Phase</t>
  </si>
  <si>
    <t>Sections of the project plan that contain set milestones.</t>
  </si>
  <si>
    <t>Milestone</t>
  </si>
  <si>
    <t>Defined points within phases of the project with defined delierables and outcomes expected at each.</t>
  </si>
  <si>
    <t>Required Documents</t>
  </si>
  <si>
    <t>Documents that are required by that role in order to produce the deliverables.</t>
  </si>
  <si>
    <t>Y/N</t>
  </si>
  <si>
    <t>Y for yes the document was recieved. N for no the document was not recieved. Only Y, N or empty are recognized values. All other values will not factor into the calculation.</t>
  </si>
  <si>
    <t>Quality 1-3</t>
  </si>
  <si>
    <t>A 1 to 3 scale to rank the quality of the recieved docuents with 1 being poor and 3 being excellent. Only numerical values are recognized. All other values will not be factored into the calculation.</t>
  </si>
  <si>
    <t>Deliverables</t>
  </si>
  <si>
    <t>Documents, outputs or contributions to documents that are defined at each milestone.</t>
  </si>
  <si>
    <t>Definitions of Calculations</t>
  </si>
  <si>
    <t>Completeness</t>
  </si>
  <si>
    <t>Percentage of the items filled in Y or N for the project against those that have been left empty.</t>
  </si>
  <si>
    <t>Phase Health</t>
  </si>
  <si>
    <t>A wieghed percentage of the items marked as Y or N based on the over importance to AEM projects in general that indicates the over health of a project.</t>
  </si>
  <si>
    <t>Quality</t>
  </si>
  <si>
    <t>An average of the quality grade (scale of 1-3) given to the item by the role utilizing it in the project.</t>
  </si>
  <si>
    <t>AEM Status by Role</t>
  </si>
  <si>
    <t>max</t>
  </si>
  <si>
    <t>current</t>
  </si>
  <si>
    <t>IWeight</t>
  </si>
  <si>
    <t>Quality
1-3</t>
  </si>
  <si>
    <t>AEM Project Heartbeat</t>
  </si>
  <si>
    <t>Solution Architect</t>
  </si>
  <si>
    <t>Averages</t>
  </si>
  <si>
    <t>Preparation</t>
  </si>
  <si>
    <t>Planning</t>
  </si>
  <si>
    <t>Development Planning</t>
  </si>
  <si>
    <t>Operations &amp; Operations Planning</t>
  </si>
  <si>
    <t>Development</t>
  </si>
  <si>
    <t>Performance &amp; Testing</t>
  </si>
  <si>
    <t>Rollout</t>
  </si>
  <si>
    <t>Go Live</t>
  </si>
  <si>
    <t>Phase Quality</t>
  </si>
  <si>
    <t>DWeight</t>
  </si>
  <si>
    <t>Quality Level</t>
  </si>
  <si>
    <t>Heartbeat</t>
  </si>
  <si>
    <t>Phase - Preparation</t>
  </si>
  <si>
    <t xml:space="preserve"> Sucess Indication </t>
  </si>
  <si>
    <t>Validation</t>
  </si>
  <si>
    <t>Phase Completeness</t>
  </si>
  <si>
    <t>NA</t>
  </si>
  <si>
    <t>Phase - Planning</t>
  </si>
  <si>
    <t xml:space="preserve"> Sucess Indication</t>
  </si>
  <si>
    <t>W</t>
  </si>
  <si>
    <t>Phase - Operations</t>
  </si>
  <si>
    <t>Budget</t>
  </si>
  <si>
    <t>Phase - Development Planning</t>
  </si>
  <si>
    <t>Phase - Development</t>
  </si>
  <si>
    <t>Handover</t>
  </si>
  <si>
    <t>Phase - Performance &amp; Testing</t>
  </si>
  <si>
    <t>Phase - Rollout</t>
  </si>
  <si>
    <t>Risk Assessment</t>
  </si>
  <si>
    <t>Phase - Go Live</t>
  </si>
  <si>
    <t>Communication</t>
  </si>
  <si>
    <t>Kick Off</t>
  </si>
  <si>
    <t>Permissions</t>
  </si>
  <si>
    <t>Monitoring &amp; Maintenance</t>
  </si>
  <si>
    <t>Migration</t>
  </si>
  <si>
    <t>Recovery Plan</t>
  </si>
  <si>
    <t>Development Preparation</t>
  </si>
  <si>
    <t>Support Setup</t>
  </si>
  <si>
    <t>(End-) user Acceptance Test</t>
  </si>
  <si>
    <t>Performance and Load-Test</t>
  </si>
  <si>
    <t>Development Team trained / Staffing</t>
  </si>
  <si>
    <t>Content Architecture</t>
  </si>
  <si>
    <t>Alignment on Content Architecture with KPIs</t>
  </si>
  <si>
    <t>Admins trained</t>
  </si>
  <si>
    <t>System Architecture</t>
  </si>
  <si>
    <t>Users trained</t>
  </si>
  <si>
    <t>Pen Test</t>
  </si>
  <si>
    <t>Application Architecture</t>
  </si>
  <si>
    <t>Go-Live</t>
  </si>
  <si>
    <t>Security</t>
  </si>
  <si>
    <t>Fallback</t>
  </si>
  <si>
    <t>Support</t>
  </si>
  <si>
    <t>Transition</t>
  </si>
  <si>
    <t>System Integration</t>
  </si>
  <si>
    <t>Test Concept</t>
  </si>
  <si>
    <t>Request for setting up project section in Adobe Support portal</t>
  </si>
  <si>
    <t>Monitoring and Maintenance</t>
  </si>
  <si>
    <t>Production System</t>
  </si>
  <si>
    <t>Integration</t>
  </si>
  <si>
    <t>Development Environment</t>
  </si>
  <si>
    <t>Duration and frequency estimate</t>
  </si>
  <si>
    <t>Test System</t>
  </si>
  <si>
    <t>Migration Plan</t>
  </si>
  <si>
    <t>Documentation</t>
  </si>
  <si>
    <t>Pen Test / Security Test</t>
  </si>
  <si>
    <t>Training</t>
  </si>
  <si>
    <t>Business Analyst understands scope of project and expectations</t>
  </si>
  <si>
    <t>Experience Design</t>
  </si>
  <si>
    <t>Development team understands scope of project and expectations</t>
  </si>
  <si>
    <t>Quality report format and cadence</t>
  </si>
  <si>
    <t>Issue tracking process</t>
  </si>
  <si>
    <t>Establish regular quality review sessions</t>
  </si>
  <si>
    <t>Requirements Documentation</t>
  </si>
  <si>
    <t>Release running on prod</t>
  </si>
  <si>
    <t>Test tooling suite selected</t>
  </si>
  <si>
    <t>Durability Test Results</t>
  </si>
  <si>
    <t>Roll Out</t>
  </si>
  <si>
    <t>Document required upgrades, hotfixes</t>
  </si>
  <si>
    <t>GLOSSARY</t>
  </si>
  <si>
    <t>Term</t>
  </si>
  <si>
    <t>Definition</t>
  </si>
  <si>
    <t>Adobe Docs Link</t>
  </si>
  <si>
    <t>A</t>
  </si>
  <si>
    <t>Acceptance test</t>
  </si>
  <si>
    <t>Acceptance testing is a test conducted to determine if the requirements of a specification or contract are met.</t>
  </si>
  <si>
    <t>Acceptance from Business Stakeholders</t>
  </si>
  <si>
    <t>Acceptance from Business Stakeholders ensures that business requirements meet the Business Case and required stakeholders are aligned with the solution and have granted approval.</t>
  </si>
  <si>
    <t>Access to test system coordinated</t>
  </si>
  <si>
    <t>All roles that require access are granted the required level of access to all systems.</t>
  </si>
  <si>
    <t>Adobe Security Checklist</t>
  </si>
  <si>
    <t>Official checklist provided by Adobe that contains the steps to perform to ensure that AEM is secure at installation.</t>
  </si>
  <si>
    <t>Adobe Support Portal project set up</t>
  </si>
  <si>
    <t>The Adobe Support Portal enables implementation partners and customers to set up the AEM implementation as a project in the Support Portal. This will enable transparency between the customer and Adobe as to the technologies and version implemented.</t>
  </si>
  <si>
    <t>Agreement on KPI's, defined as goals for the project</t>
  </si>
  <si>
    <t xml:space="preserve">KPIs assist an organization to define and measure progress toward organizational goals and objectives. Once an organization has analysed its mission and defined its goals, it needs to measure progress towards those goals. KPIs provide a measurement tool. </t>
  </si>
  <si>
    <t>Architecture Diagram</t>
  </si>
  <si>
    <t>Architecture diagram is a graphical representation of the concepts, their principles, elements and components that are part of an architecture.</t>
  </si>
  <si>
    <t>Architecture Draft</t>
  </si>
  <si>
    <t>The high level draft of the system and solution architecture.</t>
  </si>
  <si>
    <t>Architecture Review Board Sign Off</t>
  </si>
  <si>
    <t>The Architecture Review Board is a cross-organizational body to oversee the implementation of a coherent strategy and ensure compliance in systems. This body should be representative of all the key stakeholders in the architecture, and will typically comprise a group of executives responsible for the review and maintenance of the overall architecture.</t>
  </si>
  <si>
    <t xml:space="preserve">Align Business and Performance KPIs </t>
  </si>
  <si>
    <t>Business and Performance KPIs alignment helps the organization to pull everyone and every process within the organization together in order to spend the least amount of time and effort to achieve business goals and fullfil its purpose.</t>
  </si>
  <si>
    <t>Alignment of the customer roadmap with project timeline</t>
  </si>
  <si>
    <t>The customer roadmap is comprised of high level milestones and business goals. The project timeline must adhere and align with this over all strategy.</t>
  </si>
  <si>
    <t>AEM technical trainings</t>
  </si>
  <si>
    <t>Technical trainings for developers, architects, engineers and business practicioners.</t>
  </si>
  <si>
    <t>AEM Admin trainings</t>
  </si>
  <si>
    <t>Trainings for administrative staff for the solution.</t>
  </si>
  <si>
    <t>AEM Author trainings</t>
  </si>
  <si>
    <t>Trainings for the producers of content (authors) for the solution.</t>
  </si>
  <si>
    <t>AEM Certification Exam</t>
  </si>
  <si>
    <t>Cerification exams for developers, architects, engineers and business practicioners.</t>
  </si>
  <si>
    <t>AEM Certified</t>
  </si>
  <si>
    <t xml:space="preserve">Passing the certification exam. </t>
  </si>
  <si>
    <t>Application Architecture Definition</t>
  </si>
  <si>
    <t>Application architecture describes the behavior of applications used in a business, focused on how they interact with each other and with users. It is focused on the data consumed and produced by applications rather than their internal structure.</t>
  </si>
  <si>
    <t>Application specific maintenance tasks defined</t>
  </si>
  <si>
    <t>Apart from AEM standard maintenance tasks, this defines any other tasks that need to be executed for the operational maintenance of the solution.</t>
  </si>
  <si>
    <t>Appropriately trained staff</t>
  </si>
  <si>
    <t>For project teams the recommendation is to have at least one AEM Lead Developer Certified and one AEM Architect Certified and the development team comprised of 75% certified developers. This allows for mentorship among the certified developers to junior developers and ensures knowledge share an transparency.</t>
  </si>
  <si>
    <t>Automation Strategy</t>
  </si>
  <si>
    <t>The Automation Strategy outlines the deployment automation set up including cadence, tooling and environments. This ensures faster and consisent deployments.</t>
  </si>
  <si>
    <t>Automated Testing Strategy</t>
  </si>
  <si>
    <t>The automated test strategy defines a framework for reusable automated scripts and the approach planned by the QA. It outlines the overall plan for automation testing to help ensure a higher ROI, more test coverage, and increased test reliability with quality repetition.</t>
  </si>
  <si>
    <t>Automated test suite adapted to real content and results compared to KPIs</t>
  </si>
  <si>
    <t>Automation scripts and basic automated use cases adapted to production content and checked against the KPIs.</t>
  </si>
  <si>
    <t>Automated Testing Strategy validated against realistic and expected load</t>
  </si>
  <si>
    <t>The strategy must be validated and adjusted according the actual load and content that will be on the solution.</t>
  </si>
  <si>
    <t>Aware of communication plan</t>
  </si>
  <si>
    <t>The entire project team and stakeholders must be aware of the reporting structure, cadence of reporting and channels of communication.</t>
  </si>
  <si>
    <t>Aware of success definitions and criteria</t>
  </si>
  <si>
    <t>The entire project team and stakeholders must be aware of the success definitions and criteria.</t>
  </si>
  <si>
    <t>B</t>
  </si>
  <si>
    <t>Back up and Restore Concept</t>
  </si>
  <si>
    <t>The Back up and Restore Concept outlines the technical functionality that will be implemented in the solution and is required by the Company back up and restore policy.</t>
  </si>
  <si>
    <t>Back up and Restore tested</t>
  </si>
  <si>
    <t>A full end to end test of the Back up and Restore Concept.</t>
  </si>
  <si>
    <t>Business Case(s)</t>
  </si>
  <si>
    <t xml:space="preserve">A business case is an argument, usually documented, that is intended to convince a decision maker to approve some kind of action. A business case document should examine benefits and risks involved with both taking the action and, conversely, not taking the action. The conclusion should be a compelling argument for implementation. </t>
  </si>
  <si>
    <t>Business KPIs</t>
  </si>
  <si>
    <t>Business KPIs are measurable values that demonstrates how effectively a company is achieving key business objectives. Organizations use KPIs to evaluate their success at reaching targets.</t>
  </si>
  <si>
    <t>Business Requirements Documentation</t>
  </si>
  <si>
    <t xml:space="preserve">A business requirements documentation (BRD) details the business solution for a project including the documentation of customer needs and expectations. The BRD distinguishes between the business solution and the technical solution. When examining the business solution the BRD should answer the question, “What does the business want to do?” </t>
  </si>
  <si>
    <t>Business sign off on any required adjustments to the solution or architecture identified and aligned against ROI and KPI expectations</t>
  </si>
  <si>
    <t>The processes of the Risk Assessment and Penetration Test may produce issues and outcomes that need to be addressed in the architecture or development of the solution. Any adjustments coming out of these processes need to be reviewed and approved by the business and gauged against the over all goals.</t>
  </si>
  <si>
    <t>C</t>
  </si>
  <si>
    <t>Caching Strategy</t>
  </si>
  <si>
    <t>The Caching Startegy outlines what will be cached for the end user and is compliant with the Performance KPIs. Things such as images, javascript and other server files can be cached to improve the performance of a solution.</t>
  </si>
  <si>
    <t>Coding Guidelines</t>
  </si>
  <si>
    <t>The Coding Guidelines outline basic pricipals that the developers adhere to in the development of the solution. This can include but is not limited to; naming conventions, service usage, and library usage.</t>
  </si>
  <si>
    <t>Communicate Operations Manual</t>
  </si>
  <si>
    <t>Ensure that all required roles have received the Operationa Manual.</t>
  </si>
  <si>
    <t>Communicate Preformance Test Report</t>
  </si>
  <si>
    <t>Ensure that all required roles have received the Performance Test Report.</t>
  </si>
  <si>
    <t>Communicate Release Notes</t>
  </si>
  <si>
    <t>Ensure that all required roles have received the Release Notes.</t>
  </si>
  <si>
    <t>Communicate scope and expectations to team</t>
  </si>
  <si>
    <t>Enusre that the project team is fully aware of and aligned with the project scope and expectations for delivery.</t>
  </si>
  <si>
    <t>Communicate training materials and user guides</t>
  </si>
  <si>
    <t>Ensure that all required roles receive training materials and user guides.</t>
  </si>
  <si>
    <t>Customer Backup and restore policy</t>
  </si>
  <si>
    <t>Policies from the business around data and solution back up, storage and restoration in case of failure.</t>
  </si>
  <si>
    <t xml:space="preserve">Customer Coding Guidelines </t>
  </si>
  <si>
    <t>Any requirements from the business on how development should be done.</t>
  </si>
  <si>
    <t>Customer Monitoring Policies or Requirements</t>
  </si>
  <si>
    <t>Policies and requirements from the business around what needs to be monitored in addition to any reccommendations in the Monitoring Concept.</t>
  </si>
  <si>
    <t xml:space="preserve">Customer Deployment/Release policies </t>
  </si>
  <si>
    <t>Policies from the business around how and when deployments/releases can be made. This often includes timelines, scheduling and sign-off requirements.</t>
  </si>
  <si>
    <t>Customer Production Release Schedule</t>
  </si>
  <si>
    <t>The schedule that is defined by the customer business or IT for releases to productive environments.</t>
  </si>
  <si>
    <t>Customer Reporting Policies or Requirements</t>
  </si>
  <si>
    <t>Policies or requirements for reporting. This can include cadence and format.</t>
  </si>
  <si>
    <t>Customer Security Policies</t>
  </si>
  <si>
    <t>Policies provided by the business and IT for security of the solution. This can include requirements for passing a riak assessment and penetration test as well security requirements such as escaping of all input fields, encryption usage (SSL), certificates, and authentication and sessioning.</t>
  </si>
  <si>
    <t>Customer Specification Guidelines</t>
  </si>
  <si>
    <t>Any guidelines on the format, sign-off and delivery of specifications.</t>
  </si>
  <si>
    <t>Compliance to Security Concept</t>
  </si>
  <si>
    <t>Ensure that Security Concept is in place.</t>
  </si>
  <si>
    <t>Compliance to Customer Security Requirements</t>
  </si>
  <si>
    <t>Ensure that all Customer security based requirements are in place.</t>
  </si>
  <si>
    <t>Components and templates realtionship concept</t>
  </si>
  <si>
    <t>The outline of the templates and components that will be used including inheritance rules, permissions and relationships.</t>
  </si>
  <si>
    <t>Components and Templates relationship Specification</t>
  </si>
  <si>
    <t>Details of the Components and templates relationship concept.</t>
  </si>
  <si>
    <t>Components Specification</t>
  </si>
  <si>
    <t>Details of each of the components to be implemented.</t>
  </si>
  <si>
    <t>Content Architecture Document</t>
  </si>
  <si>
    <t>Documentation of the future architecture of the content including content tree, tagging concepts and content reuse strategy.</t>
  </si>
  <si>
    <t>Content validated for migration</t>
  </si>
  <si>
    <t>The legacy system content is reviewed and the seleected content is validated for migration to the new solution.</t>
  </si>
  <si>
    <t>Contract Draft</t>
  </si>
  <si>
    <t>Initial draft of the contract.</t>
  </si>
  <si>
    <t>Current Content Structure and Format</t>
  </si>
  <si>
    <t>Documentation of the current content architecture and the format. This will be used to generate the future Content Architecture and will go into the Migration Concept.</t>
  </si>
  <si>
    <t>Customer Roadmap</t>
  </si>
  <si>
    <t>Roadmap of major technological and major business milestones to be implemented.</t>
  </si>
  <si>
    <t>Customer Test Reports</t>
  </si>
  <si>
    <t>Reports from the customer to the Quality Lead during the UAT period.</t>
  </si>
  <si>
    <t>Customizations that affect upgrades documented and hotfixes documented</t>
  </si>
  <si>
    <t>AEM can be heavily customized to suit business need. Any customizations that may impact upgrading must be fully documented. An example would be major changes to the UI of AEM. All required cumulative fix pack (CFP), Service Packs, Upgrades, Hotfixes required for the solution must be fully documented.</t>
  </si>
  <si>
    <t>D</t>
  </si>
  <si>
    <t xml:space="preserve">Daily UAT Report </t>
  </si>
  <si>
    <t>Reports or meetings that outline the issues reported in UAT and prioritization of the issues.</t>
  </si>
  <si>
    <t>Default security enabled</t>
  </si>
  <si>
    <t>AEM default security settings enabled.</t>
  </si>
  <si>
    <t>Deployment cadence establiished</t>
  </si>
  <si>
    <t>The frequency of deployments established across environments.</t>
  </si>
  <si>
    <t>Deployment / Release Policies and Processes</t>
  </si>
  <si>
    <t>Formalized and combined project deployment/release policies. These can include time for releases, holiday planning, and frequency and can depend on environment.</t>
  </si>
  <si>
    <t>Development Role Definition</t>
  </si>
  <si>
    <t>Which developer and role is executing IT (performance or other) and/or Unit Tests with in the solution.</t>
  </si>
  <si>
    <t>Development Methodology</t>
  </si>
  <si>
    <t>Software development methodology is a splitting of software development work into distinct phases (or stages) containing activities with the intent of better planning and management. It is often considered a subset of the systems development life cycle. The methodology may include the pre-definition of specific deliverables and artifacts that are created and completed by a project team to develop or maintain an application.</t>
  </si>
  <si>
    <t>Devolpment environment ready</t>
  </si>
  <si>
    <t>Development environment is set with integrated tooling for automation of deployments.</t>
  </si>
  <si>
    <t>Dialogs Specification</t>
  </si>
  <si>
    <t>Details for the dialogs of the solution.</t>
  </si>
  <si>
    <t>Document development environment set up</t>
  </si>
  <si>
    <t>Documentation of the development environment.</t>
  </si>
  <si>
    <t>Document Production environment set up</t>
  </si>
  <si>
    <t>Documentation of the production environment.</t>
  </si>
  <si>
    <t>Document test environment set up</t>
  </si>
  <si>
    <t>Documentation of the test environment.</t>
  </si>
  <si>
    <t xml:space="preserve">Durabilty Test </t>
  </si>
  <si>
    <t>The Durability Test shows the performance of the solution under the desired load. It then tests under the defined hreashold of load, gauging how long the solution survives under threshold load and at what performance levels.</t>
  </si>
  <si>
    <t>Durabilty Test Executed</t>
  </si>
  <si>
    <t>Execution of the Durability Test.</t>
  </si>
  <si>
    <t>E</t>
  </si>
  <si>
    <t>Error Handling Concept</t>
  </si>
  <si>
    <t>Error handling refers to the anticipation, detection, and resolution of programming, application, and communications errors.</t>
  </si>
  <si>
    <t>Error Handling Documentation</t>
  </si>
  <si>
    <t>Documentation of the Error Handling Concept.</t>
  </si>
  <si>
    <t>Escalation Processes</t>
  </si>
  <si>
    <t>Defined processes of excalation for each of the project levels: project team, customer and Adobe.</t>
  </si>
  <si>
    <t>Exisitng Permissions structure</t>
  </si>
  <si>
    <t>Documentation of the existing set of permissions and groups defined for the legacy solution or organizationally.</t>
  </si>
  <si>
    <t xml:space="preserve">Expected success definitions and cirteria </t>
  </si>
  <si>
    <t>The Project Sponsor collects the business expectations for the success of the project. These can be anything from specifica KPIs such as percentage more pages served, lower time to publish for content or more high level goals such as easy to use interface. It is important to have the full set of expectations available at the start of a project as these should influence all decisions made throughout the implementation.</t>
  </si>
  <si>
    <t>Experience Designs Requirements</t>
  </si>
  <si>
    <t>Requirements for the entire experience of the solution. This can mean personalization, cross device persistence and user experience.</t>
  </si>
  <si>
    <t>Experience Specifications</t>
  </si>
  <si>
    <t>Details of the Experience Design Requirements.</t>
  </si>
  <si>
    <t>External System &amp; User dependencies / System Context</t>
  </si>
  <si>
    <t>A diagram or outline of the full ecosystem of the solution including the external integrations, interfaces, dependencies and networks.</t>
  </si>
  <si>
    <t>Existing Systems Map</t>
  </si>
  <si>
    <t>A diagram of the exisitng systems and dependencies.</t>
  </si>
  <si>
    <t>F</t>
  </si>
  <si>
    <t>Fallback system and procedure tested</t>
  </si>
  <si>
    <t>End to end test of the fallback system</t>
  </si>
  <si>
    <t>Fallback system and procedure</t>
  </si>
  <si>
    <t xml:space="preserve">The definition of the business critical functionalities that must keep operating in case of a critical failure and processes to roll over to them. </t>
  </si>
  <si>
    <t>Fallback system sign off from business stakeholders</t>
  </si>
  <si>
    <t>Sign off that the fallback system and procedures will ensure the critical business functionalities.</t>
  </si>
  <si>
    <t>Feasability confirmation on KPI's</t>
  </si>
  <si>
    <t>A study of AEM and the high level solution design against the KPIs to ensure that the KPIs can be met.</t>
  </si>
  <si>
    <t>Finalized Contract</t>
  </si>
  <si>
    <t>Finalized and signed contract.</t>
  </si>
  <si>
    <t>Functionality of the solution are accepted by stakeholders</t>
  </si>
  <si>
    <t>Full acceptance of the functionality and known issues in the solution.</t>
  </si>
  <si>
    <t>G</t>
  </si>
  <si>
    <t>Go live Schedule</t>
  </si>
  <si>
    <t>Timeline and schedule for the activites in preparation for go live and the actual go live.</t>
  </si>
  <si>
    <t>H</t>
  </si>
  <si>
    <t>Happy Paths defined</t>
  </si>
  <si>
    <t>A happy path is a default scenario featuring no exceptional or error conditions, and comprises the sequence of activities executed if everything goes as expected.</t>
  </si>
  <si>
    <t>Hardware Estimates</t>
  </si>
  <si>
    <t>Estimations of the needed hardware for basic AEM installation and any additional requirements based on the high level solution design.</t>
  </si>
  <si>
    <t>Hardware will be available to fullfil requirements</t>
  </si>
  <si>
    <t>All environments will have the minimum required hardware in place for development.</t>
  </si>
  <si>
    <t>High Level Requirements</t>
  </si>
  <si>
    <t>The high level requirements are the most generalized breakdown of requirements of the system. This level corresponds to major system functions or business processes. These functions are usually known and so this is generally not an estimate, but a known quantity.</t>
  </si>
  <si>
    <t>High Level Solution Design</t>
  </si>
  <si>
    <t>High-level solution design explains the architecture that would be used for developing the solution. The architecture diagram provides an overview of an entire system, identifying the main components that would be developed for the product and their interfaces.</t>
  </si>
  <si>
    <t>High Level System Map</t>
  </si>
  <si>
    <t>A very high level diagram of the system. This differs from the Solution Context in that there are no interfaces on this diagram but will have the general map of all systems involved.</t>
  </si>
  <si>
    <t>Historical Content Structure</t>
  </si>
  <si>
    <t>The legacy system content structure for reference and use in the migration strategy.</t>
  </si>
  <si>
    <t xml:space="preserve">Historical performance and historical performance KPIs </t>
  </si>
  <si>
    <t>The legacy system performance and KPIs. This are used for benchmarking the new solution and as reference.</t>
  </si>
  <si>
    <t>I</t>
  </si>
  <si>
    <t>Identify critical key solutions/functionalities</t>
  </si>
  <si>
    <t>A known list of the business critical functionalities.</t>
  </si>
  <si>
    <t>Inform Adobe Support about the Go live Schedule</t>
  </si>
  <si>
    <t>Communicate with Adobe Support to ensure any support that is needed can be enabled during the go live.</t>
  </si>
  <si>
    <t>Implementation Concept</t>
  </si>
  <si>
    <t>The Implementation Concept is the over all set of guiding principles for the implemenation and should take into consideration operations, maintenance, compatability, reusability, security and scalability. This can also outine the frameworks, libraries and other artifacts that are used in the solution.</t>
  </si>
  <si>
    <t>Implementation - Any needed changes based on Penetration Test Results</t>
  </si>
  <si>
    <t>Implementation of required and signed off changes to the solution based on the results of the penetration test.</t>
  </si>
  <si>
    <t>Implementation - Automation Strategy</t>
  </si>
  <si>
    <t>Set up of the tooling set and processes to support automation.</t>
  </si>
  <si>
    <t>implementation - Automated Testing Strategy</t>
  </si>
  <si>
    <t>Set up of the tooling and processes to support automated testing.</t>
  </si>
  <si>
    <t>Implementation - Content Architecture</t>
  </si>
  <si>
    <t>Implementation of the content architecture, tagging concepts and reuse.</t>
  </si>
  <si>
    <t>Implementation - Experience Design</t>
  </si>
  <si>
    <t>Implementation of the requirements to support the Experience Design.</t>
  </si>
  <si>
    <t>Implementation - Fallback system and procedure</t>
  </si>
  <si>
    <t>Implementation fo the fallback system and procedure.</t>
  </si>
  <si>
    <t>Implementation - Integration</t>
  </si>
  <si>
    <t>Implementation of integrations with any external systems.</t>
  </si>
  <si>
    <t>Implementation - Migration Strategy</t>
  </si>
  <si>
    <t>Migration and validation of content and other artefacts to the new solution.</t>
  </si>
  <si>
    <t>Implementation - Roles and Rights</t>
  </si>
  <si>
    <t>Implementation of roles and rights, users and groups.</t>
  </si>
  <si>
    <t>Implementation - Security Concept</t>
  </si>
  <si>
    <t>Implemantation of all security measures including default.</t>
  </si>
  <si>
    <t>Implementation - Security Software</t>
  </si>
  <si>
    <t>Implementation of software application security.</t>
  </si>
  <si>
    <t>Implementation - System Architecture Security Concept</t>
  </si>
  <si>
    <t>Implementation of the system security.</t>
  </si>
  <si>
    <t>Implementation - URL Handling</t>
  </si>
  <si>
    <t>Implementation of the URL handling concept.</t>
  </si>
  <si>
    <t>Implementation - Workflows</t>
  </si>
  <si>
    <t>Implementation of the designed workflows.</t>
  </si>
  <si>
    <t>Initial Experience Designs</t>
  </si>
  <si>
    <t>Preliminary concepts for the Experience Designs.</t>
  </si>
  <si>
    <t>Integration Testing</t>
  </si>
  <si>
    <t>Testing and confirmation of all integrations internal and external. This should be automated and run frequently to ensure system stability.</t>
  </si>
  <si>
    <t>Issue tracking system and processes</t>
  </si>
  <si>
    <t>A shared system of record that all project stakeholders have access to in order to facilitate transparency of the project status and that any issues are addressed. Examples are JIRA and HP Quality Center.</t>
  </si>
  <si>
    <t>Issue tracking system process is set up and integrated</t>
  </si>
  <si>
    <t>What ever tooling is selected is fully integrated and access granted to all required roles.</t>
  </si>
  <si>
    <t>J</t>
  </si>
  <si>
    <t>K</t>
  </si>
  <si>
    <t>L</t>
  </si>
  <si>
    <t>Legacy System</t>
  </si>
  <si>
    <t xml:space="preserve">Legacy system is an old method, technology, computer system, or application program, "of, relating to, or being a previous or outdated computer system." </t>
  </si>
  <si>
    <t>List of standard development tools to be used in the project</t>
  </si>
  <si>
    <t>An outline of what will be used in the implementation. This should include documentation tools, issue tracking, deployment and build tools.</t>
  </si>
  <si>
    <t>List of users that require access to Adobe Support Portal</t>
  </si>
  <si>
    <t>All required users and roles that will need access to the Support Portal. This is normally the Solution Architect or customer IT staff.</t>
  </si>
  <si>
    <t>Log File Analysis</t>
  </si>
  <si>
    <t>An analysis and recommendation for the level of granualarity required for the monitoring of the solution.</t>
  </si>
  <si>
    <t>M</t>
  </si>
  <si>
    <t>Maintenance tasks specific to AEM tested and enabled</t>
  </si>
  <si>
    <t>Tasks such as compaction, system clean and workflow purging are tested and enabled.</t>
  </si>
  <si>
    <t>Migration Strategy</t>
  </si>
  <si>
    <t>A full outline of the existing content, content architecture and formats mapped to the new solution. It contains technical details of automated migration if possible and migration smoke tests to perform after to validate the migrated content. It will also recommend a a manner of maintaining the content as up to date as possible during migration but before go live of the new system. This can mean a content freeze, double poublishing, or the maintenance of an alpha.</t>
  </si>
  <si>
    <t>Timeline for the migration. Content maintenance plan out lined in the strategy implemented.</t>
  </si>
  <si>
    <t>Mocking Concept of external Interfaces</t>
  </si>
  <si>
    <t>A concept to test and develop against any external interfaces that may not be open to the development or test environments to ensure as close to production like behavior as possible.</t>
  </si>
  <si>
    <t>Monitoring - CPU</t>
  </si>
  <si>
    <t>Monitoring of the usage of the system CPU by the solution.</t>
  </si>
  <si>
    <t>Monitoring - Disk I/O</t>
  </si>
  <si>
    <t>Monitoring of the usage of the system Disk I/O by the solution.</t>
  </si>
  <si>
    <t>Monitoring - Disk space</t>
  </si>
  <si>
    <t>Monitoring of the usage of the system Disk Space by the solution repository.</t>
  </si>
  <si>
    <t>Monitoring - External system</t>
  </si>
  <si>
    <t>Monitoring of the external systems connections.</t>
  </si>
  <si>
    <t>Monitoring - Network Bandwith</t>
  </si>
  <si>
    <t>Monitoring of the usage of the system network bandwidth.</t>
  </si>
  <si>
    <t>Monitoring - Requests</t>
  </si>
  <si>
    <t>Monitoring of requests to the solution.</t>
  </si>
  <si>
    <t>Monitoring - Security Points</t>
  </si>
  <si>
    <t>Monitoring at the defined security points.</t>
  </si>
  <si>
    <t>Monitoring - System</t>
  </si>
  <si>
    <t>Monitoring of the overall system and alerts.</t>
  </si>
  <si>
    <t>Monitoring - Threshold and interventation</t>
  </si>
  <si>
    <t>Monitoring of the solutions defined threshold and implementation of intervention steps to reduce load.</t>
  </si>
  <si>
    <t>Monitoring Concept</t>
  </si>
  <si>
    <t>The over concept of monitoring incorporating AEM basic monitoring, system monitoring and customer requirements.</t>
  </si>
  <si>
    <t>Monitoring Policy communicated to System Engineer</t>
  </si>
  <si>
    <t>The system engineers and operations staff must know and understand any customer monitoring policies.</t>
  </si>
  <si>
    <t>Monitoring Points in the application defined</t>
  </si>
  <si>
    <t>Specific points that could be succeptable to failure defined and monitoring defined. Examples include, key workflows, transactions processing and integration points.</t>
  </si>
  <si>
    <t>Monitoring Reports structure in place</t>
  </si>
  <si>
    <t>Structure of who and when monitoring reports should be generated and delivered to.</t>
  </si>
  <si>
    <t>N</t>
  </si>
  <si>
    <t>O</t>
  </si>
  <si>
    <t>Operations Manual</t>
  </si>
  <si>
    <t>Overall operational tasks, key contacts, deployment plans, pre-post deployment checklists and any other critical tasks for the operations and maintenance of the solution.</t>
  </si>
  <si>
    <t>Operational tasks documentation</t>
  </si>
  <si>
    <t>All operational tasks documented and frequency defined.</t>
  </si>
  <si>
    <t>P</t>
  </si>
  <si>
    <t>Package Prepared</t>
  </si>
  <si>
    <t>Software package built and delivered for deployment.</t>
  </si>
  <si>
    <t>Performance Benchmark</t>
  </si>
  <si>
    <t>The Performance Benchmark assesses the performance characteristics of the solution and system hardware. This is used to define performance testing, durability testing and monitoring.</t>
  </si>
  <si>
    <t>Performance KPIs</t>
  </si>
  <si>
    <t>KPIs required around the performance of the system. Some examples are page load time, server response time, and database query performance.</t>
  </si>
  <si>
    <t>Performance and scalability concept</t>
  </si>
  <si>
    <t>Conceptual document for implementation to meet the perfornance KPIS as well as how to scale the solution to continue to meet those KPIs.</t>
  </si>
  <si>
    <t>Performance Test Report</t>
  </si>
  <si>
    <t>Reports created for the business explaining the performance test results.</t>
  </si>
  <si>
    <t>Performance Test Results match Performance KPIs</t>
  </si>
  <si>
    <t>The results must match the defined KPIs and expectations for performance.</t>
  </si>
  <si>
    <t>Penetration Test</t>
  </si>
  <si>
    <t>A penetration test, informally pen test, is an attack on a computer system that looks for security weaknesses, potentially gaining access to the computer's features and data.</t>
  </si>
  <si>
    <t>Penetration Test Results</t>
  </si>
  <si>
    <t>Reports created for the business explaining the penetration test results.</t>
  </si>
  <si>
    <t>Penetration Test passed</t>
  </si>
  <si>
    <t>All required criteria are passed.</t>
  </si>
  <si>
    <t>Persona based Testing Concept</t>
  </si>
  <si>
    <t>A method of testing based on the different personas outlined in the Experience Designs as well as for authors and permissions levels. This is often used in UAT.</t>
  </si>
  <si>
    <t>Post-Deployment Checklist</t>
  </si>
  <si>
    <t>Series of checks and tasks to perform after each deployment.</t>
  </si>
  <si>
    <t>Pre-Deployment Checklist</t>
  </si>
  <si>
    <t>Series of checks and tasks to perform before each deployment.</t>
  </si>
  <si>
    <t>Production environment ready</t>
  </si>
  <si>
    <t>Test environment is ready with automated deployments in place.</t>
  </si>
  <si>
    <t xml:space="preserve">Production environment baseline performance tests </t>
  </si>
  <si>
    <t>A baseline test is usually run on a plain installation of AEM. This is used to benchmark against the implementation and hardware.</t>
  </si>
  <si>
    <t>Production Sign off Process and Policy</t>
  </si>
  <si>
    <t>Policy and process of how to obtain the Production Sign off to move the package to the production environment.</t>
  </si>
  <si>
    <t>Production Sign off from business stakeholders</t>
  </si>
  <si>
    <t>Before going to the production environment, Production Sign off (PSO) is granted. This is a review of the current release and known issues that will go into production. Sign off is given as part of the go live schedule.</t>
  </si>
  <si>
    <t>Project communication plan</t>
  </si>
  <si>
    <t>Communication plan for both businesss stakeholders and project team.</t>
  </si>
  <si>
    <t>Project efforts initial estimates</t>
  </si>
  <si>
    <t>High level estimations of the high level requirements for the implementation.</t>
  </si>
  <si>
    <t>Project efforts final estimates</t>
  </si>
  <si>
    <t>Final estimates from each project lead for the detailed implementation. This will include project manangement, consulting, architecture, and testing efforts as well as development.</t>
  </si>
  <si>
    <t>Project Ogranization</t>
  </si>
  <si>
    <t>A chart outlining the organization and reporting structure of the project and team.</t>
  </si>
  <si>
    <t>Project Scope Document</t>
  </si>
  <si>
    <t>Project scope is the part of project planning that involves determining and documenting a list of specific project goals, deliverables, features, functions, tasks, deadlines, and efforts. It is what needs to be achieved and the work that must be done to deliver a project</t>
  </si>
  <si>
    <t>Proof of Concept (POC)</t>
  </si>
  <si>
    <t>The POC is a realization of a certain functions of the solution to demonstrate its feasibility and verify that there is the potential of being used.</t>
  </si>
  <si>
    <t>POC tested and verified against Requirement Documentation</t>
  </si>
  <si>
    <t>The POC is used to gauge against the requirements to ensure that both are aligned.</t>
  </si>
  <si>
    <t>Project status reports within a defined cadence</t>
  </si>
  <si>
    <t>Status reports delivered in the agreed time and format.</t>
  </si>
  <si>
    <t>Purge Rules</t>
  </si>
  <si>
    <t>AEM maintains versions of assets and content. Purge Rules are designed and configured to periodically purge the system of older versions in order to maintain repository health and size.</t>
  </si>
  <si>
    <t>Q</t>
  </si>
  <si>
    <t>R</t>
  </si>
  <si>
    <t>Release running on production environment</t>
  </si>
  <si>
    <t>Final release running in production and active.</t>
  </si>
  <si>
    <t>Release Notes</t>
  </si>
  <si>
    <t>The documentation for the release that includes all prerequisites for, requirements included, issues solved and known issues in the release. It is used with the Runbook to execute pre and post installation steps and checks.</t>
  </si>
  <si>
    <t>Release Coordinated</t>
  </si>
  <si>
    <t>The project manager coordinates all roles required for the release to production.</t>
  </si>
  <si>
    <t>Relevant contract terms</t>
  </si>
  <si>
    <t>Contract terms that are relevant to the implementation of the project such as contractual milestones, invoice periods or staff requirements.</t>
  </si>
  <si>
    <t>Reporting Cadence</t>
  </si>
  <si>
    <t>The frequency of reports delivered to the customer.</t>
  </si>
  <si>
    <t>Respository Optimization</t>
  </si>
  <si>
    <t>Data is never overwritten in a tar file, the disk usage increases even when only updating existing data. To make up for the growing size of the repository, an optimization strategy is put in place to manage the growth of the repository by removing obsolete data.</t>
  </si>
  <si>
    <t>Functional and non-functional requirements documented and efforts estimated.</t>
  </si>
  <si>
    <t>Resources available to support go live</t>
  </si>
  <si>
    <t>All required roles for go live are staffed and available.</t>
  </si>
  <si>
    <t>The Risk Assesment is executed by the customer IT or Security department. It covers the technical and business risks of the project. The assesment is normally a hurdle to overcome for the solution to ensure compliance to security policies.</t>
  </si>
  <si>
    <t>Risk Mitigation Plan</t>
  </si>
  <si>
    <t>The Risk Mitigation Plan includes the Risk Assessment, any identified risks and possible solutions to those risks should they arise in the implementation.</t>
  </si>
  <si>
    <t>ROI expectations</t>
  </si>
  <si>
    <t>Expectations of the return of investment on the solution.</t>
  </si>
  <si>
    <t>Roles and Rights Concept</t>
  </si>
  <si>
    <t>High level outline of users, roles, permissions and groups as well as user management and provisioning.</t>
  </si>
  <si>
    <t>Roles and Rights Specification</t>
  </si>
  <si>
    <t>Detailed specification of the Roles and Rights Concept</t>
  </si>
  <si>
    <t>Roles and Rights Concept meets security guidelines</t>
  </si>
  <si>
    <t xml:space="preserve">Review of the Roles and Rights concept to ensure that it meets the security policies. </t>
  </si>
  <si>
    <t>S</t>
  </si>
  <si>
    <t>Security Architecture Recommendations</t>
  </si>
  <si>
    <t>Recommendations around security for software and hardware architecture.</t>
  </si>
  <si>
    <t>Security Based Coding Guidelines</t>
  </si>
  <si>
    <t>Any guidelines of how the development coding should be done based on security requirements such as naming conventions, libraries or guidelines for frameworks or API usage.</t>
  </si>
  <si>
    <t xml:space="preserve">Security Checklist </t>
  </si>
  <si>
    <t>Checklist of items based off of the concept and any policies to ensure compliance of the solution. This is often included as part of the post deployment steps in the runbook as well.</t>
  </si>
  <si>
    <t>Security Concept</t>
  </si>
  <si>
    <t>Details of the security set up of the application, architecture and infrastructure.</t>
  </si>
  <si>
    <t>Security Concept Draft</t>
  </si>
  <si>
    <t>The high level outline of the security set up of the application, architecture and infrastructure.</t>
  </si>
  <si>
    <t xml:space="preserve">Security issues listed and assesed </t>
  </si>
  <si>
    <t>All security issues of the solution listed and assesed including effort estimates.</t>
  </si>
  <si>
    <t>Security sign off from business stakeholders</t>
  </si>
  <si>
    <t>Sign off from the stakeholders to ensure that the security implementation is compliant with policies and expectations.</t>
  </si>
  <si>
    <t>Setup Support processes</t>
  </si>
  <si>
    <t>Support processes and communication paths set up to all partners, the customer and Adobe.</t>
  </si>
  <si>
    <t>SLAs for third party systems</t>
  </si>
  <si>
    <t>Service Level Agreements are available and communicated to the development and operations team for implementation and support.</t>
  </si>
  <si>
    <t>Smoke Test Concept</t>
  </si>
  <si>
    <t>A set of defined steps to execute after installation or deployment to any environment that test the key functionalities of the solution to ensure basic operations and functionality of the solution.</t>
  </si>
  <si>
    <t>Smoke Tests executed for system validation</t>
  </si>
  <si>
    <t>Smoke Tests run on all systems to ensure basic functionality of the solution on installation or deployment to any environment.</t>
  </si>
  <si>
    <t>Solution Review Board established and meeting cadence set</t>
  </si>
  <si>
    <t>The Solution Review Board is usually comprised of customer stake holders. The meetings are used to review the current scopedd requirements and relevant specifications to ensure alignment with the success definition and criteria and provide input into the development of the requirements.</t>
  </si>
  <si>
    <t>Solution Runbook</t>
  </si>
  <si>
    <t>The installation instructions for the solution and basic operational tasks to be executed on installation.</t>
  </si>
  <si>
    <t>Solution sign off and accpetance process</t>
  </si>
  <si>
    <t>The sign off and acceptance process outlines the gateway criteria for the release of the solution into a productive environment.  It can also serve as a contractual milestone.</t>
  </si>
  <si>
    <t>Software Architecture Startegy</t>
  </si>
  <si>
    <t>The high level strategy of the software architecture including services, servlets, frameworks and other implementation decisions.</t>
  </si>
  <si>
    <t>Special functionality concept</t>
  </si>
  <si>
    <t>The initial concept for any special functionality that is considered outside the normal scope of development on the AEM platform.</t>
  </si>
  <si>
    <t>Special Functionality Specification</t>
  </si>
  <si>
    <t>Details of any special functionality that is considered outside the normal scope of development on the AEM platform.</t>
  </si>
  <si>
    <t xml:space="preserve">Specification Guidelines </t>
  </si>
  <si>
    <t>Any guidelines from the customer on how specification should be done apart from the project guidelines.</t>
  </si>
  <si>
    <t>Specification review and approval process defined and communicated</t>
  </si>
  <si>
    <t>A clear process for sign off of specifications with the customer will be put in place. This ensures clarity and firmness of scope for requirements.</t>
  </si>
  <si>
    <t>Staff selected for AEM Admin Training</t>
  </si>
  <si>
    <t>Internal staff that will need the first round of training to administer the solution.</t>
  </si>
  <si>
    <t>Staff selected for author &amp; end user training</t>
  </si>
  <si>
    <t>Internal staff that will need the first round of training on the solution.</t>
  </si>
  <si>
    <t>Stakeholders</t>
  </si>
  <si>
    <t>Key persons and roles internal and external that have interest in the project.</t>
  </si>
  <si>
    <t>Stakeholders are aware of succes definitions and criteria</t>
  </si>
  <si>
    <t>All stakeholders outside of the implementation team are in alignment with the success definition and criteria.</t>
  </si>
  <si>
    <t>Stakeholders understand project and expectations</t>
  </si>
  <si>
    <t>All stakeholders outside of the implementation team are in alignment with the overall project and expectations, both internal to the project team and to the customer.</t>
  </si>
  <si>
    <t>Status Report format definition</t>
  </si>
  <si>
    <t>Status reports are key tools of communication. The format should be aligned with any reporting requirements of the customer.</t>
  </si>
  <si>
    <t>Success criteria and definition</t>
  </si>
  <si>
    <t>The customer, project sponsor and project manager or consultant should outline what the a successful outcome of the project is and what the specific criteria are to meet that definition of success are. These are used for the basis of KPIs and decisions made throughout the implementation to ensure that the criteria for success are met.</t>
  </si>
  <si>
    <t>Support processes and access to Adobe Support Portal</t>
  </si>
  <si>
    <t>Access to the Adobe support portal for key members of the team is crucial to submit tickets and issues to Adobe to address any product based issues that may come up during implementation.</t>
  </si>
  <si>
    <t>Support in validation of reported issues</t>
  </si>
  <si>
    <t>Part of the Quality Leads responsibilities are to ensure that there are resources available to support any user or UAT reported issues and validate them against the test environment.</t>
  </si>
  <si>
    <t>System Architecture Definition</t>
  </si>
  <si>
    <t>An initial proposal and definition of how the system for the solution will be architected for all environments,</t>
  </si>
  <si>
    <t>System Architecture Documentation</t>
  </si>
  <si>
    <t>A document of the system architecture including interfaces, network location and integrations for all environments.</t>
  </si>
  <si>
    <t>System Architecture Security Concept</t>
  </si>
  <si>
    <t>A high level outline of how the system architecture will be compliant with any security policies. This can include firewalls and firewall rules, secutiy zones, local and general traffic managers, web servers, proxies and reverse proxies.</t>
  </si>
  <si>
    <t>System risk factors identified and verified</t>
  </si>
  <si>
    <t>Any risk factors found in the risk assesment or other reviews are identified and assessed to the level of risk implied in each one and effort estimated for any changes to the implementation to address them.</t>
  </si>
  <si>
    <t>T</t>
  </si>
  <si>
    <t>Team is aware of the commmunication plan</t>
  </si>
  <si>
    <t>All members of the team are aware of how and who should be communicating with the customer and when.</t>
  </si>
  <si>
    <t>Team is aware of succes definitions and criteria</t>
  </si>
  <si>
    <t>Alignment with the customer defined success definition and criteria. All roles on the team must be clear on these expectations.</t>
  </si>
  <si>
    <t>Team understands project and expectations</t>
  </si>
  <si>
    <t>Alignment with the overall project and expectations, both internal to the project team and to the customer.</t>
  </si>
  <si>
    <t>Technical risk factors verified</t>
  </si>
  <si>
    <t xml:space="preserve">Technical risks can include cross site scripting, end user facing input fields, infrastructure, technology age, number of integrations, and dependencies. </t>
  </si>
  <si>
    <t>Technical Requirements</t>
  </si>
  <si>
    <t>Requirements specific to technical implementation of services that support the solution.</t>
  </si>
  <si>
    <t>Technical Specification</t>
  </si>
  <si>
    <t>The Technical Specification covers interfaces, configurations, APIs and services that support the requirements of the solution.</t>
  </si>
  <si>
    <t>Template Specification</t>
  </si>
  <si>
    <t>The detailed specifications for templates including parsys, blueprint and inheritance mapping. The specification is based off of the Business Requirements and Experience Requirements.</t>
  </si>
  <si>
    <t>Test Cases</t>
  </si>
  <si>
    <t>The Test Cases are the detailed steps to execute functional testing of the solution.</t>
  </si>
  <si>
    <t>Testing Concept</t>
  </si>
  <si>
    <t>The Testing Concept is the very high level outline of all testing for the project including QA, UAT, performance, security, and integration testing.</t>
  </si>
  <si>
    <t>Test Content</t>
  </si>
  <si>
    <t>The Test Content should be as close to production content as possible.</t>
  </si>
  <si>
    <t>Testing Plans</t>
  </si>
  <si>
    <t>The Testing Plans outline in greater detail execution of tests for each phase of development and are based on the Testing Strategy.</t>
  </si>
  <si>
    <t>Test environment ready</t>
  </si>
  <si>
    <t>Test environment is ready with automated deployments in place to ensure all release candidate code is up to date for testing.</t>
  </si>
  <si>
    <t>Testing Scope</t>
  </si>
  <si>
    <t>The defined scope for what will be covered and by what role in the Testing Strategy.</t>
  </si>
  <si>
    <t>Testing Strategy</t>
  </si>
  <si>
    <t>The Testing Strategy outlines the high level strategy for quality assurance and user acceptance testing including timelines, reporting cadence, and execution.</t>
  </si>
  <si>
    <t>Test Suite</t>
  </si>
  <si>
    <t>Automation suite and tooling selected for use case automation and other test execution tasks.</t>
  </si>
  <si>
    <t>Test Reports</t>
  </si>
  <si>
    <t>Reports covering defects raised, status of test cases gone through, and other quality related topics</t>
  </si>
  <si>
    <t>Third party systems access enabled</t>
  </si>
  <si>
    <t>Access levels granted to respective roles for third party systems.</t>
  </si>
  <si>
    <t>Third party integration concept</t>
  </si>
  <si>
    <t>Architectural and system level concept for third party systems,</t>
  </si>
  <si>
    <t>Third party integration Specification</t>
  </si>
  <si>
    <t>Details of the funcional and non-funcational requirements for the functionality supported and integration of the third party systems.</t>
  </si>
  <si>
    <t>Third party security concept</t>
  </si>
  <si>
    <t>Concept for ensuring security of any third party integrations that is compliant to any security policies.</t>
  </si>
  <si>
    <t>Third party system for integration</t>
  </si>
  <si>
    <t>All third party systems are available with documentation for integration implementation.</t>
  </si>
  <si>
    <t>Thirday party Testing Concept</t>
  </si>
  <si>
    <t>Defines use cases for testing the integrations and functionality related to any third party application.</t>
  </si>
  <si>
    <t>Threshold definition</t>
  </si>
  <si>
    <t>Defines the key values for monitoring points in the system. For example, how many kilobytes (KB) of unsent logs generate a warning on the principal server instance or the number of milliseconds of average delay per transaction that are tolerated before a warning is generated on the principal server.</t>
  </si>
  <si>
    <t>Timeline and Milestones</t>
  </si>
  <si>
    <t>A guide of the project cadence and contractual milestones that are used as points for invoicing and alignment against the success definitions and criteria as well as KPIs.</t>
  </si>
  <si>
    <t>Total project efforts</t>
  </si>
  <si>
    <t>All effort estimates consolodated from each of the leads on a project including, overhead, development, system engineering, architectural and testing efforts. If there is a support level included in the agreement, support and operations efforts should be included.</t>
  </si>
  <si>
    <t xml:space="preserve">Training Materials </t>
  </si>
  <si>
    <t>Materials created specific to the solution to be used in training sessions in conjuction with the User Guides.</t>
  </si>
  <si>
    <t>U</t>
  </si>
  <si>
    <t>Understands scope of project and expectations</t>
  </si>
  <si>
    <t>Each role in the project should confirm that they understand fully the scope of the project and the expectation from the customer and this is the basis for all decisions made per role, per phase in the project.</t>
  </si>
  <si>
    <t>URL handling concept</t>
  </si>
  <si>
    <t>The URL handling concept will cover AEM specific URL functionalities including; vanity URLS, link externalizing, error pages and mapping. The concept will also include any rewrite rules or virtual hosts on the web server. It should also include SEO consideration such as robots.txt and a site map.</t>
  </si>
  <si>
    <t>Use cases</t>
  </si>
  <si>
    <t>A use case is a list of actions or event steps, typically defining the interactions between a role and the solution, to achieve a goal. The role can be a user or an external system.</t>
  </si>
  <si>
    <t>Use Cases converted into test scenarios</t>
  </si>
  <si>
    <t>Test scenarios that are based on the technical and business use cases are used to test the soltuion behavior as it is expected in the most common uses.</t>
  </si>
  <si>
    <t>User Guides</t>
  </si>
  <si>
    <t>User Guides are materials produced for the end users of the solution. They are created for administrators, power users, authors and end users.</t>
  </si>
  <si>
    <t>V</t>
  </si>
  <si>
    <t>Validated budget plan</t>
  </si>
  <si>
    <t>All stakeholders have reviewed and validated the budget plan for invoicing, amounts and budget reporting.</t>
  </si>
  <si>
    <t>White box test results</t>
  </si>
  <si>
    <t>White-box testing is a method of testing software that tests internal structures or workings of an application, as opposed to its functionality. White-box testing can be applied at the unit, integration and system levels of the software testing process.</t>
  </si>
  <si>
    <t>Workflows concept</t>
  </si>
  <si>
    <t>Workflows enable automation of Experience Manager activities. The Workflows Concept outlines the processes that will need automation as well as the services and roles in AEM that will be affected.</t>
  </si>
  <si>
    <t>Workflow Specification</t>
  </si>
  <si>
    <t>Based on the Workflows Concept the Workflows Specification goes into deep detail of the steps that will create the full workflow. The specification of workflows should include use case, roles, steps, outcomes and error handling for workflows.</t>
  </si>
  <si>
    <t>Y</t>
  </si>
  <si>
    <t>Z</t>
  </si>
  <si>
    <t>Project Personas</t>
  </si>
  <si>
    <t>The project sponsor is responsible for the business case of the project. They will help to shape and define the scope, the success definition and criteria as well as the main KPIs. They will provide the main milestones based on the client roadmap.</t>
  </si>
  <si>
    <t>The project manager is responsible for the overal delivery of the project based on the scope, success definition and criteris and KPIs provided by the project sponsor. They are responsible for defining the budget and resourcing the project based on the budget. They are the main point of communication for all roles in the project.</t>
  </si>
  <si>
    <t>The solution architect is responsible for the over design of the solution and system. They help to define the implementation strategy for AEM. For example, to go with a cluster installation or a cold standy or if a CDN is needed. They also define the AEM solution architecture based on the client requirements such as the roles and rights concept and the template and components relationship or to use multi site management.</t>
  </si>
  <si>
    <t xml:space="preserve">The business analyst is primarily responsible for gathering and analyzing high level requirements and transforming those into specifications for the development team to work from and for the project manager to plan development with. The busniess analyst works closely with the client to analyse the requirements and match them against the success definition and criteria and keeps in mind the KPIs both business and performance based. </t>
  </si>
  <si>
    <t>The development lead is responsible for the technical delivery of the project. They are responsbile for selecting the development methodology inline with the client requirements. They craft the development strategy aligned with the business and performance KPIs and take into account the success definition and criteria. The development lead works closely with the architect in especially on the development strategy in AEM such as temaplates and components relationships and integration strategy for 3rd party applications and special functionality.</t>
  </si>
  <si>
    <t xml:space="preserve">The quality lead is responsible for the quality of the delivery and ensuring that it meets the criteris for success and KPIs set by the client. The quality lead sets the quality metrics, aligns with all stakeholders and defines and exectutes the testing plans. The quality lead creates and delivers reports to project stakeholders. </t>
  </si>
  <si>
    <t>The systems engineer is responsible for the oversight of the infrastructure of the project. The set up the internal development and test environements, are responsible for matching those systems to the client systems. The provide hardware recommendations, monitoring implementation and providing operations support for go live and after.</t>
  </si>
  <si>
    <t>The security lead is responsible for the over all security concept of the solution and ensuring that it is aligned with any requirements and policies from the client. They devilver a security concept, security operations and recommendations for any hardware based security concepts such as zones and firewalls.</t>
  </si>
  <si>
    <t>Milestones (Dates)</t>
  </si>
  <si>
    <t>https://learning.adobe.com/catalog.html?solution=Adobe%20Experience%20Manager</t>
  </si>
  <si>
    <t>https://experienceleague.adobe.com/docs/customer-one/using/home.html?lang=en</t>
  </si>
  <si>
    <t>https://experienceleague.adobe.com/docs/experience-manager-65/administering/security/security-checklist.html?lang=en#security</t>
  </si>
  <si>
    <t>https://experienceleague.adobe.com/docs/experience-manager-65/deploying/introduction/technical-requirements.html?lang=en#introduction</t>
  </si>
  <si>
    <t>https://experienceleague.adobe.com/docs/experience-manager-65/administering/operations/workflows-administering.html?lang=en#operations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</si>
</sst>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409]d\-mmm\-yyyy;@"/>
  </numFmts>
  <fonts count="32">
    <font>
      <sz val="10"/>
      <color rgb="FF000000"/>
      <name val="Arial"/>
    </font>
    <font>
      <b/>
      <sz val="12"/>
      <name val="Arial"/>
    </font>
    <font>
      <b/>
      <sz val="10"/>
      <name val="Arial"/>
    </font>
    <font>
      <sz val="10"/>
      <name val="Arial"/>
    </font>
    <font>
      <b/>
      <sz val="14"/>
      <color rgb="FFFFFFFF"/>
      <name val="Arial"/>
    </font>
    <font>
      <b/>
      <sz val="21"/>
      <color rgb="FFFFFFFF"/>
      <name val="Arial"/>
    </font>
    <font>
      <b/>
      <sz val="21"/>
      <color rgb="FFF2F2F2"/>
      <name val="Arial"/>
    </font>
    <font>
      <b/>
      <sz val="14"/>
      <color rgb="FF000000"/>
      <name val="Arial"/>
    </font>
    <font>
      <b/>
      <sz val="9"/>
      <color rgb="FF000000"/>
      <name val="Arial"/>
    </font>
    <font>
      <sz val="9"/>
      <color rgb="FF000000"/>
      <name val="Arial"/>
    </font>
    <font>
      <b/>
      <sz val="8"/>
      <name val="Arial"/>
    </font>
    <font>
      <b/>
      <sz val="9"/>
      <name val="Arial"/>
    </font>
    <font>
      <sz val="9"/>
      <name val="Arial"/>
    </font>
    <font>
      <sz val="10"/>
      <name val="Arial"/>
    </font>
    <font>
      <b/>
      <sz val="10"/>
      <color rgb="FF000000"/>
      <name val="Arial"/>
    </font>
    <font>
      <sz val="10"/>
      <name val="Arial"/>
    </font>
    <font>
      <sz val="10"/>
      <color rgb="FF000000"/>
      <name val="Arial"/>
    </font>
    <font>
      <sz val="11"/>
      <color rgb="FF000000"/>
      <name val="Inconsolata"/>
    </font>
    <font>
      <sz val="9"/>
      <color rgb="FF9C0006"/>
      <name val="Arial"/>
    </font>
    <font>
      <sz val="10"/>
      <color rgb="FF000000"/>
      <name val="Arial"/>
    </font>
    <font>
      <b/>
      <sz val="10"/>
      <color rgb="FF000000"/>
      <name val="Arial"/>
    </font>
    <font>
      <i/>
      <sz val="14"/>
      <color rgb="FF000000"/>
      <name val="Arial"/>
    </font>
    <font>
      <sz val="11"/>
      <color rgb="FF000000"/>
      <name val="Arial"/>
    </font>
    <font>
      <b/>
      <sz val="24"/>
      <color rgb="FFFFFFFF"/>
      <name val="Arial"/>
    </font>
    <font>
      <b/>
      <sz val="14"/>
      <name val="Arial"/>
    </font>
    <font>
      <sz val="10"/>
      <color rgb="FF222222"/>
      <name val="Arial"/>
    </font>
    <font>
      <sz val="10"/>
      <color rgb="FF000000"/>
      <name val="Inconsolata"/>
    </font>
    <font>
      <sz val="10"/>
      <color rgb="FF000000"/>
      <name val="Sans-serif"/>
    </font>
    <font>
      <sz val="10"/>
      <color rgb="FF333333"/>
      <name val="&quot;Helvetica Neue&quot;"/>
    </font>
    <font>
      <b/>
      <sz val="10"/>
      <color rgb="FFFFFFFF"/>
      <name val="Arial"/>
    </font>
    <font>
      <b/>
      <i/>
      <sz val="10"/>
      <name val="Arial"/>
    </font>
    <font>
      <u/>
      <sz val="10"/>
      <color theme="10"/>
      <name val="Arial"/>
    </font>
  </fonts>
  <fills count="13">
    <fill>
      <patternFill patternType="none"/>
    </fill>
    <fill>
      <patternFill patternType="gray125"/>
    </fill>
    <fill>
      <patternFill patternType="solid">
        <fgColor rgb="FF000000"/>
        <bgColor rgb="FF000000"/>
      </patternFill>
    </fill>
    <fill>
      <patternFill patternType="solid">
        <fgColor rgb="FFEFEFEF"/>
        <bgColor rgb="FFEFEFEF"/>
      </patternFill>
    </fill>
    <fill>
      <patternFill patternType="solid">
        <fgColor rgb="FFCCCCCC"/>
        <bgColor rgb="FFCCCCCC"/>
      </patternFill>
    </fill>
    <fill>
      <patternFill patternType="solid">
        <fgColor rgb="FFFFFFFF"/>
        <bgColor rgb="FFFFFFFF"/>
      </patternFill>
    </fill>
    <fill>
      <patternFill patternType="solid">
        <fgColor rgb="FFD9D9D9"/>
        <bgColor rgb="FFD9D9D9"/>
      </patternFill>
    </fill>
    <fill>
      <patternFill patternType="solid">
        <fgColor rgb="FFF3F3F3"/>
        <bgColor rgb="FFF3F3F3"/>
      </patternFill>
    </fill>
    <fill>
      <patternFill patternType="solid">
        <fgColor rgb="FFFFC7CE"/>
        <bgColor rgb="FFFFC7CE"/>
      </patternFill>
    </fill>
    <fill>
      <patternFill patternType="solid">
        <fgColor rgb="FFF0F0F0"/>
        <bgColor rgb="FFF0F0F0"/>
      </patternFill>
    </fill>
    <fill>
      <patternFill patternType="solid">
        <fgColor rgb="FF999999"/>
        <bgColor rgb="FF999999"/>
      </patternFill>
    </fill>
    <fill>
      <patternFill patternType="solid">
        <fgColor theme="1"/>
        <bgColor indexed="64"/>
      </patternFill>
    </fill>
    <fill>
      <patternFill patternType="solid">
        <fgColor theme="2" tint="-0.249977111117893"/>
        <bgColor indexed="64"/>
      </patternFill>
    </fill>
  </fills>
  <borders count="39">
    <border>
      <left/>
      <right/>
      <top/>
      <bottom/>
      <diagonal/>
    </border>
    <border>
      <left/>
      <right/>
      <top/>
      <bottom style="thin">
        <color rgb="FF999999"/>
      </bottom>
      <diagonal/>
    </border>
    <border>
      <left/>
      <right/>
      <top style="thin">
        <color rgb="FF999999"/>
      </top>
      <bottom style="thin">
        <color rgb="FF999999"/>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bottom style="thin">
        <color rgb="FF000000"/>
      </bottom>
      <diagonal/>
    </border>
    <border>
      <left/>
      <right/>
      <top style="dashed">
        <color rgb="FF000000"/>
      </top>
      <bottom style="dashed">
        <color rgb="FF000000"/>
      </bottom>
      <diagonal/>
    </border>
    <border>
      <left style="dashed">
        <color rgb="FF999999"/>
      </left>
      <right/>
      <top/>
      <bottom/>
      <diagonal/>
    </border>
    <border>
      <left style="thin">
        <color rgb="FF000000"/>
      </left>
      <right style="thin">
        <color rgb="FF000000"/>
      </right>
      <top style="thin">
        <color rgb="FF000000"/>
      </top>
      <bottom/>
      <diagonal/>
    </border>
    <border>
      <left style="dashed">
        <color rgb="FF999999"/>
      </left>
      <right style="dashed">
        <color rgb="FF999999"/>
      </right>
      <top/>
      <bottom/>
      <diagonal/>
    </border>
    <border>
      <left/>
      <right style="thin">
        <color rgb="FF000000"/>
      </right>
      <top/>
      <bottom/>
      <diagonal/>
    </border>
    <border>
      <left style="thin">
        <color rgb="FF000000"/>
      </left>
      <right style="thin">
        <color rgb="FF000000"/>
      </right>
      <top/>
      <bottom/>
      <diagonal/>
    </border>
    <border>
      <left style="dashed">
        <color rgb="FF999999"/>
      </left>
      <right/>
      <top style="thin">
        <color rgb="FF999999"/>
      </top>
      <bottom style="thin">
        <color rgb="FF999999"/>
      </bottom>
      <diagonal/>
    </border>
    <border>
      <left style="dashed">
        <color rgb="FF999999"/>
      </left>
      <right style="dashed">
        <color rgb="FF999999"/>
      </right>
      <top style="thin">
        <color rgb="FF999999"/>
      </top>
      <bottom style="thin">
        <color rgb="FF999999"/>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thin">
        <color rgb="FF000000"/>
      </left>
      <right/>
      <top/>
      <bottom/>
      <diagonal/>
    </border>
    <border>
      <left style="thin">
        <color rgb="FF000000"/>
      </left>
      <right style="thin">
        <color rgb="FF000000"/>
      </right>
      <top style="medium">
        <color rgb="FF000000"/>
      </top>
      <bottom/>
      <diagonal/>
    </border>
    <border>
      <left/>
      <right style="thin">
        <color rgb="FF000000"/>
      </right>
      <top style="thin">
        <color rgb="FF000000"/>
      </top>
      <bottom/>
      <diagonal/>
    </border>
    <border>
      <left style="thin">
        <color rgb="FF000000"/>
      </left>
      <right/>
      <top/>
      <bottom style="medium">
        <color rgb="FF000000"/>
      </bottom>
      <diagonal/>
    </border>
    <border>
      <left/>
      <right style="thin">
        <color rgb="FF000000"/>
      </right>
      <top/>
      <bottom style="medium">
        <color rgb="FF000000"/>
      </bottom>
      <diagonal/>
    </border>
    <border>
      <left/>
      <right/>
      <top style="thin">
        <color rgb="FF000000"/>
      </top>
      <bottom style="thin">
        <color rgb="FF000000"/>
      </bottom>
      <diagonal/>
    </border>
    <border>
      <left style="thin">
        <color rgb="FF000000"/>
      </left>
      <right style="thin">
        <color rgb="FF000000"/>
      </right>
      <top/>
      <bottom style="medium">
        <color rgb="FF000000"/>
      </bottom>
      <diagonal/>
    </border>
    <border>
      <left/>
      <right/>
      <top style="thin">
        <color rgb="FF000000"/>
      </top>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diagonal/>
    </border>
    <border>
      <left/>
      <right style="thin">
        <color rgb="FF000000"/>
      </right>
      <top style="medium">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right/>
      <top style="thin">
        <color rgb="FF000000"/>
      </top>
      <bottom style="medium">
        <color rgb="FF000000"/>
      </bottom>
      <diagonal/>
    </border>
    <border>
      <left style="thin">
        <color rgb="FF000000"/>
      </left>
      <right style="thin">
        <color rgb="FF000000"/>
      </right>
      <top style="medium">
        <color rgb="FF000000"/>
      </top>
      <bottom style="medium">
        <color rgb="FF000000"/>
      </bottom>
      <diagonal/>
    </border>
    <border>
      <left/>
      <right style="thin">
        <color rgb="FF000000"/>
      </right>
      <top style="thin">
        <color rgb="FF999999"/>
      </top>
      <bottom style="thin">
        <color rgb="FF999999"/>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auto="1"/>
      </bottom>
      <diagonal/>
    </border>
    <border>
      <left/>
      <right style="dashed">
        <color rgb="FF999999"/>
      </right>
      <top style="dashed">
        <color rgb="FF000000"/>
      </top>
      <bottom style="dashed">
        <color rgb="FF000000"/>
      </bottom>
      <diagonal/>
    </border>
  </borders>
  <cellStyleXfs count="2">
    <xf numFmtId="0" fontId="0" fillId="0" borderId="0"/>
    <xf numFmtId="0" fontId="31" fillId="0" borderId="0" applyNumberFormat="0" applyFill="0" applyBorder="0" applyAlignment="0" applyProtection="0"/>
  </cellStyleXfs>
  <cellXfs count="502">
    <xf numFmtId="0" fontId="0" fillId="0" borderId="0" xfId="0" applyFont="1" applyAlignment="1">
      <alignment wrapText="1"/>
    </xf>
    <xf numFmtId="0" fontId="1" fillId="0" borderId="0" xfId="0" applyFont="1" applyAlignment="1">
      <alignment wrapText="1"/>
    </xf>
    <xf numFmtId="0" fontId="2" fillId="0" borderId="0" xfId="0" applyFont="1" applyAlignment="1">
      <alignment wrapText="1"/>
    </xf>
    <xf numFmtId="0" fontId="3" fillId="0" borderId="0" xfId="0" applyFont="1" applyAlignment="1">
      <alignment wrapText="1"/>
    </xf>
    <xf numFmtId="0" fontId="4" fillId="2" borderId="0" xfId="0" applyFont="1" applyFill="1" applyAlignment="1">
      <alignment vertical="center" wrapText="1"/>
    </xf>
    <xf numFmtId="0" fontId="3" fillId="3" borderId="0" xfId="0" applyFont="1" applyFill="1" applyAlignment="1">
      <alignment wrapText="1"/>
    </xf>
    <xf numFmtId="0" fontId="3" fillId="3" borderId="0" xfId="0" applyFont="1" applyFill="1" applyAlignment="1">
      <alignment wrapText="1"/>
    </xf>
    <xf numFmtId="0" fontId="5" fillId="2" borderId="0" xfId="0" applyFont="1" applyFill="1" applyAlignment="1">
      <alignment vertical="center" wrapText="1"/>
    </xf>
    <xf numFmtId="0" fontId="3" fillId="2" borderId="0" xfId="0" applyFont="1" applyFill="1" applyAlignment="1">
      <alignment vertical="top" wrapText="1"/>
    </xf>
    <xf numFmtId="0" fontId="3" fillId="0" borderId="0" xfId="0" applyFont="1" applyAlignment="1">
      <alignment vertical="top" wrapText="1"/>
    </xf>
    <xf numFmtId="0" fontId="2" fillId="0" borderId="0" xfId="0" applyFont="1" applyAlignment="1">
      <alignment wrapText="1"/>
    </xf>
    <xf numFmtId="0" fontId="1" fillId="0" borderId="1" xfId="0" applyFont="1" applyBorder="1" applyAlignment="1">
      <alignment wrapText="1"/>
    </xf>
    <xf numFmtId="0" fontId="1" fillId="0" borderId="0" xfId="0" applyFont="1" applyAlignment="1">
      <alignment vertical="center" wrapText="1"/>
    </xf>
    <xf numFmtId="0" fontId="1" fillId="0" borderId="1" xfId="0" applyFont="1" applyBorder="1" applyAlignment="1">
      <alignment vertical="center" wrapText="1"/>
    </xf>
    <xf numFmtId="0" fontId="1" fillId="0" borderId="2" xfId="0" applyFont="1" applyBorder="1" applyAlignment="1">
      <alignment vertical="center" wrapText="1"/>
    </xf>
    <xf numFmtId="164" fontId="2" fillId="0" borderId="0" xfId="0" applyNumberFormat="1" applyFont="1" applyAlignment="1">
      <alignment horizontal="left" wrapText="1"/>
    </xf>
    <xf numFmtId="0" fontId="2" fillId="0" borderId="0" xfId="0" applyFont="1" applyAlignment="1">
      <alignment horizontal="left" wrapText="1"/>
    </xf>
    <xf numFmtId="0" fontId="3" fillId="0" borderId="0" xfId="0" applyFont="1" applyAlignment="1">
      <alignment horizontal="left" wrapText="1"/>
    </xf>
    <xf numFmtId="0" fontId="3" fillId="0" borderId="0" xfId="0" applyFont="1" applyAlignment="1">
      <alignment vertical="top" wrapText="1"/>
    </xf>
    <xf numFmtId="0" fontId="2" fillId="0" borderId="0" xfId="0" applyFont="1" applyAlignment="1">
      <alignment vertical="center" wrapText="1"/>
    </xf>
    <xf numFmtId="0" fontId="2" fillId="0" borderId="0" xfId="0" applyFont="1" applyAlignment="1">
      <alignment vertical="top" wrapText="1"/>
    </xf>
    <xf numFmtId="0" fontId="0" fillId="2" borderId="0" xfId="0" applyFont="1" applyFill="1" applyBorder="1" applyAlignment="1">
      <alignment wrapText="1"/>
    </xf>
    <xf numFmtId="0" fontId="7" fillId="0" borderId="3" xfId="0" applyFont="1" applyBorder="1" applyAlignment="1">
      <alignment horizontal="left" vertical="top" wrapText="1"/>
    </xf>
    <xf numFmtId="0" fontId="3" fillId="2" borderId="0" xfId="0" applyFont="1" applyFill="1" applyAlignment="1">
      <alignment wrapText="1"/>
    </xf>
    <xf numFmtId="0" fontId="7" fillId="0" borderId="3" xfId="0" applyFont="1" applyBorder="1" applyAlignment="1">
      <alignment horizontal="left" vertical="top" wrapText="1"/>
    </xf>
    <xf numFmtId="0" fontId="2" fillId="4" borderId="0" xfId="0" applyFont="1" applyFill="1" applyAlignment="1">
      <alignment wrapText="1"/>
    </xf>
    <xf numFmtId="0" fontId="8" fillId="5" borderId="3" xfId="0" applyFont="1" applyFill="1" applyBorder="1" applyAlignment="1">
      <alignment horizontal="center" vertical="center" wrapText="1"/>
    </xf>
    <xf numFmtId="0" fontId="3" fillId="4" borderId="0" xfId="0" applyFont="1" applyFill="1" applyAlignment="1">
      <alignment wrapText="1"/>
    </xf>
    <xf numFmtId="0" fontId="3" fillId="4" borderId="0" xfId="0" applyFont="1" applyFill="1" applyAlignment="1">
      <alignment wrapText="1"/>
    </xf>
    <xf numFmtId="0" fontId="9" fillId="0" borderId="0" xfId="0" applyFont="1" applyAlignment="1">
      <alignment horizontal="left" vertical="center" wrapText="1"/>
    </xf>
    <xf numFmtId="0" fontId="2" fillId="6" borderId="0" xfId="0" applyFont="1" applyFill="1" applyAlignment="1">
      <alignment wrapText="1"/>
    </xf>
    <xf numFmtId="0" fontId="10" fillId="0" borderId="4" xfId="0" applyFont="1" applyBorder="1" applyAlignment="1">
      <alignment horizontal="center" vertical="center" wrapText="1"/>
    </xf>
    <xf numFmtId="0" fontId="3" fillId="6" borderId="0" xfId="0" applyFont="1" applyFill="1" applyAlignment="1">
      <alignment wrapText="1"/>
    </xf>
    <xf numFmtId="164" fontId="3" fillId="7" borderId="5" xfId="0" applyNumberFormat="1" applyFont="1" applyFill="1" applyBorder="1" applyAlignment="1">
      <alignment wrapText="1"/>
    </xf>
    <xf numFmtId="0" fontId="11" fillId="0" borderId="0" xfId="0" applyFont="1" applyAlignment="1">
      <alignment wrapText="1"/>
    </xf>
    <xf numFmtId="0" fontId="7" fillId="0" borderId="3" xfId="0" applyFont="1" applyBorder="1" applyAlignment="1">
      <alignment horizontal="left" vertical="center" wrapText="1"/>
    </xf>
    <xf numFmtId="0" fontId="12" fillId="0" borderId="0" xfId="0" applyFont="1" applyAlignment="1">
      <alignment wrapText="1"/>
    </xf>
    <xf numFmtId="0" fontId="3" fillId="7" borderId="0" xfId="0" applyFont="1" applyFill="1" applyAlignment="1">
      <alignment wrapText="1"/>
    </xf>
    <xf numFmtId="4" fontId="13" fillId="0" borderId="7" xfId="0" applyNumberFormat="1" applyFont="1" applyBorder="1" applyAlignment="1">
      <alignment vertical="center" wrapText="1"/>
    </xf>
    <xf numFmtId="0" fontId="11" fillId="4" borderId="0" xfId="0" applyFont="1" applyFill="1" applyAlignment="1">
      <alignment wrapText="1"/>
    </xf>
    <xf numFmtId="4" fontId="13" fillId="0" borderId="9" xfId="0" applyNumberFormat="1" applyFont="1" applyBorder="1" applyAlignment="1">
      <alignment vertical="center" wrapText="1"/>
    </xf>
    <xf numFmtId="9" fontId="3" fillId="0" borderId="0" xfId="0" applyNumberFormat="1" applyFont="1" applyAlignment="1">
      <alignment wrapText="1"/>
    </xf>
    <xf numFmtId="0" fontId="3" fillId="0" borderId="0" xfId="0" applyFont="1" applyAlignment="1">
      <alignment vertical="center" wrapText="1"/>
    </xf>
    <xf numFmtId="4" fontId="3" fillId="0" borderId="0" xfId="0" applyNumberFormat="1" applyFont="1" applyAlignment="1">
      <alignment wrapText="1"/>
    </xf>
    <xf numFmtId="0" fontId="11" fillId="0" borderId="7" xfId="0" applyFont="1" applyBorder="1" applyAlignment="1">
      <alignment wrapText="1"/>
    </xf>
    <xf numFmtId="0" fontId="0" fillId="0" borderId="3" xfId="0" applyFont="1" applyBorder="1" applyAlignment="1">
      <alignment horizontal="left" vertical="center" wrapText="1"/>
    </xf>
    <xf numFmtId="0" fontId="11" fillId="0" borderId="9" xfId="0" applyFont="1" applyBorder="1" applyAlignment="1">
      <alignment wrapText="1"/>
    </xf>
    <xf numFmtId="9" fontId="3" fillId="4" borderId="0" xfId="0" applyNumberFormat="1" applyFont="1" applyFill="1" applyAlignment="1">
      <alignment wrapText="1"/>
    </xf>
    <xf numFmtId="0" fontId="15" fillId="8" borderId="3" xfId="0" applyFont="1" applyFill="1" applyBorder="1" applyAlignment="1">
      <alignment wrapText="1"/>
    </xf>
    <xf numFmtId="9" fontId="13" fillId="0" borderId="7" xfId="0" applyNumberFormat="1" applyFont="1" applyBorder="1" applyAlignment="1">
      <alignment vertical="center" wrapText="1"/>
    </xf>
    <xf numFmtId="9" fontId="16" fillId="0" borderId="0" xfId="0" applyNumberFormat="1" applyFont="1" applyAlignment="1">
      <alignment wrapText="1"/>
    </xf>
    <xf numFmtId="0" fontId="17" fillId="5" borderId="0" xfId="0" applyFont="1" applyFill="1" applyAlignment="1">
      <alignment wrapText="1"/>
    </xf>
    <xf numFmtId="9" fontId="13" fillId="0" borderId="9" xfId="0" applyNumberFormat="1" applyFont="1" applyBorder="1" applyAlignment="1">
      <alignment vertical="center" wrapText="1"/>
    </xf>
    <xf numFmtId="0" fontId="0" fillId="0" borderId="10" xfId="0" applyFont="1" applyBorder="1" applyAlignment="1">
      <alignment vertical="center" wrapText="1"/>
    </xf>
    <xf numFmtId="0" fontId="9" fillId="5" borderId="3" xfId="0" applyFont="1" applyFill="1" applyBorder="1" applyAlignment="1">
      <alignment horizontal="right" wrapText="1"/>
    </xf>
    <xf numFmtId="9" fontId="3" fillId="0" borderId="7" xfId="0" applyNumberFormat="1" applyFont="1" applyBorder="1" applyAlignment="1">
      <alignment vertical="center" wrapText="1"/>
    </xf>
    <xf numFmtId="0" fontId="3" fillId="7" borderId="0" xfId="0" applyFont="1" applyFill="1" applyAlignment="1">
      <alignment wrapText="1"/>
    </xf>
    <xf numFmtId="9" fontId="3" fillId="0" borderId="9" xfId="0" applyNumberFormat="1" applyFont="1" applyBorder="1" applyAlignment="1">
      <alignment vertical="center" wrapText="1"/>
    </xf>
    <xf numFmtId="0" fontId="0" fillId="0" borderId="3" xfId="0" applyFont="1" applyBorder="1" applyAlignment="1">
      <alignment horizontal="left" vertical="top" wrapText="1"/>
    </xf>
    <xf numFmtId="4" fontId="3" fillId="0" borderId="0" xfId="0" applyNumberFormat="1" applyFont="1" applyAlignment="1">
      <alignment wrapText="1"/>
    </xf>
    <xf numFmtId="0" fontId="3" fillId="0" borderId="7" xfId="0" applyFont="1" applyBorder="1" applyAlignment="1">
      <alignment wrapText="1"/>
    </xf>
    <xf numFmtId="0" fontId="3" fillId="0" borderId="9" xfId="0" applyFont="1" applyBorder="1" applyAlignment="1">
      <alignment wrapText="1"/>
    </xf>
    <xf numFmtId="0" fontId="16" fillId="0" borderId="0" xfId="0" applyFont="1" applyAlignment="1">
      <alignment wrapText="1"/>
    </xf>
    <xf numFmtId="0" fontId="0" fillId="0" borderId="10" xfId="0" applyFont="1" applyBorder="1" applyAlignment="1">
      <alignment horizontal="right" vertical="center" wrapText="1"/>
    </xf>
    <xf numFmtId="0" fontId="0" fillId="0" borderId="3" xfId="0" applyFont="1" applyBorder="1" applyAlignment="1">
      <alignment horizontal="left" vertical="top" wrapText="1"/>
    </xf>
    <xf numFmtId="0" fontId="3" fillId="5" borderId="3" xfId="0" applyFont="1" applyFill="1" applyBorder="1" applyAlignment="1">
      <alignment vertical="center" wrapText="1"/>
    </xf>
    <xf numFmtId="0" fontId="0" fillId="7" borderId="0" xfId="0" applyFont="1" applyFill="1" applyAlignment="1">
      <alignment horizontal="left" vertical="top" wrapText="1"/>
    </xf>
    <xf numFmtId="0" fontId="0" fillId="7" borderId="0" xfId="0" applyFont="1" applyFill="1" applyAlignment="1">
      <alignment horizontal="left" vertical="top" wrapText="1"/>
    </xf>
    <xf numFmtId="0" fontId="0" fillId="7" borderId="0" xfId="0" applyFont="1" applyFill="1" applyAlignment="1">
      <alignment vertical="center" wrapText="1"/>
    </xf>
    <xf numFmtId="0" fontId="0" fillId="0" borderId="3" xfId="0" applyFont="1" applyBorder="1" applyAlignment="1">
      <alignment vertical="center" wrapText="1"/>
    </xf>
    <xf numFmtId="0" fontId="7" fillId="0" borderId="8" xfId="0" applyFont="1" applyBorder="1" applyAlignment="1">
      <alignment horizontal="left" vertical="top" wrapText="1"/>
    </xf>
    <xf numFmtId="0" fontId="7" fillId="0" borderId="0" xfId="0" applyFont="1" applyAlignment="1">
      <alignment horizontal="left" vertical="center" wrapText="1"/>
    </xf>
    <xf numFmtId="0" fontId="3" fillId="0" borderId="14" xfId="0" applyFont="1" applyBorder="1" applyAlignment="1">
      <alignment wrapText="1"/>
    </xf>
    <xf numFmtId="0" fontId="3" fillId="7" borderId="4" xfId="0" applyFont="1" applyFill="1" applyBorder="1" applyAlignment="1">
      <alignment wrapText="1"/>
    </xf>
    <xf numFmtId="0" fontId="3" fillId="7" borderId="4" xfId="0" applyFont="1" applyFill="1" applyBorder="1" applyAlignment="1">
      <alignment wrapText="1"/>
    </xf>
    <xf numFmtId="0" fontId="8" fillId="0" borderId="0" xfId="0" applyFont="1" applyAlignment="1">
      <alignment horizontal="left" vertical="center" wrapText="1"/>
    </xf>
    <xf numFmtId="0" fontId="0" fillId="0" borderId="15" xfId="0" applyFont="1" applyBorder="1" applyAlignment="1">
      <alignment horizontal="right" vertical="center" wrapText="1"/>
    </xf>
    <xf numFmtId="2" fontId="3" fillId="0" borderId="0" xfId="0" applyNumberFormat="1" applyFont="1" applyAlignment="1">
      <alignment wrapText="1"/>
    </xf>
    <xf numFmtId="0" fontId="17" fillId="5" borderId="4" xfId="0" applyFont="1" applyFill="1" applyBorder="1" applyAlignment="1">
      <alignment wrapText="1"/>
    </xf>
    <xf numFmtId="0" fontId="3" fillId="0" borderId="4" xfId="0" applyFont="1" applyBorder="1" applyAlignment="1">
      <alignment wrapText="1"/>
    </xf>
    <xf numFmtId="0" fontId="7" fillId="0" borderId="16" xfId="0" applyFont="1" applyBorder="1" applyAlignment="1">
      <alignment horizontal="left" vertical="top" wrapText="1"/>
    </xf>
    <xf numFmtId="4" fontId="17" fillId="5" borderId="0" xfId="0" applyNumberFormat="1" applyFont="1" applyFill="1" applyAlignment="1">
      <alignment wrapText="1"/>
    </xf>
    <xf numFmtId="0" fontId="0" fillId="0" borderId="16" xfId="0" applyFont="1" applyBorder="1" applyAlignment="1">
      <alignment horizontal="left" vertical="top" wrapText="1"/>
    </xf>
    <xf numFmtId="0" fontId="0" fillId="0" borderId="18" xfId="0" applyFont="1" applyBorder="1" applyAlignment="1">
      <alignment vertical="center" wrapText="1"/>
    </xf>
    <xf numFmtId="0" fontId="0" fillId="0" borderId="14" xfId="0" applyFont="1" applyBorder="1" applyAlignment="1">
      <alignment vertical="center" wrapText="1"/>
    </xf>
    <xf numFmtId="0" fontId="3" fillId="0" borderId="19" xfId="0" applyFont="1" applyBorder="1" applyAlignment="1">
      <alignment wrapText="1"/>
    </xf>
    <xf numFmtId="0" fontId="0" fillId="0" borderId="16" xfId="0" applyFont="1" applyBorder="1" applyAlignment="1">
      <alignment horizontal="left" vertical="top" wrapText="1"/>
    </xf>
    <xf numFmtId="0" fontId="0" fillId="0" borderId="8" xfId="0" applyFont="1" applyBorder="1" applyAlignment="1">
      <alignment vertical="center" wrapText="1"/>
    </xf>
    <xf numFmtId="0" fontId="14" fillId="3" borderId="11" xfId="0" applyFont="1" applyFill="1" applyBorder="1" applyAlignment="1">
      <alignment horizontal="left" vertical="top" wrapText="1"/>
    </xf>
    <xf numFmtId="0" fontId="14" fillId="0" borderId="20" xfId="0" applyFont="1" applyBorder="1" applyAlignment="1">
      <alignment horizontal="left" vertical="top" wrapText="1"/>
    </xf>
    <xf numFmtId="0" fontId="0" fillId="0" borderId="11" xfId="0" applyFont="1" applyBorder="1" applyAlignment="1">
      <alignment horizontal="left" vertical="top" wrapText="1"/>
    </xf>
    <xf numFmtId="0" fontId="0" fillId="0" borderId="0" xfId="0" applyFont="1" applyAlignment="1">
      <alignment horizontal="right" vertical="top" wrapText="1"/>
    </xf>
    <xf numFmtId="0" fontId="0" fillId="0" borderId="0" xfId="0" applyFont="1" applyAlignment="1">
      <alignment vertical="center" wrapText="1"/>
    </xf>
    <xf numFmtId="0" fontId="3" fillId="5" borderId="3" xfId="0" applyFont="1" applyFill="1" applyBorder="1" applyAlignment="1">
      <alignment wrapText="1"/>
    </xf>
    <xf numFmtId="0" fontId="3" fillId="0" borderId="0" xfId="0" applyFont="1" applyAlignment="1">
      <alignment wrapText="1"/>
    </xf>
    <xf numFmtId="0" fontId="0" fillId="0" borderId="19" xfId="0" applyFont="1" applyBorder="1" applyAlignment="1">
      <alignment vertical="center" wrapText="1"/>
    </xf>
    <xf numFmtId="0" fontId="14" fillId="0" borderId="11" xfId="0" applyFont="1" applyBorder="1" applyAlignment="1">
      <alignment vertical="top" wrapText="1"/>
    </xf>
    <xf numFmtId="0" fontId="0" fillId="0" borderId="10" xfId="0" applyFont="1" applyBorder="1" applyAlignment="1">
      <alignment vertical="center" wrapText="1"/>
    </xf>
    <xf numFmtId="9" fontId="3" fillId="0" borderId="0" xfId="0" applyNumberFormat="1" applyFont="1" applyAlignment="1">
      <alignment wrapText="1"/>
    </xf>
    <xf numFmtId="0" fontId="0" fillId="0" borderId="21" xfId="0" applyFont="1" applyBorder="1" applyAlignment="1">
      <alignment horizontal="left" vertical="top" wrapText="1"/>
    </xf>
    <xf numFmtId="0" fontId="0" fillId="3" borderId="0" xfId="0" applyFont="1" applyFill="1" applyAlignment="1">
      <alignment vertical="center" wrapText="1"/>
    </xf>
    <xf numFmtId="0" fontId="0" fillId="0" borderId="3" xfId="0" applyFont="1" applyBorder="1" applyAlignment="1">
      <alignment horizontal="left" vertical="center" wrapText="1"/>
    </xf>
    <xf numFmtId="0" fontId="0" fillId="3" borderId="0" xfId="0" applyFont="1" applyFill="1" applyAlignment="1">
      <alignment horizontal="right" vertical="top" wrapText="1"/>
    </xf>
    <xf numFmtId="0" fontId="14" fillId="0" borderId="11" xfId="0" applyFont="1" applyBorder="1" applyAlignment="1">
      <alignment horizontal="left" vertical="top" wrapText="1"/>
    </xf>
    <xf numFmtId="0" fontId="0" fillId="0" borderId="19" xfId="0" applyFont="1" applyBorder="1" applyAlignment="1">
      <alignment vertical="center" wrapText="1"/>
    </xf>
    <xf numFmtId="0" fontId="0" fillId="3" borderId="0" xfId="0" applyFont="1" applyFill="1" applyAlignment="1">
      <alignment horizontal="right" vertical="center" wrapText="1"/>
    </xf>
    <xf numFmtId="0" fontId="0" fillId="3" borderId="0" xfId="0" applyFont="1" applyFill="1" applyAlignment="1">
      <alignment horizontal="left" vertical="top" wrapText="1"/>
    </xf>
    <xf numFmtId="0" fontId="0" fillId="0" borderId="15" xfId="0" applyFont="1" applyBorder="1" applyAlignment="1">
      <alignment horizontal="left" vertical="top" wrapText="1"/>
    </xf>
    <xf numFmtId="0" fontId="0" fillId="0" borderId="5" xfId="0" applyFont="1" applyBorder="1" applyAlignment="1">
      <alignment vertical="center" wrapText="1"/>
    </xf>
    <xf numFmtId="0" fontId="0" fillId="7" borderId="0" xfId="0" applyFont="1" applyFill="1" applyAlignment="1">
      <alignment horizontal="left" vertical="center" wrapText="1"/>
    </xf>
    <xf numFmtId="0" fontId="0" fillId="0" borderId="18" xfId="0" applyFont="1" applyBorder="1" applyAlignment="1">
      <alignment horizontal="left" vertical="center" wrapText="1"/>
    </xf>
    <xf numFmtId="0" fontId="0" fillId="0" borderId="18" xfId="0" applyFont="1" applyBorder="1" applyAlignment="1">
      <alignment horizontal="left" vertical="top" wrapText="1"/>
    </xf>
    <xf numFmtId="0" fontId="3" fillId="0" borderId="3" xfId="0" applyFont="1" applyBorder="1" applyAlignment="1">
      <alignment vertical="center" wrapText="1"/>
    </xf>
    <xf numFmtId="0" fontId="0" fillId="0" borderId="10" xfId="0" applyFont="1" applyBorder="1" applyAlignment="1">
      <alignment horizontal="right" vertical="top" wrapText="1"/>
    </xf>
    <xf numFmtId="0" fontId="3" fillId="3" borderId="0" xfId="0" applyFont="1" applyFill="1" applyAlignment="1">
      <alignment wrapText="1"/>
    </xf>
    <xf numFmtId="0" fontId="0" fillId="6" borderId="3" xfId="0" applyFont="1" applyFill="1" applyBorder="1" applyAlignment="1">
      <alignment vertical="center" wrapText="1"/>
    </xf>
    <xf numFmtId="0" fontId="0" fillId="6" borderId="8" xfId="0" applyFont="1" applyFill="1" applyBorder="1" applyAlignment="1">
      <alignment vertical="center" wrapText="1"/>
    </xf>
    <xf numFmtId="0" fontId="0" fillId="7" borderId="0" xfId="0" applyFont="1" applyFill="1" applyAlignment="1">
      <alignment horizontal="left" vertical="center" wrapText="1"/>
    </xf>
    <xf numFmtId="9" fontId="3" fillId="0" borderId="3" xfId="0" applyNumberFormat="1" applyFont="1" applyBorder="1" applyAlignment="1">
      <alignment wrapText="1"/>
    </xf>
    <xf numFmtId="0" fontId="0" fillId="0" borderId="8" xfId="0" applyFont="1" applyBorder="1" applyAlignment="1">
      <alignment horizontal="left" vertical="center" wrapText="1"/>
    </xf>
    <xf numFmtId="0" fontId="0" fillId="0" borderId="10" xfId="0" applyFont="1" applyBorder="1" applyAlignment="1">
      <alignment horizontal="right" vertical="top" wrapText="1"/>
    </xf>
    <xf numFmtId="0" fontId="0" fillId="0" borderId="14" xfId="0" applyFont="1" applyBorder="1" applyAlignment="1">
      <alignment horizontal="left" vertical="center" wrapText="1"/>
    </xf>
    <xf numFmtId="0" fontId="3" fillId="0" borderId="3" xfId="0" applyFont="1" applyBorder="1" applyAlignment="1">
      <alignment wrapText="1"/>
    </xf>
    <xf numFmtId="0" fontId="0" fillId="0" borderId="21" xfId="0" applyFont="1" applyBorder="1" applyAlignment="1">
      <alignment vertical="center" wrapText="1"/>
    </xf>
    <xf numFmtId="0" fontId="17" fillId="7" borderId="0" xfId="0" applyFont="1" applyFill="1" applyAlignment="1">
      <alignment wrapText="1"/>
    </xf>
    <xf numFmtId="0" fontId="0" fillId="0" borderId="4" xfId="0" applyFont="1" applyBorder="1" applyAlignment="1">
      <alignment horizontal="left" vertical="top" wrapText="1"/>
    </xf>
    <xf numFmtId="0" fontId="0" fillId="0" borderId="4" xfId="0" applyFont="1" applyBorder="1" applyAlignment="1">
      <alignment horizontal="left" vertical="center" wrapText="1"/>
    </xf>
    <xf numFmtId="0" fontId="0" fillId="0" borderId="0" xfId="0" applyFont="1" applyAlignment="1">
      <alignment vertical="center" wrapText="1"/>
    </xf>
    <xf numFmtId="0" fontId="0" fillId="0" borderId="22" xfId="0" applyFont="1" applyBorder="1" applyAlignment="1">
      <alignment vertical="center" wrapText="1"/>
    </xf>
    <xf numFmtId="0" fontId="0" fillId="0" borderId="23" xfId="0" applyFont="1" applyBorder="1" applyAlignment="1">
      <alignment vertical="center" wrapText="1"/>
    </xf>
    <xf numFmtId="0" fontId="3" fillId="3" borderId="4" xfId="0" applyFont="1" applyFill="1" applyBorder="1" applyAlignment="1">
      <alignment wrapText="1"/>
    </xf>
    <xf numFmtId="0" fontId="3" fillId="3" borderId="4" xfId="0" applyFont="1" applyFill="1" applyBorder="1" applyAlignment="1">
      <alignment wrapText="1"/>
    </xf>
    <xf numFmtId="0" fontId="14" fillId="0" borderId="3" xfId="0" applyFont="1" applyBorder="1" applyAlignment="1">
      <alignment horizontal="left" vertical="top" wrapText="1"/>
    </xf>
    <xf numFmtId="0" fontId="0" fillId="0" borderId="21" xfId="0" applyFont="1" applyBorder="1" applyAlignment="1">
      <alignment vertical="center" wrapText="1"/>
    </xf>
    <xf numFmtId="0" fontId="14" fillId="3" borderId="10" xfId="0" applyFont="1" applyFill="1" applyBorder="1" applyAlignment="1">
      <alignment horizontal="left" vertical="top" wrapText="1"/>
    </xf>
    <xf numFmtId="0" fontId="0" fillId="0" borderId="10" xfId="0" applyFont="1" applyBorder="1" applyAlignment="1">
      <alignment wrapText="1"/>
    </xf>
    <xf numFmtId="0" fontId="3" fillId="3" borderId="24" xfId="0" applyFont="1" applyFill="1" applyBorder="1" applyAlignment="1">
      <alignment wrapText="1"/>
    </xf>
    <xf numFmtId="0" fontId="0" fillId="0" borderId="3" xfId="0" applyFont="1" applyBorder="1" applyAlignment="1">
      <alignment vertical="center" wrapText="1"/>
    </xf>
    <xf numFmtId="0" fontId="0" fillId="0" borderId="14" xfId="0" applyFont="1" applyBorder="1" applyAlignment="1">
      <alignment horizontal="left" vertical="center" wrapText="1"/>
    </xf>
    <xf numFmtId="0" fontId="17" fillId="5" borderId="0" xfId="0" applyFont="1" applyFill="1" applyAlignment="1">
      <alignment wrapText="1"/>
    </xf>
    <xf numFmtId="0" fontId="3" fillId="0" borderId="3" xfId="0" applyFont="1" applyBorder="1" applyAlignment="1">
      <alignment vertical="center" wrapText="1"/>
    </xf>
    <xf numFmtId="0" fontId="0" fillId="0" borderId="5" xfId="0" applyFont="1" applyBorder="1" applyAlignment="1">
      <alignment horizontal="left" vertical="center" wrapText="1"/>
    </xf>
    <xf numFmtId="0" fontId="0" fillId="5" borderId="0" xfId="0" applyFont="1" applyFill="1" applyAlignment="1">
      <alignment vertical="center" wrapText="1"/>
    </xf>
    <xf numFmtId="0" fontId="0" fillId="0" borderId="17" xfId="0" applyFont="1" applyBorder="1" applyAlignment="1">
      <alignment vertical="center" wrapText="1"/>
    </xf>
    <xf numFmtId="0" fontId="14" fillId="0" borderId="3" xfId="0" applyFont="1" applyBorder="1" applyAlignment="1">
      <alignment horizontal="left" vertical="top" wrapText="1"/>
    </xf>
    <xf numFmtId="0" fontId="0" fillId="0" borderId="10" xfId="0" applyFont="1" applyBorder="1" applyAlignment="1">
      <alignment horizontal="left" vertical="top" wrapText="1"/>
    </xf>
    <xf numFmtId="0" fontId="0" fillId="0" borderId="16" xfId="0" applyFont="1" applyBorder="1" applyAlignment="1">
      <alignment horizontal="left" vertical="center" wrapText="1"/>
    </xf>
    <xf numFmtId="0" fontId="0" fillId="0" borderId="23" xfId="0" applyFont="1" applyBorder="1" applyAlignment="1">
      <alignment horizontal="left" vertical="top" wrapText="1"/>
    </xf>
    <xf numFmtId="0" fontId="14" fillId="3" borderId="14" xfId="0" applyFont="1" applyFill="1" applyBorder="1" applyAlignment="1">
      <alignment horizontal="left" vertical="top" wrapText="1"/>
    </xf>
    <xf numFmtId="0" fontId="14" fillId="0" borderId="14" xfId="0" applyFont="1" applyBorder="1" applyAlignment="1">
      <alignment horizontal="left" vertical="top" wrapText="1"/>
    </xf>
    <xf numFmtId="0" fontId="0" fillId="0" borderId="5" xfId="0" applyFont="1" applyBorder="1" applyAlignment="1">
      <alignment horizontal="left" vertical="center" wrapText="1"/>
    </xf>
    <xf numFmtId="0" fontId="0" fillId="3" borderId="4" xfId="0" applyFont="1" applyFill="1" applyBorder="1" applyAlignment="1">
      <alignment horizontal="left" vertical="center" wrapText="1"/>
    </xf>
    <xf numFmtId="0" fontId="0" fillId="0" borderId="0" xfId="0" applyFont="1" applyAlignment="1">
      <alignment horizontal="left" vertical="center" wrapText="1"/>
    </xf>
    <xf numFmtId="0" fontId="0" fillId="7" borderId="4" xfId="0" applyFont="1" applyFill="1" applyBorder="1" applyAlignment="1">
      <alignment horizontal="left" vertical="center" wrapText="1"/>
    </xf>
    <xf numFmtId="0" fontId="3" fillId="5" borderId="4" xfId="0" applyFont="1" applyFill="1" applyBorder="1" applyAlignment="1">
      <alignment vertical="center" wrapText="1"/>
    </xf>
    <xf numFmtId="0" fontId="0" fillId="0" borderId="0" xfId="0" applyFont="1" applyAlignment="1">
      <alignment horizontal="left" vertical="top" wrapText="1"/>
    </xf>
    <xf numFmtId="0" fontId="3" fillId="3" borderId="4" xfId="0" applyFont="1" applyFill="1" applyBorder="1" applyAlignment="1">
      <alignment vertical="center" wrapText="1"/>
    </xf>
    <xf numFmtId="0" fontId="3" fillId="7" borderId="4" xfId="0" applyFont="1" applyFill="1" applyBorder="1" applyAlignment="1">
      <alignment vertical="center" wrapText="1"/>
    </xf>
    <xf numFmtId="0" fontId="0" fillId="0" borderId="0" xfId="0" applyFont="1" applyAlignment="1">
      <alignment horizontal="right" vertical="center" wrapText="1"/>
    </xf>
    <xf numFmtId="0" fontId="0" fillId="3" borderId="14" xfId="0" applyFont="1" applyFill="1" applyBorder="1" applyAlignment="1">
      <alignment vertical="center" wrapText="1"/>
    </xf>
    <xf numFmtId="0" fontId="0" fillId="7" borderId="3" xfId="0" applyFont="1" applyFill="1" applyBorder="1" applyAlignment="1">
      <alignment horizontal="left" vertical="center" wrapText="1"/>
    </xf>
    <xf numFmtId="0" fontId="0" fillId="0" borderId="8" xfId="0" applyFont="1" applyBorder="1" applyAlignment="1">
      <alignment horizontal="left" vertical="center" wrapText="1"/>
    </xf>
    <xf numFmtId="0" fontId="3" fillId="7" borderId="0" xfId="0" applyFont="1" applyFill="1" applyAlignment="1">
      <alignment wrapText="1"/>
    </xf>
    <xf numFmtId="0" fontId="0" fillId="0" borderId="19" xfId="0" applyFont="1" applyBorder="1" applyAlignment="1">
      <alignment horizontal="left" vertical="center" wrapText="1"/>
    </xf>
    <xf numFmtId="0" fontId="0" fillId="3" borderId="0" xfId="0" applyFont="1" applyFill="1" applyAlignment="1">
      <alignment horizontal="left" vertical="center" wrapText="1"/>
    </xf>
    <xf numFmtId="0" fontId="0" fillId="7" borderId="4" xfId="0" applyFont="1" applyFill="1" applyBorder="1" applyAlignment="1">
      <alignment horizontal="left" vertical="center" wrapText="1"/>
    </xf>
    <xf numFmtId="0" fontId="0" fillId="0" borderId="11" xfId="0" applyFont="1" applyBorder="1" applyAlignment="1">
      <alignment horizontal="left" vertical="center" wrapText="1"/>
    </xf>
    <xf numFmtId="0" fontId="0" fillId="0" borderId="0" xfId="0" applyFont="1" applyAlignment="1">
      <alignment horizontal="left" vertical="top" wrapText="1"/>
    </xf>
    <xf numFmtId="0" fontId="0" fillId="0" borderId="10" xfId="0" applyFont="1" applyBorder="1" applyAlignment="1">
      <alignment horizontal="left" vertical="top" wrapText="1"/>
    </xf>
    <xf numFmtId="0" fontId="3" fillId="0" borderId="3" xfId="0" applyFont="1" applyBorder="1" applyAlignment="1">
      <alignment wrapText="1"/>
    </xf>
    <xf numFmtId="0" fontId="17" fillId="5" borderId="3" xfId="0" applyFont="1" applyFill="1" applyBorder="1" applyAlignment="1">
      <alignment wrapText="1"/>
    </xf>
    <xf numFmtId="0" fontId="0" fillId="7" borderId="4" xfId="0" applyFont="1" applyFill="1" applyBorder="1" applyAlignment="1">
      <alignment horizontal="left" vertical="top" wrapText="1"/>
    </xf>
    <xf numFmtId="0" fontId="0" fillId="0" borderId="8" xfId="0" applyFont="1" applyBorder="1" applyAlignment="1">
      <alignment wrapText="1"/>
    </xf>
    <xf numFmtId="0" fontId="14" fillId="3" borderId="11" xfId="0" applyFont="1" applyFill="1" applyBorder="1" applyAlignment="1">
      <alignment horizontal="left" vertical="top" wrapText="1"/>
    </xf>
    <xf numFmtId="0" fontId="0" fillId="0" borderId="17" xfId="0" applyFont="1" applyBorder="1" applyAlignment="1">
      <alignment wrapText="1"/>
    </xf>
    <xf numFmtId="0" fontId="9" fillId="5" borderId="18" xfId="0" applyFont="1" applyFill="1" applyBorder="1" applyAlignment="1">
      <alignment horizontal="right" wrapText="1"/>
    </xf>
    <xf numFmtId="0" fontId="0" fillId="0" borderId="18" xfId="0" applyFont="1" applyBorder="1" applyAlignment="1">
      <alignment horizontal="left" vertical="center" wrapText="1"/>
    </xf>
    <xf numFmtId="0" fontId="0" fillId="0" borderId="24" xfId="0" applyFont="1" applyBorder="1" applyAlignment="1">
      <alignment horizontal="left" vertical="center" wrapText="1"/>
    </xf>
    <xf numFmtId="0" fontId="3" fillId="0" borderId="3" xfId="0" applyFont="1" applyBorder="1" applyAlignment="1">
      <alignment wrapText="1"/>
    </xf>
    <xf numFmtId="0" fontId="0" fillId="3" borderId="24" xfId="0" applyFont="1" applyFill="1" applyBorder="1" applyAlignment="1">
      <alignment horizontal="left" vertical="center" wrapText="1"/>
    </xf>
    <xf numFmtId="0" fontId="0" fillId="0" borderId="14" xfId="0" applyFont="1" applyBorder="1" applyAlignment="1">
      <alignment wrapText="1"/>
    </xf>
    <xf numFmtId="0" fontId="0" fillId="7" borderId="8" xfId="0" applyFont="1" applyFill="1" applyBorder="1" applyAlignment="1">
      <alignment horizontal="left" vertical="center" wrapText="1"/>
    </xf>
    <xf numFmtId="0" fontId="0" fillId="3" borderId="4" xfId="0" applyFont="1" applyFill="1" applyBorder="1" applyAlignment="1">
      <alignment horizontal="left" vertical="center" wrapText="1"/>
    </xf>
    <xf numFmtId="0" fontId="0" fillId="0" borderId="15" xfId="0" applyFont="1" applyBorder="1" applyAlignment="1">
      <alignment horizontal="left" vertical="center" wrapText="1"/>
    </xf>
    <xf numFmtId="0" fontId="3" fillId="0" borderId="18" xfId="0" applyFont="1" applyBorder="1" applyAlignment="1">
      <alignment wrapText="1"/>
    </xf>
    <xf numFmtId="0" fontId="0" fillId="5" borderId="3" xfId="0" applyFont="1" applyFill="1" applyBorder="1" applyAlignment="1">
      <alignment horizontal="left" vertical="center" wrapText="1"/>
    </xf>
    <xf numFmtId="0" fontId="0" fillId="5" borderId="5" xfId="0" applyFont="1" applyFill="1" applyBorder="1" applyAlignment="1">
      <alignment horizontal="left" vertical="center" wrapText="1"/>
    </xf>
    <xf numFmtId="0" fontId="14" fillId="3" borderId="8" xfId="0" applyFont="1" applyFill="1" applyBorder="1" applyAlignment="1">
      <alignment horizontal="left" vertical="top" wrapText="1"/>
    </xf>
    <xf numFmtId="0" fontId="3" fillId="7" borderId="26" xfId="0" applyFont="1" applyFill="1" applyBorder="1" applyAlignment="1">
      <alignment wrapText="1"/>
    </xf>
    <xf numFmtId="0" fontId="0" fillId="7" borderId="26" xfId="0" applyFont="1" applyFill="1" applyBorder="1" applyAlignment="1">
      <alignment horizontal="left" vertical="center" wrapText="1"/>
    </xf>
    <xf numFmtId="0" fontId="0" fillId="0" borderId="10" xfId="0" applyFont="1" applyBorder="1" applyAlignment="1">
      <alignment horizontal="left" vertical="center" wrapText="1"/>
    </xf>
    <xf numFmtId="0" fontId="3" fillId="7" borderId="26" xfId="0" applyFont="1" applyFill="1" applyBorder="1" applyAlignment="1">
      <alignment wrapText="1"/>
    </xf>
    <xf numFmtId="0" fontId="0" fillId="0" borderId="27" xfId="0" applyFont="1" applyBorder="1" applyAlignment="1">
      <alignment vertical="center" wrapText="1"/>
    </xf>
    <xf numFmtId="0" fontId="0" fillId="0" borderId="28" xfId="0" applyFont="1" applyBorder="1" applyAlignment="1">
      <alignment vertical="center" wrapText="1"/>
    </xf>
    <xf numFmtId="0" fontId="14" fillId="3" borderId="11" xfId="0" applyFont="1" applyFill="1" applyBorder="1" applyAlignment="1">
      <alignment horizontal="left" vertical="top" wrapText="1"/>
    </xf>
    <xf numFmtId="0" fontId="0" fillId="3" borderId="0" xfId="0" applyFont="1" applyFill="1" applyAlignment="1">
      <alignment horizontal="left" vertical="center" wrapText="1"/>
    </xf>
    <xf numFmtId="0" fontId="0" fillId="3" borderId="26" xfId="0" applyFont="1" applyFill="1" applyBorder="1" applyAlignment="1">
      <alignment horizontal="left" vertical="center" wrapText="1"/>
    </xf>
    <xf numFmtId="0" fontId="0" fillId="9" borderId="0" xfId="0" applyFont="1" applyFill="1" applyBorder="1" applyAlignment="1">
      <alignment vertical="center" wrapText="1"/>
    </xf>
    <xf numFmtId="0" fontId="0" fillId="0" borderId="19" xfId="0" applyFont="1" applyBorder="1" applyAlignment="1">
      <alignment horizontal="left" vertical="top" wrapText="1"/>
    </xf>
    <xf numFmtId="0" fontId="0" fillId="3" borderId="11" xfId="0" applyFont="1" applyFill="1" applyBorder="1" applyAlignment="1">
      <alignment wrapText="1"/>
    </xf>
    <xf numFmtId="0" fontId="0" fillId="9" borderId="17" xfId="0" applyFont="1" applyFill="1" applyBorder="1" applyAlignment="1">
      <alignment vertical="center" wrapText="1"/>
    </xf>
    <xf numFmtId="0" fontId="0" fillId="9" borderId="3" xfId="0" applyFont="1" applyFill="1" applyBorder="1" applyAlignment="1">
      <alignment vertical="center" wrapText="1"/>
    </xf>
    <xf numFmtId="0" fontId="0" fillId="9" borderId="0" xfId="0" applyFont="1" applyFill="1" applyAlignment="1">
      <alignment vertical="center" wrapText="1"/>
    </xf>
    <xf numFmtId="0" fontId="0" fillId="9" borderId="19" xfId="0" applyFont="1" applyFill="1" applyBorder="1" applyAlignment="1">
      <alignment vertical="center" wrapText="1"/>
    </xf>
    <xf numFmtId="0" fontId="0" fillId="0" borderId="19" xfId="0" applyFont="1" applyBorder="1" applyAlignment="1">
      <alignment horizontal="left" vertical="center" wrapText="1"/>
    </xf>
    <xf numFmtId="0" fontId="14" fillId="3" borderId="19" xfId="0" applyFont="1" applyFill="1" applyBorder="1" applyAlignment="1">
      <alignment horizontal="left" vertical="top" wrapText="1"/>
    </xf>
    <xf numFmtId="0" fontId="0" fillId="5" borderId="3" xfId="0" applyFont="1" applyFill="1" applyBorder="1" applyAlignment="1">
      <alignment vertical="center" wrapText="1"/>
    </xf>
    <xf numFmtId="0" fontId="0" fillId="9" borderId="19" xfId="0" applyFont="1" applyFill="1" applyBorder="1" applyAlignment="1">
      <alignment vertical="center" wrapText="1"/>
    </xf>
    <xf numFmtId="0" fontId="0" fillId="9" borderId="8" xfId="0" applyFont="1" applyFill="1" applyBorder="1" applyAlignment="1">
      <alignment vertical="center" wrapText="1"/>
    </xf>
    <xf numFmtId="0" fontId="0" fillId="0" borderId="16" xfId="0" applyFont="1" applyBorder="1" applyAlignment="1">
      <alignment horizontal="left" vertical="center" wrapText="1"/>
    </xf>
    <xf numFmtId="0" fontId="3" fillId="10" borderId="0" xfId="0" applyFont="1" applyFill="1" applyAlignment="1">
      <alignment wrapText="1"/>
    </xf>
    <xf numFmtId="0" fontId="0" fillId="7" borderId="0" xfId="0" applyFont="1" applyFill="1" applyAlignment="1">
      <alignment wrapText="1"/>
    </xf>
    <xf numFmtId="0" fontId="0" fillId="0" borderId="0" xfId="0" applyFont="1" applyAlignment="1">
      <alignment wrapText="1"/>
    </xf>
    <xf numFmtId="9" fontId="0" fillId="0" borderId="0" xfId="0" applyNumberFormat="1" applyFont="1" applyAlignment="1">
      <alignment wrapText="1"/>
    </xf>
    <xf numFmtId="9" fontId="3" fillId="0" borderId="0" xfId="0" applyNumberFormat="1" applyFont="1" applyAlignment="1">
      <alignment wrapText="1"/>
    </xf>
    <xf numFmtId="0" fontId="0" fillId="0" borderId="29" xfId="0" applyFont="1" applyBorder="1" applyAlignment="1">
      <alignment horizontal="left" vertical="top" wrapText="1"/>
    </xf>
    <xf numFmtId="0" fontId="0" fillId="0" borderId="11" xfId="0" applyFont="1" applyBorder="1" applyAlignment="1">
      <alignment horizontal="left" vertical="center" wrapText="1"/>
    </xf>
    <xf numFmtId="0" fontId="3" fillId="7" borderId="4" xfId="0" applyFont="1" applyFill="1" applyBorder="1" applyAlignment="1">
      <alignment wrapText="1"/>
    </xf>
    <xf numFmtId="0" fontId="0" fillId="0" borderId="23" xfId="0" applyFont="1" applyBorder="1" applyAlignment="1">
      <alignment horizontal="left" vertical="top" wrapText="1"/>
    </xf>
    <xf numFmtId="0" fontId="0" fillId="3" borderId="10" xfId="0" applyFont="1" applyFill="1" applyBorder="1" applyAlignment="1">
      <alignment horizontal="left" vertical="center" wrapText="1"/>
    </xf>
    <xf numFmtId="0" fontId="0" fillId="0" borderId="0" xfId="0" applyFont="1" applyAlignment="1">
      <alignment horizontal="left" vertical="center" wrapText="1"/>
    </xf>
    <xf numFmtId="0" fontId="0" fillId="9" borderId="19" xfId="0" applyFont="1" applyFill="1" applyBorder="1" applyAlignment="1">
      <alignment vertical="center" wrapText="1"/>
    </xf>
    <xf numFmtId="0" fontId="0" fillId="9" borderId="10" xfId="0" applyFont="1" applyFill="1" applyBorder="1" applyAlignment="1">
      <alignment vertical="center" wrapText="1"/>
    </xf>
    <xf numFmtId="0" fontId="0" fillId="9" borderId="19" xfId="0" applyFont="1" applyFill="1" applyBorder="1" applyAlignment="1">
      <alignment vertical="center" wrapText="1"/>
    </xf>
    <xf numFmtId="0" fontId="0" fillId="9" borderId="10" xfId="0" applyFont="1" applyFill="1" applyBorder="1" applyAlignment="1">
      <alignment vertical="center" wrapText="1"/>
    </xf>
    <xf numFmtId="0" fontId="19" fillId="7" borderId="0" xfId="0" applyFont="1" applyFill="1" applyBorder="1" applyAlignment="1">
      <alignment wrapText="1"/>
    </xf>
    <xf numFmtId="0" fontId="19" fillId="5" borderId="0" xfId="0" applyFont="1" applyFill="1" applyBorder="1" applyAlignment="1">
      <alignment wrapText="1"/>
    </xf>
    <xf numFmtId="0" fontId="0" fillId="0" borderId="4" xfId="0" applyFont="1" applyBorder="1" applyAlignment="1">
      <alignment horizontal="left" vertical="center" wrapText="1"/>
    </xf>
    <xf numFmtId="0" fontId="0" fillId="0" borderId="15" xfId="0" applyFont="1" applyBorder="1" applyAlignment="1">
      <alignment horizontal="left" vertical="center" wrapText="1"/>
    </xf>
    <xf numFmtId="0" fontId="15" fillId="7" borderId="3" xfId="0" applyFont="1" applyFill="1" applyBorder="1" applyAlignment="1">
      <alignment wrapText="1"/>
    </xf>
    <xf numFmtId="0" fontId="0" fillId="0" borderId="3" xfId="0" applyFont="1" applyBorder="1" applyAlignment="1">
      <alignment horizontal="left" vertical="center" wrapText="1"/>
    </xf>
    <xf numFmtId="0" fontId="17" fillId="5" borderId="0" xfId="0" applyFont="1" applyFill="1" applyAlignment="1">
      <alignment wrapText="1"/>
    </xf>
    <xf numFmtId="0" fontId="0" fillId="0" borderId="0" xfId="0" applyFont="1" applyAlignment="1">
      <alignment horizontal="right" vertical="top" wrapText="1"/>
    </xf>
    <xf numFmtId="0" fontId="0" fillId="3" borderId="24" xfId="0" applyFont="1" applyFill="1" applyBorder="1" applyAlignment="1">
      <alignment horizontal="left" vertical="center" wrapText="1"/>
    </xf>
    <xf numFmtId="0" fontId="19" fillId="5" borderId="0" xfId="0" applyFont="1" applyFill="1" applyAlignment="1">
      <alignment wrapText="1"/>
    </xf>
    <xf numFmtId="0" fontId="19" fillId="7" borderId="0" xfId="0" applyFont="1" applyFill="1" applyAlignment="1">
      <alignment wrapText="1"/>
    </xf>
    <xf numFmtId="0" fontId="15" fillId="0" borderId="3" xfId="0" applyFont="1" applyBorder="1" applyAlignment="1">
      <alignment wrapText="1"/>
    </xf>
    <xf numFmtId="0" fontId="0" fillId="0" borderId="3" xfId="0" applyFont="1" applyBorder="1" applyAlignment="1">
      <alignment wrapText="1"/>
    </xf>
    <xf numFmtId="0" fontId="0" fillId="0" borderId="10" xfId="0" applyFont="1" applyBorder="1" applyAlignment="1">
      <alignment horizontal="left" vertical="center" wrapText="1"/>
    </xf>
    <xf numFmtId="0" fontId="19" fillId="5" borderId="3" xfId="0" applyFont="1" applyFill="1" applyBorder="1" applyAlignment="1">
      <alignment horizontal="left" vertical="center" wrapText="1"/>
    </xf>
    <xf numFmtId="0" fontId="19" fillId="3" borderId="0" xfId="0" applyFont="1" applyFill="1" applyAlignment="1">
      <alignment horizontal="left" wrapText="1"/>
    </xf>
    <xf numFmtId="0" fontId="19" fillId="7" borderId="4" xfId="0" applyFont="1" applyFill="1" applyBorder="1" applyAlignment="1">
      <alignment horizontal="left" wrapText="1"/>
    </xf>
    <xf numFmtId="0" fontId="19" fillId="7" borderId="0" xfId="0" applyFont="1" applyFill="1" applyAlignment="1">
      <alignment horizontal="left" wrapText="1"/>
    </xf>
    <xf numFmtId="0" fontId="14" fillId="3" borderId="0" xfId="0" applyFont="1" applyFill="1" applyAlignment="1">
      <alignment horizontal="left" vertical="top" wrapText="1"/>
    </xf>
    <xf numFmtId="0" fontId="0" fillId="0" borderId="4" xfId="0" applyFont="1" applyBorder="1" applyAlignment="1">
      <alignment vertical="center" wrapText="1"/>
    </xf>
    <xf numFmtId="0" fontId="15" fillId="7" borderId="18" xfId="0" applyFont="1" applyFill="1" applyBorder="1" applyAlignment="1">
      <alignment wrapText="1"/>
    </xf>
    <xf numFmtId="0" fontId="15" fillId="7" borderId="24" xfId="0" applyFont="1" applyFill="1" applyBorder="1" applyAlignment="1">
      <alignment wrapText="1"/>
    </xf>
    <xf numFmtId="0" fontId="15" fillId="7" borderId="4" xfId="0" applyFont="1" applyFill="1" applyBorder="1" applyAlignment="1">
      <alignment wrapText="1"/>
    </xf>
    <xf numFmtId="0" fontId="15" fillId="7" borderId="16" xfId="0" applyFont="1" applyFill="1" applyBorder="1" applyAlignment="1">
      <alignment wrapText="1"/>
    </xf>
    <xf numFmtId="0" fontId="0" fillId="0" borderId="29" xfId="0" applyFont="1" applyBorder="1" applyAlignment="1">
      <alignment vertical="top" wrapText="1"/>
    </xf>
    <xf numFmtId="0" fontId="0" fillId="0" borderId="10" xfId="0" applyFont="1" applyBorder="1" applyAlignment="1">
      <alignment vertical="top" wrapText="1"/>
    </xf>
    <xf numFmtId="0" fontId="0" fillId="0" borderId="23" xfId="0" applyFont="1" applyBorder="1" applyAlignment="1">
      <alignment vertical="top" wrapText="1"/>
    </xf>
    <xf numFmtId="0" fontId="0" fillId="0" borderId="10" xfId="0" applyFont="1" applyBorder="1" applyAlignment="1">
      <alignment vertical="top" wrapText="1"/>
    </xf>
    <xf numFmtId="0" fontId="0" fillId="0" borderId="21" xfId="0" applyFont="1" applyBorder="1" applyAlignment="1">
      <alignment horizontal="left" vertical="center" wrapText="1"/>
    </xf>
    <xf numFmtId="0" fontId="14" fillId="3" borderId="11" xfId="0" applyFont="1" applyFill="1" applyBorder="1" applyAlignment="1">
      <alignment horizontal="left" vertical="top" wrapText="1"/>
    </xf>
    <xf numFmtId="0" fontId="14" fillId="3" borderId="21" xfId="0" applyFont="1" applyFill="1" applyBorder="1" applyAlignment="1">
      <alignment horizontal="left" vertical="top" wrapText="1"/>
    </xf>
    <xf numFmtId="0" fontId="14" fillId="0" borderId="21" xfId="0" applyFont="1" applyBorder="1" applyAlignment="1">
      <alignment vertical="top" wrapText="1"/>
    </xf>
    <xf numFmtId="0" fontId="7" fillId="0" borderId="3" xfId="0" applyFont="1" applyBorder="1" applyAlignment="1">
      <alignment horizontal="left" vertical="center" wrapText="1"/>
    </xf>
    <xf numFmtId="0" fontId="21" fillId="0" borderId="4" xfId="0" applyFont="1" applyBorder="1" applyAlignment="1">
      <alignment horizontal="left" wrapText="1"/>
    </xf>
    <xf numFmtId="0" fontId="21" fillId="0" borderId="0" xfId="0" applyFont="1" applyAlignment="1">
      <alignment horizontal="left" wrapText="1"/>
    </xf>
    <xf numFmtId="0" fontId="8" fillId="7" borderId="3" xfId="0" applyFont="1" applyFill="1" applyBorder="1" applyAlignment="1">
      <alignment horizontal="center" vertical="center" wrapText="1"/>
    </xf>
    <xf numFmtId="0" fontId="14" fillId="0" borderId="11" xfId="0" applyFont="1" applyBorder="1" applyAlignment="1">
      <alignment vertical="top" wrapText="1"/>
    </xf>
    <xf numFmtId="0" fontId="14" fillId="3" borderId="14" xfId="0" applyFont="1" applyFill="1" applyBorder="1" applyAlignment="1">
      <alignment horizontal="left" vertical="top" wrapText="1"/>
    </xf>
    <xf numFmtId="0" fontId="0" fillId="0" borderId="30" xfId="0" applyFont="1" applyBorder="1" applyAlignment="1">
      <alignment horizontal="left" vertical="top" wrapText="1"/>
    </xf>
    <xf numFmtId="0" fontId="14" fillId="0" borderId="14" xfId="0" applyFont="1" applyBorder="1" applyAlignment="1">
      <alignment vertical="top" wrapText="1"/>
    </xf>
    <xf numFmtId="0" fontId="0" fillId="7" borderId="8" xfId="0" applyFont="1" applyFill="1" applyBorder="1" applyAlignment="1">
      <alignment vertical="top" wrapText="1"/>
    </xf>
    <xf numFmtId="0" fontId="0" fillId="9" borderId="4" xfId="0" applyFont="1" applyFill="1" applyBorder="1" applyAlignment="1">
      <alignment vertical="center" wrapText="1"/>
    </xf>
    <xf numFmtId="0" fontId="0" fillId="0" borderId="27" xfId="0" applyFont="1" applyBorder="1" applyAlignment="1">
      <alignment horizontal="left" vertical="center" wrapText="1"/>
    </xf>
    <xf numFmtId="0" fontId="0" fillId="0" borderId="25" xfId="0" applyFont="1" applyBorder="1" applyAlignment="1">
      <alignment horizontal="left" vertical="top" wrapText="1"/>
    </xf>
    <xf numFmtId="0" fontId="0" fillId="0" borderId="8" xfId="0" applyFont="1" applyBorder="1" applyAlignment="1">
      <alignment horizontal="left" vertical="top" wrapText="1"/>
    </xf>
    <xf numFmtId="0" fontId="3" fillId="7" borderId="0" xfId="0" applyFont="1" applyFill="1" applyAlignment="1">
      <alignment vertical="center" wrapText="1"/>
    </xf>
    <xf numFmtId="0" fontId="0" fillId="0" borderId="26" xfId="0" applyFont="1" applyBorder="1" applyAlignment="1">
      <alignment wrapText="1"/>
    </xf>
    <xf numFmtId="0" fontId="15" fillId="0" borderId="0" xfId="0" applyFont="1" applyAlignment="1">
      <alignment wrapText="1"/>
    </xf>
    <xf numFmtId="0" fontId="3" fillId="0" borderId="14" xfId="0" applyFont="1" applyBorder="1" applyAlignment="1">
      <alignment wrapText="1"/>
    </xf>
    <xf numFmtId="0" fontId="14" fillId="0" borderId="11" xfId="0" applyFont="1" applyBorder="1" applyAlignment="1">
      <alignment horizontal="left" vertical="top" wrapText="1"/>
    </xf>
    <xf numFmtId="0" fontId="0" fillId="7" borderId="24" xfId="0" applyFont="1" applyFill="1" applyBorder="1" applyAlignment="1">
      <alignment horizontal="left" vertical="center" wrapText="1"/>
    </xf>
    <xf numFmtId="0" fontId="0" fillId="0" borderId="18" xfId="0" applyFont="1" applyBorder="1" applyAlignment="1">
      <alignment horizontal="left" vertical="top" wrapText="1"/>
    </xf>
    <xf numFmtId="0" fontId="0" fillId="0" borderId="24" xfId="0" applyFont="1" applyBorder="1" applyAlignment="1">
      <alignment horizontal="left" vertical="top" wrapText="1"/>
    </xf>
    <xf numFmtId="0" fontId="0" fillId="0" borderId="26" xfId="0" applyFont="1" applyBorder="1" applyAlignment="1">
      <alignment horizontal="left" vertical="center" wrapText="1"/>
    </xf>
    <xf numFmtId="0" fontId="0" fillId="0" borderId="17" xfId="0" applyFont="1" applyBorder="1" applyAlignment="1">
      <alignment horizontal="left" vertical="center" wrapText="1"/>
    </xf>
    <xf numFmtId="0" fontId="0" fillId="0" borderId="17" xfId="0" applyFont="1" applyBorder="1" applyAlignment="1">
      <alignment horizontal="left" vertical="center" wrapText="1"/>
    </xf>
    <xf numFmtId="0" fontId="0" fillId="0" borderId="26" xfId="0" applyFont="1" applyBorder="1" applyAlignment="1">
      <alignment horizontal="left" vertical="center" wrapText="1"/>
    </xf>
    <xf numFmtId="0" fontId="0" fillId="0" borderId="21" xfId="0" applyFont="1" applyBorder="1" applyAlignment="1">
      <alignment horizontal="left" vertical="center" wrapText="1"/>
    </xf>
    <xf numFmtId="0" fontId="14" fillId="0" borderId="23" xfId="0" applyFont="1" applyBorder="1" applyAlignment="1">
      <alignment vertical="top" wrapText="1"/>
    </xf>
    <xf numFmtId="0" fontId="0" fillId="0" borderId="22" xfId="0" applyFont="1" applyBorder="1" applyAlignment="1">
      <alignment vertical="center" wrapText="1"/>
    </xf>
    <xf numFmtId="0" fontId="15" fillId="0" borderId="14" xfId="0" applyFont="1" applyBorder="1" applyAlignment="1">
      <alignment wrapText="1"/>
    </xf>
    <xf numFmtId="0" fontId="0" fillId="0" borderId="14" xfId="0" applyFont="1" applyBorder="1" applyAlignment="1">
      <alignment wrapText="1"/>
    </xf>
    <xf numFmtId="0" fontId="0" fillId="3" borderId="5" xfId="0" applyFont="1" applyFill="1" applyBorder="1" applyAlignment="1">
      <alignment vertical="center" wrapText="1"/>
    </xf>
    <xf numFmtId="0" fontId="0" fillId="3" borderId="4" xfId="0" applyFont="1" applyFill="1" applyBorder="1" applyAlignment="1">
      <alignment vertical="center" wrapText="1"/>
    </xf>
    <xf numFmtId="0" fontId="0" fillId="0" borderId="17" xfId="0" applyFont="1" applyBorder="1" applyAlignment="1">
      <alignment vertical="center" wrapText="1"/>
    </xf>
    <xf numFmtId="0" fontId="0" fillId="0" borderId="20" xfId="0" applyFont="1" applyBorder="1" applyAlignment="1">
      <alignment horizontal="left" vertical="center" wrapText="1"/>
    </xf>
    <xf numFmtId="0" fontId="0" fillId="0" borderId="31" xfId="0" applyFont="1" applyBorder="1" applyAlignment="1">
      <alignment horizontal="left" vertical="top" wrapText="1"/>
    </xf>
    <xf numFmtId="0" fontId="19" fillId="0" borderId="16" xfId="0" applyFont="1" applyBorder="1" applyAlignment="1">
      <alignment horizontal="left" vertical="top" wrapText="1"/>
    </xf>
    <xf numFmtId="0" fontId="19" fillId="0" borderId="15" xfId="0" applyFont="1" applyBorder="1" applyAlignment="1">
      <alignment horizontal="left" vertical="top" wrapText="1"/>
    </xf>
    <xf numFmtId="0" fontId="14" fillId="3" borderId="20" xfId="0" applyFont="1" applyFill="1" applyBorder="1" applyAlignment="1">
      <alignment horizontal="left" vertical="top" wrapText="1"/>
    </xf>
    <xf numFmtId="0" fontId="0" fillId="0" borderId="24" xfId="0" applyFont="1" applyBorder="1" applyAlignment="1">
      <alignment horizontal="left" vertical="center" wrapText="1"/>
    </xf>
    <xf numFmtId="0" fontId="0" fillId="0" borderId="16" xfId="0" applyFont="1" applyBorder="1" applyAlignment="1">
      <alignment vertical="center" wrapText="1"/>
    </xf>
    <xf numFmtId="0" fontId="0" fillId="9" borderId="19" xfId="0" applyFont="1" applyFill="1" applyBorder="1" applyAlignment="1">
      <alignment vertical="center" wrapText="1"/>
    </xf>
    <xf numFmtId="0" fontId="0" fillId="9" borderId="10" xfId="0" applyFont="1" applyFill="1" applyBorder="1" applyAlignment="1">
      <alignment vertical="center" wrapText="1"/>
    </xf>
    <xf numFmtId="0" fontId="0" fillId="0" borderId="32" xfId="0" applyFont="1" applyBorder="1" applyAlignment="1">
      <alignment horizontal="left" vertical="center" wrapText="1"/>
    </xf>
    <xf numFmtId="0" fontId="0" fillId="0" borderId="27" xfId="0" applyFont="1" applyBorder="1" applyAlignment="1">
      <alignment vertical="center" wrapText="1"/>
    </xf>
    <xf numFmtId="0" fontId="14" fillId="3" borderId="25" xfId="0" applyFont="1" applyFill="1" applyBorder="1" applyAlignment="1">
      <alignment horizontal="left" vertical="top" wrapText="1"/>
    </xf>
    <xf numFmtId="0" fontId="14" fillId="0" borderId="25" xfId="0" applyFont="1" applyBorder="1" applyAlignment="1">
      <alignment vertical="top" wrapText="1"/>
    </xf>
    <xf numFmtId="0" fontId="0" fillId="0" borderId="14" xfId="0" applyFont="1" applyBorder="1" applyAlignment="1">
      <alignment horizontal="left" vertical="center" wrapText="1"/>
    </xf>
    <xf numFmtId="0" fontId="0" fillId="0" borderId="27" xfId="0" applyFont="1" applyBorder="1" applyAlignment="1">
      <alignment vertical="center" wrapText="1"/>
    </xf>
    <xf numFmtId="0" fontId="0" fillId="0" borderId="19" xfId="0" applyFont="1" applyBorder="1" applyAlignment="1">
      <alignment vertical="center" wrapText="1"/>
    </xf>
    <xf numFmtId="0" fontId="0" fillId="0" borderId="17" xfId="0" applyFont="1" applyBorder="1" applyAlignment="1">
      <alignment vertical="center" wrapText="1"/>
    </xf>
    <xf numFmtId="0" fontId="0" fillId="0" borderId="11" xfId="0" applyFont="1" applyBorder="1" applyAlignment="1">
      <alignment horizontal="left" vertical="center" wrapText="1"/>
    </xf>
    <xf numFmtId="0" fontId="3" fillId="0" borderId="0" xfId="0" applyFont="1" applyAlignment="1">
      <alignment vertical="center" wrapText="1"/>
    </xf>
    <xf numFmtId="0" fontId="0" fillId="0" borderId="3" xfId="0" applyFont="1" applyBorder="1" applyAlignment="1">
      <alignment vertical="center" wrapText="1"/>
    </xf>
    <xf numFmtId="0" fontId="0" fillId="0" borderId="14" xfId="0" applyFont="1" applyBorder="1" applyAlignment="1">
      <alignment vertical="center" wrapText="1"/>
    </xf>
    <xf numFmtId="0" fontId="0" fillId="0" borderId="33" xfId="0" applyFont="1" applyBorder="1" applyAlignment="1">
      <alignment horizontal="left" vertical="center" wrapText="1"/>
    </xf>
    <xf numFmtId="0" fontId="0" fillId="0" borderId="14" xfId="0" applyFont="1" applyBorder="1" applyAlignment="1">
      <alignment horizontal="left" vertical="top" wrapText="1"/>
    </xf>
    <xf numFmtId="0" fontId="0" fillId="0" borderId="28" xfId="0" applyFont="1" applyBorder="1" applyAlignment="1">
      <alignment horizontal="left" vertical="center" wrapText="1"/>
    </xf>
    <xf numFmtId="0" fontId="0" fillId="5" borderId="3" xfId="0" applyFont="1" applyFill="1" applyBorder="1" applyAlignment="1">
      <alignment horizontal="left" vertical="top" wrapText="1"/>
    </xf>
    <xf numFmtId="0" fontId="17" fillId="5" borderId="0" xfId="0" applyFont="1" applyFill="1" applyAlignment="1">
      <alignment horizontal="right" wrapText="1"/>
    </xf>
    <xf numFmtId="0" fontId="0" fillId="0" borderId="18" xfId="0" applyFont="1" applyBorder="1" applyAlignment="1">
      <alignment vertical="center" wrapText="1"/>
    </xf>
    <xf numFmtId="0" fontId="0" fillId="0" borderId="24" xfId="0" applyFont="1" applyBorder="1" applyAlignment="1">
      <alignment vertical="center" wrapText="1"/>
    </xf>
    <xf numFmtId="0" fontId="0" fillId="7" borderId="0" xfId="0" applyFont="1" applyFill="1" applyAlignment="1">
      <alignment vertical="center" wrapText="1"/>
    </xf>
    <xf numFmtId="0" fontId="0" fillId="7" borderId="24" xfId="0" applyFont="1" applyFill="1" applyBorder="1" applyAlignment="1">
      <alignment horizontal="left" vertical="center" wrapText="1"/>
    </xf>
    <xf numFmtId="0" fontId="0" fillId="7" borderId="16" xfId="0" applyFont="1" applyFill="1" applyBorder="1" applyAlignment="1">
      <alignment horizontal="left" vertical="center" wrapText="1"/>
    </xf>
    <xf numFmtId="0" fontId="14" fillId="0" borderId="25" xfId="0" applyFont="1" applyBorder="1" applyAlignment="1">
      <alignment horizontal="left" vertical="top" wrapText="1"/>
    </xf>
    <xf numFmtId="0" fontId="9" fillId="5" borderId="10" xfId="0" applyFont="1" applyFill="1" applyBorder="1" applyAlignment="1">
      <alignment horizontal="right" wrapText="1"/>
    </xf>
    <xf numFmtId="0" fontId="0" fillId="3" borderId="5" xfId="0" applyFont="1" applyFill="1" applyBorder="1" applyAlignment="1">
      <alignment horizontal="left" vertical="center" wrapText="1"/>
    </xf>
    <xf numFmtId="0" fontId="9" fillId="5" borderId="0" xfId="0" applyFont="1" applyFill="1" applyAlignment="1">
      <alignment horizontal="right" wrapText="1"/>
    </xf>
    <xf numFmtId="0" fontId="0" fillId="3" borderId="15" xfId="0" applyFont="1" applyFill="1" applyBorder="1" applyAlignment="1">
      <alignment horizontal="left" vertical="center" wrapText="1"/>
    </xf>
    <xf numFmtId="0" fontId="0" fillId="3" borderId="21" xfId="0" applyFont="1" applyFill="1" applyBorder="1" applyAlignment="1">
      <alignment vertical="center" wrapText="1"/>
    </xf>
    <xf numFmtId="0" fontId="0" fillId="0" borderId="0" xfId="0" applyFont="1" applyAlignment="1">
      <alignment vertical="top" wrapText="1"/>
    </xf>
    <xf numFmtId="0" fontId="14" fillId="3" borderId="25" xfId="0" applyFont="1" applyFill="1" applyBorder="1" applyAlignment="1">
      <alignment horizontal="left" vertical="top" wrapText="1"/>
    </xf>
    <xf numFmtId="0" fontId="14" fillId="0" borderId="20" xfId="0" applyFont="1" applyBorder="1" applyAlignment="1">
      <alignment vertical="top" wrapText="1"/>
    </xf>
    <xf numFmtId="0" fontId="0" fillId="0" borderId="26" xfId="0" applyFont="1" applyBorder="1" applyAlignment="1">
      <alignment vertical="center" wrapText="1"/>
    </xf>
    <xf numFmtId="0" fontId="0" fillId="7" borderId="10" xfId="0" applyFont="1" applyFill="1" applyBorder="1" applyAlignment="1">
      <alignment vertical="center" wrapText="1"/>
    </xf>
    <xf numFmtId="0" fontId="14" fillId="0" borderId="34" xfId="0" applyFont="1" applyBorder="1" applyAlignment="1">
      <alignment horizontal="left" vertical="top" wrapText="1"/>
    </xf>
    <xf numFmtId="0" fontId="0" fillId="0" borderId="3" xfId="0" applyFont="1" applyBorder="1" applyAlignment="1">
      <alignment wrapText="1"/>
    </xf>
    <xf numFmtId="0" fontId="0" fillId="0" borderId="3" xfId="0" applyFont="1" applyBorder="1" applyAlignment="1">
      <alignment vertical="center" wrapText="1"/>
    </xf>
    <xf numFmtId="0" fontId="0" fillId="3" borderId="18" xfId="0" applyFont="1" applyFill="1" applyBorder="1" applyAlignment="1">
      <alignment horizontal="left" vertical="center" wrapText="1"/>
    </xf>
    <xf numFmtId="0" fontId="0" fillId="7" borderId="26" xfId="0" applyFont="1" applyFill="1" applyBorder="1" applyAlignment="1">
      <alignment horizontal="left" vertical="center" wrapText="1"/>
    </xf>
    <xf numFmtId="0" fontId="3" fillId="3" borderId="4" xfId="0" applyFont="1" applyFill="1" applyBorder="1" applyAlignment="1">
      <alignment wrapText="1"/>
    </xf>
    <xf numFmtId="0" fontId="3" fillId="0" borderId="18" xfId="0" applyFont="1" applyBorder="1" applyAlignment="1">
      <alignment vertical="center" wrapText="1"/>
    </xf>
    <xf numFmtId="0" fontId="3" fillId="0" borderId="24" xfId="0" applyFont="1" applyBorder="1" applyAlignment="1">
      <alignment vertical="center" wrapText="1"/>
    </xf>
    <xf numFmtId="0" fontId="3" fillId="7" borderId="24" xfId="0" applyFont="1" applyFill="1" applyBorder="1" applyAlignment="1">
      <alignment vertical="center" wrapText="1"/>
    </xf>
    <xf numFmtId="0" fontId="3" fillId="0" borderId="16" xfId="0" applyFont="1" applyBorder="1" applyAlignment="1">
      <alignment vertical="center" wrapText="1"/>
    </xf>
    <xf numFmtId="0" fontId="0" fillId="0" borderId="32" xfId="0" applyFont="1" applyBorder="1" applyAlignment="1">
      <alignment horizontal="left" vertical="center" wrapText="1"/>
    </xf>
    <xf numFmtId="0" fontId="14" fillId="3" borderId="34" xfId="0" applyFont="1" applyFill="1" applyBorder="1" applyAlignment="1">
      <alignment horizontal="left" vertical="top" wrapText="1"/>
    </xf>
    <xf numFmtId="0" fontId="15" fillId="0" borderId="0" xfId="0" applyFont="1" applyAlignment="1">
      <alignment wrapText="1"/>
    </xf>
    <xf numFmtId="0" fontId="0" fillId="0" borderId="31" xfId="0" applyFont="1" applyBorder="1" applyAlignment="1">
      <alignment horizontal="left" vertical="center" wrapText="1"/>
    </xf>
    <xf numFmtId="0" fontId="14" fillId="0" borderId="34" xfId="0" applyFont="1" applyBorder="1" applyAlignment="1">
      <alignment vertical="top" wrapText="1"/>
    </xf>
    <xf numFmtId="0" fontId="17" fillId="5" borderId="0" xfId="0" applyFont="1" applyFill="1" applyAlignment="1">
      <alignment vertical="center" wrapText="1"/>
    </xf>
    <xf numFmtId="0" fontId="14" fillId="0" borderId="32" xfId="0" applyFont="1" applyBorder="1" applyAlignment="1">
      <alignment vertical="top" wrapText="1"/>
    </xf>
    <xf numFmtId="0" fontId="22" fillId="5" borderId="0" xfId="0" applyFont="1" applyFill="1" applyAlignment="1">
      <alignment wrapText="1"/>
    </xf>
    <xf numFmtId="0" fontId="23" fillId="2" borderId="0" xfId="0" applyFont="1" applyFill="1" applyAlignment="1">
      <alignment vertical="center" wrapText="1"/>
    </xf>
    <xf numFmtId="0" fontId="24" fillId="0" borderId="0" xfId="0" applyFont="1" applyAlignment="1">
      <alignment vertical="center" wrapText="1"/>
    </xf>
    <xf numFmtId="0" fontId="3" fillId="0" borderId="1" xfId="0" applyFont="1" applyBorder="1" applyAlignment="1">
      <alignment vertical="top" wrapText="1"/>
    </xf>
    <xf numFmtId="0" fontId="3" fillId="0" borderId="1" xfId="0" applyFont="1" applyBorder="1" applyAlignment="1">
      <alignment wrapText="1"/>
    </xf>
    <xf numFmtId="0" fontId="0" fillId="0" borderId="1" xfId="0" applyFont="1" applyBorder="1" applyAlignment="1">
      <alignment horizontal="left" vertical="top" wrapText="1"/>
    </xf>
    <xf numFmtId="0" fontId="3" fillId="0" borderId="1" xfId="0" applyFont="1" applyBorder="1" applyAlignment="1">
      <alignment vertical="top" wrapText="1"/>
    </xf>
    <xf numFmtId="0" fontId="3" fillId="0" borderId="1" xfId="0" applyFont="1" applyBorder="1" applyAlignment="1">
      <alignment wrapText="1"/>
    </xf>
    <xf numFmtId="0" fontId="0" fillId="0" borderId="2" xfId="0" applyFont="1" applyBorder="1" applyAlignment="1">
      <alignment horizontal="left" vertical="top" wrapText="1"/>
    </xf>
    <xf numFmtId="0" fontId="3" fillId="0" borderId="2" xfId="0" applyFont="1" applyBorder="1" applyAlignment="1">
      <alignment vertical="top" wrapText="1"/>
    </xf>
    <xf numFmtId="0" fontId="3" fillId="0" borderId="2" xfId="0" applyFont="1" applyBorder="1" applyAlignment="1">
      <alignment wrapText="1"/>
    </xf>
    <xf numFmtId="0" fontId="1" fillId="0" borderId="0" xfId="0" applyFont="1" applyAlignment="1">
      <alignment wrapText="1"/>
    </xf>
    <xf numFmtId="0" fontId="0" fillId="0" borderId="2" xfId="0" applyFont="1" applyBorder="1" applyAlignment="1">
      <alignment vertical="top" wrapText="1"/>
    </xf>
    <xf numFmtId="0" fontId="0" fillId="0" borderId="2" xfId="0" applyFont="1" applyBorder="1" applyAlignment="1">
      <alignment horizontal="left" vertical="top" wrapText="1"/>
    </xf>
    <xf numFmtId="0" fontId="0" fillId="0" borderId="2" xfId="0" applyFont="1" applyBorder="1" applyAlignment="1">
      <alignment horizontal="left" vertical="top" wrapText="1"/>
    </xf>
    <xf numFmtId="0" fontId="19" fillId="5" borderId="2" xfId="0" applyFont="1" applyFill="1" applyBorder="1" applyAlignment="1">
      <alignment horizontal="left" vertical="top" wrapText="1"/>
    </xf>
    <xf numFmtId="0" fontId="3" fillId="0" borderId="2" xfId="0" applyFont="1" applyBorder="1" applyAlignment="1">
      <alignment vertical="top" wrapText="1"/>
    </xf>
    <xf numFmtId="0" fontId="25" fillId="5" borderId="2" xfId="0" applyFont="1" applyFill="1" applyBorder="1" applyAlignment="1">
      <alignment horizontal="left" vertical="top" wrapText="1"/>
    </xf>
    <xf numFmtId="0" fontId="3" fillId="5" borderId="2" xfId="0" applyFont="1" applyFill="1" applyBorder="1" applyAlignment="1">
      <alignment vertical="top" wrapText="1"/>
    </xf>
    <xf numFmtId="0" fontId="26" fillId="5" borderId="0" xfId="0" applyFont="1" applyFill="1" applyAlignment="1">
      <alignment wrapText="1"/>
    </xf>
    <xf numFmtId="0" fontId="19" fillId="5" borderId="2" xfId="0" applyFont="1" applyFill="1" applyBorder="1" applyAlignment="1">
      <alignment horizontal="left" vertical="top" wrapText="1"/>
    </xf>
    <xf numFmtId="0" fontId="2" fillId="0" borderId="2" xfId="0" applyFont="1" applyBorder="1" applyAlignment="1">
      <alignment wrapText="1"/>
    </xf>
    <xf numFmtId="0" fontId="3" fillId="0" borderId="2" xfId="0" applyFont="1" applyBorder="1" applyAlignment="1">
      <alignment wrapText="1"/>
    </xf>
    <xf numFmtId="0" fontId="0" fillId="5" borderId="2" xfId="0" applyFont="1" applyFill="1" applyBorder="1" applyAlignment="1">
      <alignment vertical="top" wrapText="1"/>
    </xf>
    <xf numFmtId="0" fontId="0" fillId="0" borderId="35" xfId="0" applyFont="1" applyBorder="1" applyAlignment="1">
      <alignment horizontal="left" vertical="top" wrapText="1"/>
    </xf>
    <xf numFmtId="0" fontId="0" fillId="0" borderId="25" xfId="0" applyFont="1" applyBorder="1" applyAlignment="1">
      <alignment horizontal="left" vertical="center" wrapText="1"/>
    </xf>
    <xf numFmtId="0" fontId="25" fillId="5" borderId="2" xfId="0" applyFont="1" applyFill="1" applyBorder="1" applyAlignment="1">
      <alignment horizontal="left" wrapText="1"/>
    </xf>
    <xf numFmtId="0" fontId="15" fillId="7" borderId="0" xfId="0" applyFont="1" applyFill="1" applyAlignment="1">
      <alignment wrapText="1"/>
    </xf>
    <xf numFmtId="0" fontId="3" fillId="0" borderId="35" xfId="0" applyFont="1" applyBorder="1" applyAlignment="1">
      <alignment vertical="top" wrapText="1"/>
    </xf>
    <xf numFmtId="0" fontId="0" fillId="0" borderId="2" xfId="0" applyFont="1" applyBorder="1" applyAlignment="1">
      <alignment vertical="top" wrapText="1"/>
    </xf>
    <xf numFmtId="0" fontId="27" fillId="0" borderId="2" xfId="0" applyFont="1" applyBorder="1" applyAlignment="1">
      <alignment vertical="top" wrapText="1"/>
    </xf>
    <xf numFmtId="0" fontId="28" fillId="5" borderId="2" xfId="0" applyFont="1" applyFill="1" applyBorder="1" applyAlignment="1">
      <alignment vertical="top" wrapText="1"/>
    </xf>
    <xf numFmtId="0" fontId="29" fillId="2" borderId="0" xfId="0" applyFont="1" applyFill="1" applyAlignment="1">
      <alignment vertical="center" wrapText="1"/>
    </xf>
    <xf numFmtId="0" fontId="24" fillId="0" borderId="4" xfId="0" applyFont="1" applyBorder="1" applyAlignment="1">
      <alignment vertical="center" wrapText="1"/>
    </xf>
    <xf numFmtId="0" fontId="30" fillId="0" borderId="0" xfId="0" applyFont="1" applyAlignment="1">
      <alignment vertical="top" wrapText="1"/>
    </xf>
    <xf numFmtId="0" fontId="30" fillId="0" borderId="4" xfId="0" applyFont="1" applyBorder="1" applyAlignment="1">
      <alignment vertical="top" wrapText="1"/>
    </xf>
    <xf numFmtId="0" fontId="3" fillId="0" borderId="4" xfId="0" applyFont="1" applyBorder="1" applyAlignment="1">
      <alignment vertical="top" wrapText="1"/>
    </xf>
    <xf numFmtId="0" fontId="30" fillId="0" borderId="24" xfId="0" applyFont="1" applyBorder="1" applyAlignment="1">
      <alignment vertical="top" wrapText="1"/>
    </xf>
    <xf numFmtId="0" fontId="3" fillId="0" borderId="24" xfId="0" applyFont="1" applyBorder="1" applyAlignment="1">
      <alignment vertical="top" wrapText="1"/>
    </xf>
    <xf numFmtId="0" fontId="0" fillId="11" borderId="0" xfId="0" applyFont="1" applyFill="1" applyAlignment="1">
      <alignment wrapText="1"/>
    </xf>
    <xf numFmtId="0" fontId="3" fillId="5" borderId="18" xfId="0" applyFont="1" applyFill="1" applyBorder="1" applyAlignment="1">
      <alignment vertical="center" wrapText="1"/>
    </xf>
    <xf numFmtId="0" fontId="8" fillId="5" borderId="8" xfId="0" applyFont="1" applyFill="1" applyBorder="1" applyAlignment="1">
      <alignment horizontal="center" vertical="center" wrapText="1"/>
    </xf>
    <xf numFmtId="0" fontId="8" fillId="0" borderId="8" xfId="0" applyFont="1" applyBorder="1" applyAlignment="1">
      <alignment horizontal="left" vertical="center" wrapText="1"/>
    </xf>
    <xf numFmtId="0" fontId="10" fillId="0" borderId="0" xfId="0" applyFont="1" applyBorder="1" applyAlignment="1">
      <alignment horizontal="center" vertical="center" wrapText="1"/>
    </xf>
    <xf numFmtId="0" fontId="0" fillId="0" borderId="36" xfId="0" applyFont="1" applyBorder="1" applyAlignment="1">
      <alignment wrapText="1"/>
    </xf>
    <xf numFmtId="0" fontId="17" fillId="5" borderId="36" xfId="0" applyFont="1" applyFill="1" applyBorder="1" applyAlignment="1">
      <alignment wrapText="1"/>
    </xf>
    <xf numFmtId="0" fontId="0" fillId="0" borderId="36" xfId="0" applyFont="1" applyBorder="1" applyAlignment="1">
      <alignment vertical="center" wrapText="1"/>
    </xf>
    <xf numFmtId="0" fontId="0" fillId="5" borderId="36" xfId="0" applyFont="1" applyFill="1" applyBorder="1" applyAlignment="1">
      <alignment vertical="center" wrapText="1"/>
    </xf>
    <xf numFmtId="0" fontId="0" fillId="7" borderId="3" xfId="0" applyFont="1" applyFill="1" applyBorder="1" applyAlignment="1" applyProtection="1">
      <alignment vertical="top" wrapText="1"/>
      <protection locked="0"/>
    </xf>
    <xf numFmtId="0" fontId="0" fillId="0" borderId="0" xfId="0" applyFont="1" applyAlignment="1" applyProtection="1">
      <alignment wrapText="1"/>
      <protection locked="0"/>
    </xf>
    <xf numFmtId="0" fontId="17" fillId="5" borderId="0" xfId="0" applyFont="1" applyFill="1" applyAlignment="1" applyProtection="1">
      <alignment wrapText="1"/>
      <protection locked="0"/>
    </xf>
    <xf numFmtId="0" fontId="9" fillId="5" borderId="3" xfId="0" applyFont="1" applyFill="1" applyBorder="1" applyAlignment="1" applyProtection="1">
      <alignment horizontal="right" wrapText="1"/>
      <protection locked="0"/>
    </xf>
    <xf numFmtId="0" fontId="18" fillId="8" borderId="3" xfId="0" applyFont="1" applyFill="1" applyBorder="1" applyAlignment="1" applyProtection="1">
      <alignment vertical="top" wrapText="1"/>
      <protection locked="0"/>
    </xf>
    <xf numFmtId="0" fontId="15" fillId="8" borderId="3" xfId="0" applyFont="1" applyFill="1" applyBorder="1" applyAlignment="1" applyProtection="1">
      <alignment wrapText="1"/>
      <protection locked="0"/>
    </xf>
    <xf numFmtId="0" fontId="3" fillId="3" borderId="4" xfId="0" applyFont="1" applyFill="1" applyBorder="1" applyAlignment="1" applyProtection="1">
      <alignment vertical="center" wrapText="1"/>
      <protection locked="0"/>
    </xf>
    <xf numFmtId="0" fontId="17" fillId="5" borderId="3" xfId="0" applyFont="1" applyFill="1" applyBorder="1" applyAlignment="1" applyProtection="1">
      <alignment wrapText="1"/>
      <protection locked="0"/>
    </xf>
    <xf numFmtId="0" fontId="0" fillId="7" borderId="0" xfId="0" applyFont="1" applyFill="1" applyAlignment="1" applyProtection="1">
      <alignment horizontal="left" vertical="top" wrapText="1"/>
      <protection locked="0"/>
    </xf>
    <xf numFmtId="0" fontId="15" fillId="8" borderId="8" xfId="0" applyFont="1" applyFill="1" applyBorder="1" applyAlignment="1" applyProtection="1">
      <alignment wrapText="1"/>
      <protection locked="0"/>
    </xf>
    <xf numFmtId="0" fontId="9" fillId="5" borderId="8" xfId="0" applyFont="1" applyFill="1" applyBorder="1" applyAlignment="1" applyProtection="1">
      <alignment horizontal="right" wrapText="1"/>
      <protection locked="0"/>
    </xf>
    <xf numFmtId="0" fontId="3" fillId="0" borderId="3" xfId="0" applyFont="1" applyBorder="1" applyAlignment="1" applyProtection="1">
      <alignment wrapText="1"/>
      <protection locked="0"/>
    </xf>
    <xf numFmtId="0" fontId="0" fillId="3" borderId="24" xfId="0" applyFont="1" applyFill="1" applyBorder="1" applyAlignment="1" applyProtection="1">
      <alignment horizontal="left" vertical="center" wrapText="1"/>
      <protection locked="0"/>
    </xf>
    <xf numFmtId="0" fontId="15" fillId="8" borderId="14" xfId="0" applyFont="1" applyFill="1" applyBorder="1" applyAlignment="1" applyProtection="1">
      <alignment wrapText="1"/>
      <protection locked="0"/>
    </xf>
    <xf numFmtId="0" fontId="9" fillId="5" borderId="14" xfId="0" applyFont="1" applyFill="1" applyBorder="1" applyAlignment="1" applyProtection="1">
      <alignment horizontal="right" wrapText="1"/>
      <protection locked="0"/>
    </xf>
    <xf numFmtId="0" fontId="0" fillId="7" borderId="0" xfId="0" applyFont="1" applyFill="1" applyAlignment="1" applyProtection="1">
      <alignment horizontal="left" vertical="center" wrapText="1"/>
      <protection locked="0"/>
    </xf>
    <xf numFmtId="0" fontId="0" fillId="0" borderId="0" xfId="0" applyFont="1" applyAlignment="1" applyProtection="1">
      <alignment vertical="center" wrapText="1"/>
      <protection locked="0"/>
    </xf>
    <xf numFmtId="0" fontId="9" fillId="5" borderId="3" xfId="0" applyFont="1" applyFill="1" applyBorder="1" applyAlignment="1" applyProtection="1">
      <alignment vertical="center" wrapText="1"/>
      <protection locked="0"/>
    </xf>
    <xf numFmtId="0" fontId="0" fillId="3" borderId="4" xfId="0" applyFont="1" applyFill="1" applyBorder="1" applyAlignment="1" applyProtection="1">
      <alignment horizontal="left" vertical="center" wrapText="1"/>
      <protection locked="0"/>
    </xf>
    <xf numFmtId="0" fontId="0" fillId="3" borderId="0" xfId="0" applyFont="1" applyFill="1" applyAlignment="1" applyProtection="1">
      <alignment horizontal="left" vertical="center" wrapText="1"/>
      <protection locked="0"/>
    </xf>
    <xf numFmtId="0" fontId="3" fillId="3" borderId="0" xfId="0" applyFont="1" applyFill="1" applyAlignment="1" applyProtection="1">
      <alignment wrapText="1"/>
      <protection locked="0"/>
    </xf>
    <xf numFmtId="10" fontId="3" fillId="0" borderId="0" xfId="0" applyNumberFormat="1" applyFont="1" applyAlignment="1" applyProtection="1">
      <alignment wrapText="1"/>
      <protection locked="0"/>
    </xf>
    <xf numFmtId="0" fontId="17" fillId="5" borderId="26" xfId="0" applyFont="1" applyFill="1" applyBorder="1" applyAlignment="1" applyProtection="1">
      <alignment wrapText="1"/>
      <protection locked="0"/>
    </xf>
    <xf numFmtId="0" fontId="15" fillId="0" borderId="3" xfId="0" applyFont="1" applyBorder="1" applyAlignment="1" applyProtection="1">
      <alignment wrapText="1"/>
      <protection locked="0"/>
    </xf>
    <xf numFmtId="0" fontId="0" fillId="0" borderId="3" xfId="0" applyFont="1" applyBorder="1" applyAlignment="1" applyProtection="1">
      <alignment wrapText="1"/>
      <protection locked="0"/>
    </xf>
    <xf numFmtId="0" fontId="3" fillId="0" borderId="0" xfId="0" applyFont="1" applyAlignment="1" applyProtection="1">
      <alignment wrapText="1"/>
      <protection locked="0"/>
    </xf>
    <xf numFmtId="0" fontId="19" fillId="3" borderId="0" xfId="0" applyFont="1" applyFill="1" applyAlignment="1" applyProtection="1">
      <alignment horizontal="left" wrapText="1"/>
      <protection locked="0"/>
    </xf>
    <xf numFmtId="10" fontId="15" fillId="7" borderId="15" xfId="0" applyNumberFormat="1" applyFont="1" applyFill="1" applyBorder="1" applyAlignment="1" applyProtection="1">
      <alignment wrapText="1"/>
      <protection locked="0"/>
    </xf>
    <xf numFmtId="0" fontId="0" fillId="0" borderId="4" xfId="0" applyFont="1" applyBorder="1" applyAlignment="1" applyProtection="1">
      <alignment vertical="center" wrapText="1"/>
      <protection locked="0"/>
    </xf>
    <xf numFmtId="10" fontId="15" fillId="7" borderId="10" xfId="0" applyNumberFormat="1" applyFont="1" applyFill="1" applyBorder="1" applyAlignment="1" applyProtection="1">
      <alignment wrapText="1"/>
      <protection locked="0"/>
    </xf>
    <xf numFmtId="0" fontId="3" fillId="0" borderId="4" xfId="0" applyFont="1" applyBorder="1" applyAlignment="1" applyProtection="1">
      <alignment wrapText="1"/>
      <protection locked="0"/>
    </xf>
    <xf numFmtId="0" fontId="9" fillId="0" borderId="3" xfId="0" applyFont="1" applyBorder="1" applyAlignment="1" applyProtection="1">
      <alignment wrapText="1"/>
      <protection locked="0"/>
    </xf>
    <xf numFmtId="0" fontId="3" fillId="7" borderId="0" xfId="0" applyFont="1" applyFill="1" applyAlignment="1" applyProtection="1">
      <alignment wrapText="1"/>
      <protection locked="0"/>
    </xf>
    <xf numFmtId="0" fontId="15" fillId="0" borderId="0" xfId="0" applyFont="1" applyAlignment="1" applyProtection="1">
      <alignment wrapText="1"/>
      <protection locked="0"/>
    </xf>
    <xf numFmtId="0" fontId="9" fillId="0" borderId="0" xfId="0" applyFont="1" applyAlignment="1" applyProtection="1">
      <alignment wrapText="1"/>
      <protection locked="0"/>
    </xf>
    <xf numFmtId="9" fontId="15" fillId="0" borderId="0" xfId="0" applyNumberFormat="1" applyFont="1" applyAlignment="1" applyProtection="1">
      <alignment wrapText="1"/>
      <protection locked="0"/>
    </xf>
    <xf numFmtId="9" fontId="0" fillId="0" borderId="0" xfId="0" applyNumberFormat="1" applyFont="1" applyAlignment="1" applyProtection="1">
      <alignment wrapText="1"/>
      <protection locked="0"/>
    </xf>
    <xf numFmtId="9" fontId="9" fillId="0" borderId="0" xfId="0" applyNumberFormat="1" applyFont="1" applyAlignment="1" applyProtection="1">
      <alignment wrapText="1"/>
      <protection locked="0"/>
    </xf>
    <xf numFmtId="0" fontId="8" fillId="5" borderId="8" xfId="0" applyFont="1" applyFill="1" applyBorder="1" applyAlignment="1" applyProtection="1">
      <alignment horizontal="center" vertical="center" wrapText="1"/>
      <protection locked="0"/>
    </xf>
    <xf numFmtId="0" fontId="14" fillId="7" borderId="11" xfId="0" applyFont="1" applyFill="1" applyBorder="1" applyAlignment="1" applyProtection="1">
      <alignment horizontal="left" vertical="center" wrapText="1"/>
      <protection locked="0"/>
    </xf>
    <xf numFmtId="0" fontId="10" fillId="0" borderId="0" xfId="0" applyFont="1" applyBorder="1" applyAlignment="1" applyProtection="1">
      <alignment horizontal="center" vertical="center" wrapText="1"/>
      <protection locked="0"/>
    </xf>
    <xf numFmtId="0" fontId="0" fillId="7" borderId="36" xfId="0" applyFont="1" applyFill="1" applyBorder="1" applyAlignment="1" applyProtection="1">
      <alignment vertical="top" wrapText="1"/>
      <protection locked="0"/>
    </xf>
    <xf numFmtId="0" fontId="0" fillId="0" borderId="36" xfId="0" applyFont="1" applyBorder="1" applyAlignment="1" applyProtection="1">
      <alignment wrapText="1"/>
      <protection locked="0"/>
    </xf>
    <xf numFmtId="0" fontId="17" fillId="5" borderId="36" xfId="0" applyFont="1" applyFill="1" applyBorder="1" applyAlignment="1" applyProtection="1">
      <alignment wrapText="1"/>
      <protection locked="0"/>
    </xf>
    <xf numFmtId="0" fontId="0" fillId="5" borderId="36" xfId="0" applyFont="1" applyFill="1" applyBorder="1" applyAlignment="1" applyProtection="1">
      <alignment horizontal="right" wrapText="1"/>
      <protection locked="0"/>
    </xf>
    <xf numFmtId="0" fontId="9" fillId="5" borderId="36" xfId="0" applyFont="1" applyFill="1" applyBorder="1" applyAlignment="1" applyProtection="1">
      <alignment horizontal="right" wrapText="1"/>
      <protection locked="0"/>
    </xf>
    <xf numFmtId="0" fontId="18" fillId="8" borderId="36" xfId="0" applyFont="1" applyFill="1" applyBorder="1" applyAlignment="1" applyProtection="1">
      <alignment wrapText="1"/>
      <protection locked="0"/>
    </xf>
    <xf numFmtId="0" fontId="18" fillId="8" borderId="36" xfId="0" applyFont="1" applyFill="1" applyBorder="1" applyAlignment="1" applyProtection="1">
      <alignment vertical="top" wrapText="1"/>
      <protection locked="0"/>
    </xf>
    <xf numFmtId="0" fontId="15" fillId="8" borderId="36" xfId="0" applyFont="1" applyFill="1" applyBorder="1" applyAlignment="1" applyProtection="1">
      <alignment wrapText="1"/>
      <protection locked="0"/>
    </xf>
    <xf numFmtId="0" fontId="3" fillId="8" borderId="36" xfId="0" applyFont="1" applyFill="1" applyBorder="1" applyAlignment="1" applyProtection="1">
      <alignment wrapText="1"/>
      <protection locked="0"/>
    </xf>
    <xf numFmtId="165" fontId="3" fillId="0" borderId="12" xfId="0" applyNumberFormat="1" applyFont="1" applyBorder="1" applyAlignment="1" applyProtection="1">
      <alignment wrapText="1"/>
      <protection locked="0"/>
    </xf>
    <xf numFmtId="165" fontId="3" fillId="0" borderId="13" xfId="0" applyNumberFormat="1" applyFont="1" applyBorder="1" applyAlignment="1" applyProtection="1">
      <alignment wrapText="1"/>
      <protection locked="0"/>
    </xf>
    <xf numFmtId="0" fontId="3" fillId="0" borderId="14" xfId="0" applyFont="1" applyBorder="1" applyAlignment="1" applyProtection="1">
      <alignment wrapText="1"/>
      <protection locked="0"/>
    </xf>
    <xf numFmtId="0" fontId="0" fillId="0" borderId="14" xfId="0" applyFont="1" applyBorder="1" applyAlignment="1" applyProtection="1">
      <alignment horizontal="left" vertical="center" wrapText="1"/>
      <protection locked="0"/>
    </xf>
    <xf numFmtId="0" fontId="0" fillId="7" borderId="14" xfId="0" applyFont="1" applyFill="1" applyBorder="1" applyAlignment="1" applyProtection="1">
      <alignment vertical="top" wrapText="1"/>
      <protection locked="0"/>
    </xf>
    <xf numFmtId="0" fontId="0" fillId="7" borderId="16" xfId="0" applyFont="1" applyFill="1" applyBorder="1" applyAlignment="1" applyProtection="1">
      <alignment vertical="top" wrapText="1"/>
      <protection locked="0"/>
    </xf>
    <xf numFmtId="0" fontId="3" fillId="8" borderId="3" xfId="0" applyFont="1" applyFill="1" applyBorder="1" applyAlignment="1" applyProtection="1">
      <alignment wrapText="1"/>
      <protection locked="0"/>
    </xf>
    <xf numFmtId="0" fontId="0" fillId="12" borderId="18" xfId="0" applyFont="1" applyFill="1" applyBorder="1" applyAlignment="1" applyProtection="1">
      <alignment horizontal="left" vertical="center" wrapText="1"/>
    </xf>
    <xf numFmtId="0" fontId="0" fillId="7" borderId="3" xfId="0" applyFont="1" applyFill="1" applyBorder="1" applyAlignment="1" applyProtection="1">
      <alignment horizontal="left" vertical="top" wrapText="1"/>
      <protection locked="0"/>
    </xf>
    <xf numFmtId="0" fontId="0" fillId="7" borderId="14" xfId="0" applyFont="1" applyFill="1" applyBorder="1" applyAlignment="1" applyProtection="1">
      <alignment horizontal="left" vertical="top" wrapText="1"/>
      <protection locked="0"/>
    </xf>
    <xf numFmtId="0" fontId="0" fillId="7" borderId="3" xfId="0" applyFont="1" applyFill="1" applyBorder="1" applyAlignment="1" applyProtection="1">
      <alignment horizontal="left" vertical="center" wrapText="1"/>
      <protection locked="0"/>
    </xf>
    <xf numFmtId="0" fontId="15" fillId="8" borderId="10" xfId="0" applyFont="1" applyFill="1" applyBorder="1" applyAlignment="1" applyProtection="1">
      <alignment wrapText="1"/>
      <protection locked="0"/>
    </xf>
    <xf numFmtId="0" fontId="15" fillId="8" borderId="15" xfId="0" applyFont="1" applyFill="1" applyBorder="1" applyAlignment="1" applyProtection="1">
      <alignment wrapText="1"/>
      <protection locked="0"/>
    </xf>
    <xf numFmtId="0" fontId="15" fillId="8" borderId="21" xfId="0" applyFont="1" applyFill="1" applyBorder="1" applyAlignment="1" applyProtection="1">
      <alignment wrapText="1"/>
      <protection locked="0"/>
    </xf>
    <xf numFmtId="0" fontId="0" fillId="7" borderId="8" xfId="0" applyFont="1" applyFill="1" applyBorder="1" applyAlignment="1" applyProtection="1">
      <alignment vertical="top" wrapText="1"/>
      <protection locked="0"/>
    </xf>
    <xf numFmtId="0" fontId="15" fillId="8" borderId="16" xfId="0" applyFont="1" applyFill="1" applyBorder="1" applyAlignment="1" applyProtection="1">
      <alignment wrapText="1"/>
      <protection locked="0"/>
    </xf>
    <xf numFmtId="0" fontId="0" fillId="0" borderId="37" xfId="0" applyFont="1" applyBorder="1" applyAlignment="1">
      <alignment vertical="center" wrapText="1"/>
    </xf>
    <xf numFmtId="0" fontId="6" fillId="2" borderId="0" xfId="0" applyFont="1" applyFill="1" applyBorder="1" applyAlignment="1">
      <alignment horizontal="left" vertical="center" wrapText="1"/>
    </xf>
    <xf numFmtId="0" fontId="3" fillId="0" borderId="0" xfId="0" applyFont="1" applyBorder="1" applyAlignment="1">
      <alignment wrapText="1"/>
    </xf>
    <xf numFmtId="0" fontId="1" fillId="0" borderId="6" xfId="0" applyFont="1" applyBorder="1" applyAlignment="1">
      <alignment vertical="center" wrapText="1"/>
    </xf>
    <xf numFmtId="0" fontId="1" fillId="0" borderId="38" xfId="0" applyFont="1" applyBorder="1" applyAlignment="1">
      <alignment vertical="center" wrapText="1"/>
    </xf>
    <xf numFmtId="0" fontId="14" fillId="3" borderId="8" xfId="0" applyFont="1" applyFill="1" applyBorder="1" applyAlignment="1">
      <alignment horizontal="left" vertical="top" wrapText="1"/>
    </xf>
    <xf numFmtId="0" fontId="3" fillId="0" borderId="11" xfId="0" applyFont="1" applyBorder="1" applyAlignment="1">
      <alignment wrapText="1"/>
    </xf>
    <xf numFmtId="0" fontId="3" fillId="0" borderId="14" xfId="0" applyFont="1" applyBorder="1" applyAlignment="1">
      <alignment wrapText="1"/>
    </xf>
    <xf numFmtId="0" fontId="14" fillId="0" borderId="8" xfId="0" applyFont="1" applyBorder="1" applyAlignment="1">
      <alignment vertical="top" wrapText="1"/>
    </xf>
    <xf numFmtId="0" fontId="14" fillId="0" borderId="8" xfId="0" applyFont="1" applyBorder="1" applyAlignment="1">
      <alignment horizontal="left" vertical="top" wrapText="1"/>
    </xf>
    <xf numFmtId="0" fontId="14" fillId="0" borderId="17" xfId="0" applyFont="1" applyBorder="1" applyAlignment="1">
      <alignment vertical="top" wrapText="1"/>
    </xf>
    <xf numFmtId="0" fontId="3" fillId="0" borderId="19" xfId="0" applyFont="1" applyBorder="1" applyAlignment="1">
      <alignment wrapText="1"/>
    </xf>
    <xf numFmtId="0" fontId="3" fillId="0" borderId="5" xfId="0" applyFont="1" applyBorder="1" applyAlignment="1">
      <alignment wrapText="1"/>
    </xf>
    <xf numFmtId="0" fontId="14" fillId="0" borderId="11" xfId="0" applyFont="1" applyBorder="1" applyAlignment="1">
      <alignment vertical="top" wrapText="1"/>
    </xf>
    <xf numFmtId="0" fontId="14" fillId="3" borderId="11" xfId="0" applyFont="1" applyFill="1" applyBorder="1" applyAlignment="1">
      <alignment horizontal="left" vertical="top" wrapText="1"/>
    </xf>
    <xf numFmtId="0" fontId="3" fillId="0" borderId="25" xfId="0" applyFont="1" applyBorder="1" applyAlignment="1">
      <alignment wrapText="1"/>
    </xf>
    <xf numFmtId="0" fontId="14" fillId="0" borderId="0" xfId="0" applyFont="1" applyAlignment="1">
      <alignment horizontal="left" vertical="top" wrapText="1"/>
    </xf>
    <xf numFmtId="0" fontId="0" fillId="0" borderId="0" xfId="0" applyFont="1" applyAlignment="1">
      <alignment wrapText="1"/>
    </xf>
    <xf numFmtId="0" fontId="14" fillId="0" borderId="11" xfId="0" applyFont="1" applyBorder="1" applyAlignment="1">
      <alignment horizontal="left" vertical="top" wrapText="1"/>
    </xf>
    <xf numFmtId="0" fontId="14" fillId="3" borderId="17" xfId="0" applyFont="1" applyFill="1" applyBorder="1" applyAlignment="1">
      <alignment horizontal="left" vertical="top" wrapText="1"/>
    </xf>
    <xf numFmtId="0" fontId="3" fillId="0" borderId="22" xfId="0" applyFont="1" applyBorder="1" applyAlignment="1">
      <alignment wrapText="1"/>
    </xf>
    <xf numFmtId="0" fontId="14" fillId="3" borderId="26" xfId="0" applyFont="1" applyFill="1" applyBorder="1" applyAlignment="1">
      <alignment horizontal="left" vertical="top" wrapText="1"/>
    </xf>
    <xf numFmtId="0" fontId="2" fillId="0" borderId="8" xfId="0" applyFont="1" applyBorder="1" applyAlignment="1">
      <alignment vertical="top" wrapText="1"/>
    </xf>
    <xf numFmtId="0" fontId="14" fillId="3" borderId="10" xfId="0" applyFont="1" applyFill="1" applyBorder="1" applyAlignment="1">
      <alignment horizontal="left" vertical="top" wrapText="1"/>
    </xf>
    <xf numFmtId="0" fontId="3" fillId="0" borderId="10" xfId="0" applyFont="1" applyBorder="1" applyAlignment="1">
      <alignment wrapText="1"/>
    </xf>
    <xf numFmtId="0" fontId="14" fillId="0" borderId="29" xfId="0" applyFont="1" applyBorder="1" applyAlignment="1">
      <alignment vertical="top" wrapText="1"/>
    </xf>
    <xf numFmtId="0" fontId="3" fillId="0" borderId="15" xfId="0" applyFont="1" applyBorder="1" applyAlignment="1">
      <alignment wrapText="1"/>
    </xf>
    <xf numFmtId="0" fontId="14" fillId="0" borderId="21" xfId="0" applyFont="1" applyBorder="1" applyAlignment="1">
      <alignment vertical="top" wrapText="1"/>
    </xf>
    <xf numFmtId="0" fontId="3" fillId="0" borderId="23" xfId="0" applyFont="1" applyBorder="1" applyAlignment="1">
      <alignment wrapText="1"/>
    </xf>
    <xf numFmtId="0" fontId="20" fillId="3" borderId="8" xfId="0" applyFont="1" applyFill="1" applyBorder="1" applyAlignment="1">
      <alignment horizontal="left" vertical="top" wrapText="1"/>
    </xf>
    <xf numFmtId="0" fontId="20" fillId="5" borderId="8" xfId="0" applyFont="1" applyFill="1" applyBorder="1" applyAlignment="1">
      <alignment horizontal="left" vertical="top" wrapText="1"/>
    </xf>
    <xf numFmtId="0" fontId="14" fillId="0" borderId="10" xfId="0" applyFont="1" applyBorder="1" applyAlignment="1">
      <alignment vertical="top" wrapText="1"/>
    </xf>
    <xf numFmtId="0" fontId="14" fillId="0" borderId="20" xfId="0" applyFont="1" applyBorder="1" applyAlignment="1">
      <alignment horizontal="left" vertical="top" wrapText="1"/>
    </xf>
    <xf numFmtId="0" fontId="14" fillId="0" borderId="20" xfId="0" applyFont="1" applyBorder="1" applyAlignment="1">
      <alignment vertical="top" wrapText="1"/>
    </xf>
    <xf numFmtId="0" fontId="14" fillId="0" borderId="10" xfId="0" applyFont="1" applyBorder="1" applyAlignment="1">
      <alignment horizontal="left" vertical="top" wrapText="1"/>
    </xf>
    <xf numFmtId="0" fontId="14" fillId="3" borderId="20" xfId="0" applyFont="1" applyFill="1" applyBorder="1" applyAlignment="1">
      <alignment horizontal="left" vertical="top" wrapText="1"/>
    </xf>
    <xf numFmtId="0" fontId="14" fillId="5" borderId="20" xfId="0" applyFont="1" applyFill="1" applyBorder="1" applyAlignment="1">
      <alignment horizontal="left" vertical="top" wrapText="1"/>
    </xf>
    <xf numFmtId="0" fontId="5" fillId="2" borderId="0" xfId="0" applyFont="1" applyFill="1" applyAlignment="1">
      <alignment vertical="center" wrapText="1"/>
    </xf>
    <xf numFmtId="0" fontId="31" fillId="0" borderId="2" xfId="1" applyBorder="1" applyAlignment="1">
      <alignment wrapText="1"/>
    </xf>
  </cellXfs>
  <cellStyles count="2">
    <cellStyle name="Hyperlink" xfId="1" builtinId="8"/>
    <cellStyle name="Normal" xfId="0" builtinId="0"/>
  </cellStyles>
  <dxfs count="182">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ont>
        <color rgb="FF9C0006"/>
      </font>
      <fill>
        <patternFill patternType="solid">
          <fgColor rgb="FFFFC7CE"/>
          <bgColor rgb="FFFFC7CE"/>
        </patternFill>
      </fill>
      <border>
        <left/>
        <right/>
        <top/>
        <bottom/>
      </border>
    </dxf>
    <dxf>
      <font>
        <color rgb="FFFFFFFF"/>
      </font>
      <fill>
        <patternFill patternType="solid">
          <fgColor rgb="FFFF0000"/>
          <bgColor rgb="FFFF0000"/>
        </patternFill>
      </fill>
      <border>
        <left/>
        <right/>
        <top/>
        <bottom/>
      </border>
    </dxf>
    <dxf>
      <font>
        <color rgb="FF000000"/>
      </font>
      <fill>
        <patternFill patternType="solid">
          <fgColor rgb="FF00FF00"/>
          <bgColor rgb="FF00FF00"/>
        </patternFill>
      </fill>
      <border>
        <left/>
        <right/>
        <top/>
        <bottom/>
      </border>
    </dxf>
    <dxf>
      <fill>
        <patternFill patternType="solid">
          <fgColor rgb="FFF3F3F3"/>
          <bgColor rgb="FFF3F3F3"/>
        </patternFill>
      </fill>
      <border>
        <left/>
        <right/>
        <top/>
        <bottom/>
      </border>
    </dxf>
    <dxf>
      <font>
        <color rgb="FF9C0006"/>
      </font>
      <fill>
        <patternFill patternType="solid">
          <fgColor rgb="FFFFC7CE"/>
          <bgColor rgb="FFFFC7CE"/>
        </patternFill>
      </fill>
      <alignment wrapText="1"/>
      <border>
        <left/>
        <right/>
        <top/>
        <bottom/>
      </border>
    </dxf>
    <dxf>
      <font>
        <color rgb="FFFFFFFF"/>
      </font>
      <fill>
        <patternFill patternType="solid">
          <fgColor rgb="FFFF0000"/>
          <bgColor rgb="FFFF0000"/>
        </patternFill>
      </fill>
      <alignment wrapText="1"/>
      <border>
        <left/>
        <right/>
        <top/>
        <bottom/>
      </border>
    </dxf>
    <dxf>
      <font>
        <color rgb="FF000000"/>
      </font>
      <fill>
        <patternFill patternType="solid">
          <fgColor rgb="FF00FF00"/>
          <bgColor rgb="FF00FF00"/>
        </patternFill>
      </fill>
      <alignment wrapText="1"/>
      <border>
        <left/>
        <right/>
        <top/>
        <bottom/>
      </border>
    </dxf>
    <dxf>
      <fill>
        <patternFill patternType="solid">
          <fgColor rgb="FFFFFFFF"/>
          <bgColor rgb="FFFFFFFF"/>
        </patternFill>
      </fill>
      <alignment wrapText="1"/>
      <border>
        <left/>
        <right/>
        <top/>
        <bottom/>
      </border>
    </dxf>
    <dxf>
      <fill>
        <patternFill patternType="solid">
          <fgColor rgb="FFF3F3F3"/>
          <bgColor rgb="FFF3F3F3"/>
        </patternFill>
      </fill>
      <alignment wrapText="1"/>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ont>
        <color rgb="FF9C0006"/>
      </font>
      <fill>
        <patternFill patternType="solid">
          <fgColor rgb="FFFFC7CE"/>
          <bgColor rgb="FFFFC7CE"/>
        </patternFill>
      </fill>
      <border>
        <left/>
        <right/>
        <top/>
        <bottom/>
      </border>
    </dxf>
    <dxf>
      <font>
        <color rgb="FFFFFFFF"/>
      </font>
      <fill>
        <patternFill patternType="solid">
          <fgColor rgb="FFFF0000"/>
          <bgColor rgb="FFFF0000"/>
        </patternFill>
      </fill>
      <border>
        <left/>
        <right/>
        <top/>
        <bottom/>
      </border>
    </dxf>
    <dxf>
      <font>
        <color rgb="FF000000"/>
      </font>
      <fill>
        <patternFill patternType="solid">
          <fgColor rgb="FF00FF00"/>
          <bgColor rgb="FF00FF00"/>
        </patternFill>
      </fill>
      <border>
        <left/>
        <right/>
        <top/>
        <bottom/>
      </border>
    </dxf>
    <dxf>
      <fill>
        <patternFill patternType="solid">
          <fgColor rgb="FFF3F3F3"/>
          <bgColor rgb="FFF3F3F3"/>
        </patternFill>
      </fill>
      <border>
        <left/>
        <right/>
        <top/>
        <bottom/>
      </border>
    </dxf>
    <dxf>
      <font>
        <color rgb="FF9C0006"/>
      </font>
      <fill>
        <patternFill patternType="solid">
          <fgColor rgb="FFFFC7CE"/>
          <bgColor rgb="FFFFC7CE"/>
        </patternFill>
      </fill>
      <alignment wrapText="1"/>
      <border>
        <left/>
        <right/>
        <top/>
        <bottom/>
      </border>
    </dxf>
    <dxf>
      <font>
        <color rgb="FFFFFFFF"/>
      </font>
      <fill>
        <patternFill patternType="solid">
          <fgColor rgb="FFFF0000"/>
          <bgColor rgb="FFFF0000"/>
        </patternFill>
      </fill>
      <alignment wrapText="1"/>
      <border>
        <left/>
        <right/>
        <top/>
        <bottom/>
      </border>
    </dxf>
    <dxf>
      <font>
        <color rgb="FF000000"/>
      </font>
      <fill>
        <patternFill patternType="solid">
          <fgColor rgb="FF00FF00"/>
          <bgColor rgb="FF00FF00"/>
        </patternFill>
      </fill>
      <alignment wrapText="1"/>
      <border>
        <left/>
        <right/>
        <top/>
        <bottom/>
      </border>
    </dxf>
    <dxf>
      <fill>
        <patternFill patternType="solid">
          <fgColor rgb="FFFFFFFF"/>
          <bgColor rgb="FFFFFFFF"/>
        </patternFill>
      </fill>
      <alignment wrapText="1"/>
      <border>
        <left/>
        <right/>
        <top/>
        <bottom/>
      </border>
    </dxf>
    <dxf>
      <fill>
        <patternFill patternType="solid">
          <fgColor rgb="FFF3F3F3"/>
          <bgColor rgb="FFF3F3F3"/>
        </patternFill>
      </fill>
      <alignment wrapText="1"/>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ont>
        <color rgb="FF9C0006"/>
      </font>
      <fill>
        <patternFill patternType="solid">
          <fgColor rgb="FFFFC7CE"/>
          <bgColor rgb="FFFFC7CE"/>
        </patternFill>
      </fill>
      <border>
        <left/>
        <right/>
        <top/>
        <bottom/>
      </border>
    </dxf>
    <dxf>
      <font>
        <color rgb="FFFFFFFF"/>
      </font>
      <fill>
        <patternFill patternType="solid">
          <fgColor rgb="FFFF0000"/>
          <bgColor rgb="FFFF0000"/>
        </patternFill>
      </fill>
      <border>
        <left/>
        <right/>
        <top/>
        <bottom/>
      </border>
    </dxf>
    <dxf>
      <font>
        <color rgb="FF000000"/>
      </font>
      <fill>
        <patternFill patternType="solid">
          <fgColor rgb="FF00FF00"/>
          <bgColor rgb="FF00FF00"/>
        </patternFill>
      </fill>
      <border>
        <left/>
        <right/>
        <top/>
        <bottom/>
      </border>
    </dxf>
    <dxf>
      <fill>
        <patternFill patternType="solid">
          <fgColor rgb="FFF3F3F3"/>
          <bgColor rgb="FFF3F3F3"/>
        </patternFill>
      </fill>
      <alignment wrapText="1"/>
      <border>
        <left/>
        <right/>
        <top/>
        <bottom/>
      </border>
    </dxf>
    <dxf>
      <font>
        <color rgb="FF9C0006"/>
      </font>
      <fill>
        <patternFill patternType="solid">
          <fgColor rgb="FFFFC7CE"/>
          <bgColor rgb="FFFFC7CE"/>
        </patternFill>
      </fill>
      <alignment wrapText="1"/>
      <border>
        <left/>
        <right/>
        <top/>
        <bottom/>
      </border>
    </dxf>
    <dxf>
      <font>
        <color rgb="FFFFFFFF"/>
      </font>
      <fill>
        <patternFill patternType="solid">
          <fgColor rgb="FFFF0000"/>
          <bgColor rgb="FFFF0000"/>
        </patternFill>
      </fill>
      <alignment wrapText="1"/>
      <border>
        <left/>
        <right/>
        <top/>
        <bottom/>
      </border>
    </dxf>
    <dxf>
      <font>
        <color rgb="FF000000"/>
      </font>
      <fill>
        <patternFill patternType="solid">
          <fgColor rgb="FF00FF00"/>
          <bgColor rgb="FF00FF00"/>
        </patternFill>
      </fill>
      <alignment wrapText="1"/>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ont>
        <color rgb="FF9C0006"/>
      </font>
      <fill>
        <patternFill patternType="solid">
          <fgColor rgb="FFFFC7CE"/>
          <bgColor rgb="FFFFC7CE"/>
        </patternFill>
      </fill>
      <border>
        <left/>
        <right/>
        <top/>
        <bottom/>
      </border>
    </dxf>
    <dxf>
      <font>
        <color rgb="FFFFFFFF"/>
      </font>
      <fill>
        <patternFill patternType="solid">
          <fgColor rgb="FFFF0000"/>
          <bgColor rgb="FFFF0000"/>
        </patternFill>
      </fill>
      <border>
        <left/>
        <right/>
        <top/>
        <bottom/>
      </border>
    </dxf>
    <dxf>
      <font>
        <color rgb="FF000000"/>
      </font>
      <fill>
        <patternFill patternType="solid">
          <fgColor rgb="FF00FF00"/>
          <bgColor rgb="FF00FF00"/>
        </patternFill>
      </fill>
      <border>
        <left/>
        <right/>
        <top/>
        <bottom/>
      </border>
    </dxf>
    <dxf>
      <fill>
        <patternFill patternType="solid">
          <fgColor rgb="FFF3F3F3"/>
          <bgColor rgb="FFF3F3F3"/>
        </patternFill>
      </fill>
      <border>
        <left/>
        <right/>
        <top/>
        <bottom/>
      </border>
    </dxf>
    <dxf>
      <font>
        <color rgb="FF9C0006"/>
      </font>
      <fill>
        <patternFill patternType="solid">
          <fgColor rgb="FFFFC7CE"/>
          <bgColor rgb="FFFFC7CE"/>
        </patternFill>
      </fill>
      <alignment wrapText="1"/>
      <border>
        <left/>
        <right/>
        <top/>
        <bottom/>
      </border>
    </dxf>
    <dxf>
      <font>
        <color rgb="FFFFFFFF"/>
      </font>
      <fill>
        <patternFill patternType="solid">
          <fgColor rgb="FFFF0000"/>
          <bgColor rgb="FFFF0000"/>
        </patternFill>
      </fill>
      <alignment wrapText="1"/>
      <border>
        <left/>
        <right/>
        <top/>
        <bottom/>
      </border>
    </dxf>
    <dxf>
      <font>
        <color rgb="FF000000"/>
      </font>
      <fill>
        <patternFill patternType="solid">
          <fgColor rgb="FF00FF00"/>
          <bgColor rgb="FF00FF00"/>
        </patternFill>
      </fill>
      <alignment wrapText="1"/>
      <border>
        <left/>
        <right/>
        <top/>
        <bottom/>
      </border>
    </dxf>
    <dxf>
      <fill>
        <patternFill patternType="solid">
          <fgColor rgb="FFF3F3F3"/>
          <bgColor rgb="FFF3F3F3"/>
        </patternFill>
      </fill>
      <alignment wrapText="1"/>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ont>
        <color rgb="FF9C0006"/>
      </font>
      <fill>
        <patternFill patternType="solid">
          <fgColor rgb="FFFFC7CE"/>
          <bgColor rgb="FFFFC7CE"/>
        </patternFill>
      </fill>
      <border>
        <left/>
        <right/>
        <top/>
        <bottom/>
      </border>
    </dxf>
    <dxf>
      <font>
        <color rgb="FFFFFFFF"/>
      </font>
      <fill>
        <patternFill patternType="solid">
          <fgColor rgb="FFFF0000"/>
          <bgColor rgb="FFFF0000"/>
        </patternFill>
      </fill>
      <border>
        <left/>
        <right/>
        <top/>
        <bottom/>
      </border>
    </dxf>
    <dxf>
      <font>
        <color rgb="FF000000"/>
      </font>
      <fill>
        <patternFill patternType="solid">
          <fgColor rgb="FF00FF00"/>
          <bgColor rgb="FF00FF00"/>
        </patternFill>
      </fill>
      <border>
        <left/>
        <right/>
        <top/>
        <bottom/>
      </border>
    </dxf>
    <dxf>
      <fill>
        <patternFill patternType="solid">
          <fgColor rgb="FFF3F3F3"/>
          <bgColor rgb="FFF3F3F3"/>
        </patternFill>
      </fill>
      <border>
        <left/>
        <right/>
        <top/>
        <bottom/>
      </border>
    </dxf>
    <dxf>
      <font>
        <color rgb="FF9C0006"/>
      </font>
      <fill>
        <patternFill patternType="solid">
          <fgColor rgb="FFFFC7CE"/>
          <bgColor rgb="FFFFC7CE"/>
        </patternFill>
      </fill>
      <alignment wrapText="1"/>
      <border>
        <left/>
        <right/>
        <top/>
        <bottom/>
      </border>
    </dxf>
    <dxf>
      <font>
        <color rgb="FFFFFFFF"/>
      </font>
      <fill>
        <patternFill patternType="solid">
          <fgColor rgb="FFFF0000"/>
          <bgColor rgb="FFFF0000"/>
        </patternFill>
      </fill>
      <alignment wrapText="1"/>
      <border>
        <left/>
        <right/>
        <top/>
        <bottom/>
      </border>
    </dxf>
    <dxf>
      <font>
        <color rgb="FF000000"/>
      </font>
      <fill>
        <patternFill patternType="solid">
          <fgColor rgb="FF00FF00"/>
          <bgColor rgb="FF00FF00"/>
        </patternFill>
      </fill>
      <alignment wrapText="1"/>
      <border>
        <left/>
        <right/>
        <top/>
        <bottom/>
      </border>
    </dxf>
    <dxf>
      <fill>
        <patternFill patternType="solid">
          <fgColor rgb="FFFFFFFF"/>
          <bgColor rgb="FFFFFFFF"/>
        </patternFill>
      </fill>
      <alignment wrapText="1"/>
      <border>
        <left/>
        <right/>
        <top/>
        <bottom/>
      </border>
    </dxf>
    <dxf>
      <fill>
        <patternFill patternType="solid">
          <fgColor rgb="FFF3F3F3"/>
          <bgColor rgb="FFF3F3F3"/>
        </patternFill>
      </fill>
      <alignment wrapText="1"/>
      <border>
        <left/>
        <right/>
        <top/>
        <bottom/>
      </border>
    </dxf>
    <dxf>
      <font>
        <color rgb="FFFFFFFF"/>
      </font>
      <fill>
        <patternFill patternType="solid">
          <fgColor rgb="FFFF0000"/>
          <bgColor rgb="FFFF0000"/>
        </patternFill>
      </fill>
      <alignment wrapText="1"/>
      <border>
        <left/>
        <right/>
        <top/>
        <bottom/>
      </border>
    </dxf>
    <dxf>
      <font>
        <b/>
        <color rgb="FFFFFFFF"/>
      </font>
      <fill>
        <patternFill patternType="solid">
          <fgColor rgb="FFFF0000"/>
          <bgColor rgb="FFFF0000"/>
        </patternFill>
      </fill>
      <alignment wrapText="1"/>
      <border>
        <left/>
        <right/>
        <top/>
        <bottom/>
      </border>
    </dxf>
    <dxf>
      <font>
        <b/>
      </font>
      <fill>
        <patternFill patternType="solid">
          <fgColor rgb="FF00FF00"/>
          <bgColor rgb="FF00FF00"/>
        </patternFill>
      </fill>
      <alignment wrapText="1"/>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ont>
        <color rgb="FF9C0006"/>
      </font>
      <fill>
        <patternFill patternType="solid">
          <fgColor rgb="FFFFC7CE"/>
          <bgColor rgb="FFFFC7CE"/>
        </patternFill>
      </fill>
      <alignment wrapText="1"/>
      <border>
        <left/>
        <right/>
        <top/>
        <bottom/>
      </border>
    </dxf>
    <dxf>
      <font>
        <color rgb="FFFFFFFF"/>
      </font>
      <fill>
        <patternFill patternType="solid">
          <fgColor rgb="FFFF0000"/>
          <bgColor rgb="FFFF0000"/>
        </patternFill>
      </fill>
      <alignment wrapText="1"/>
      <border>
        <left/>
        <right/>
        <top/>
        <bottom/>
      </border>
    </dxf>
    <dxf>
      <font>
        <color rgb="FF000000"/>
      </font>
      <fill>
        <patternFill patternType="solid">
          <fgColor rgb="FF00FF00"/>
          <bgColor rgb="FF00FF00"/>
        </patternFill>
      </fill>
      <alignment wrapText="1"/>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FFFFF"/>
          <bgColor rgb="FFFFFFFF"/>
        </patternFill>
      </fill>
      <alignment wrapText="1"/>
      <border>
        <left/>
        <right/>
        <top/>
        <bottom/>
      </border>
    </dxf>
    <dxf>
      <fill>
        <patternFill patternType="solid">
          <fgColor rgb="FFF3F3F3"/>
          <bgColor rgb="FFF3F3F3"/>
        </patternFill>
      </fill>
      <alignment wrapText="1"/>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ont>
        <color rgb="FF9C0006"/>
      </font>
      <fill>
        <patternFill patternType="solid">
          <fgColor rgb="FFFFC7CE"/>
          <bgColor rgb="FFFFC7CE"/>
        </patternFill>
      </fill>
      <border>
        <left/>
        <right/>
        <top/>
        <bottom/>
      </border>
    </dxf>
    <dxf>
      <font>
        <color rgb="FFFFFFFF"/>
      </font>
      <fill>
        <patternFill patternType="solid">
          <fgColor rgb="FFFF0000"/>
          <bgColor rgb="FFFF0000"/>
        </patternFill>
      </fill>
      <border>
        <left/>
        <right/>
        <top/>
        <bottom/>
      </border>
    </dxf>
    <dxf>
      <font>
        <color rgb="FFF09300"/>
      </font>
      <fill>
        <patternFill patternType="none"/>
      </fill>
      <alignment wrapText="1"/>
      <border>
        <left/>
        <right/>
        <top/>
        <bottom/>
      </border>
    </dxf>
    <dxf>
      <fill>
        <patternFill patternType="solid">
          <fgColor rgb="FFF3F3F3"/>
          <bgColor rgb="FFF3F3F3"/>
        </patternFill>
      </fill>
      <border>
        <left/>
        <right/>
        <top/>
        <bottom/>
      </border>
    </dxf>
    <dxf>
      <font>
        <color rgb="FF9C0006"/>
      </font>
      <fill>
        <patternFill patternType="solid">
          <fgColor rgb="FFFFC7CE"/>
          <bgColor rgb="FFFFC7CE"/>
        </patternFill>
      </fill>
      <alignment wrapText="1"/>
      <border>
        <left/>
        <right/>
        <top/>
        <bottom/>
      </border>
    </dxf>
    <dxf>
      <font>
        <color rgb="FFFFFFFF"/>
      </font>
      <fill>
        <patternFill patternType="solid">
          <fgColor rgb="FFFF0000"/>
          <bgColor rgb="FFFF0000"/>
        </patternFill>
      </fill>
      <alignment wrapText="1"/>
      <border>
        <left/>
        <right/>
        <top/>
        <bottom/>
      </border>
    </dxf>
    <dxf>
      <font>
        <color rgb="FF000000"/>
      </font>
      <fill>
        <patternFill patternType="solid">
          <fgColor rgb="FF00FF00"/>
          <bgColor rgb="FF00FF00"/>
        </patternFill>
      </fill>
      <alignment wrapText="1"/>
      <border>
        <left/>
        <right/>
        <top/>
        <bottom/>
      </border>
    </dxf>
    <dxf>
      <fill>
        <patternFill patternType="solid">
          <fgColor rgb="FFFFFFFF"/>
          <bgColor rgb="FFFFFFFF"/>
        </patternFill>
      </fill>
      <alignment wrapText="1"/>
      <border>
        <left/>
        <right/>
        <top/>
        <bottom/>
      </border>
    </dxf>
    <dxf>
      <fill>
        <patternFill patternType="solid">
          <fgColor rgb="FFF3F3F3"/>
          <bgColor rgb="FFF3F3F3"/>
        </patternFill>
      </fill>
      <alignment wrapText="1"/>
      <border>
        <left/>
        <right/>
        <top/>
        <bottom/>
      </border>
    </dxf>
    <dxf>
      <fill>
        <patternFill patternType="solid">
          <fgColor rgb="FFFFFFFF"/>
          <bgColor rgb="FFFFFFFF"/>
        </patternFill>
      </fill>
      <alignment wrapText="1"/>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ill>
        <patternFill patternType="solid">
          <fgColor rgb="FFF3F3F3"/>
          <bgColor rgb="FFF3F3F3"/>
        </patternFill>
      </fill>
      <border>
        <left/>
        <right/>
        <top/>
        <bottom/>
      </border>
    </dxf>
    <dxf>
      <font>
        <color rgb="FF9C0006"/>
      </font>
      <fill>
        <patternFill patternType="solid">
          <fgColor rgb="FFFFC7CE"/>
          <bgColor rgb="FFFFC7CE"/>
        </patternFill>
      </fill>
      <border>
        <left/>
        <right/>
        <top/>
        <bottom/>
      </border>
    </dxf>
    <dxf>
      <font>
        <color rgb="FFFFFFFF"/>
      </font>
      <fill>
        <patternFill patternType="solid">
          <fgColor rgb="FFFF0000"/>
          <bgColor rgb="FFFF0000"/>
        </patternFill>
      </fill>
      <border>
        <left/>
        <right/>
        <top/>
        <bottom/>
      </border>
    </dxf>
    <dxf>
      <font>
        <color rgb="FF000000"/>
      </font>
      <fill>
        <patternFill patternType="solid">
          <fgColor rgb="FF00FF00"/>
          <bgColor rgb="FF00FF00"/>
        </patternFill>
      </fill>
      <border>
        <left/>
        <right/>
        <top/>
        <bottom/>
      </border>
    </dxf>
    <dxf>
      <font>
        <color rgb="FF9C0006"/>
      </font>
      <fill>
        <patternFill patternType="solid">
          <fgColor rgb="FFFFC7CE"/>
          <bgColor rgb="FFFFC7CE"/>
        </patternFill>
      </fill>
      <border>
        <left/>
        <right/>
        <top/>
        <bottom/>
      </border>
    </dxf>
    <dxf>
      <font>
        <color rgb="FFFFFFFF"/>
      </font>
      <fill>
        <patternFill patternType="solid">
          <fgColor rgb="FFFF0000"/>
          <bgColor rgb="FFFF0000"/>
        </patternFill>
      </fill>
      <border>
        <left/>
        <right/>
        <top/>
        <bottom/>
      </border>
    </dxf>
    <dxf>
      <font>
        <color rgb="FF000000"/>
      </font>
      <fill>
        <patternFill patternType="solid">
          <fgColor rgb="FF00FF00"/>
          <bgColor rgb="FF00FF00"/>
        </patternFill>
      </fill>
      <border>
        <left/>
        <right/>
        <top/>
        <bottom/>
      </border>
    </dxf>
    <dxf>
      <font>
        <color rgb="FF9C0006"/>
      </font>
      <fill>
        <patternFill patternType="solid">
          <fgColor rgb="FFFFC7CE"/>
          <bgColor rgb="FFFFC7CE"/>
        </patternFill>
      </fill>
      <alignment wrapText="1"/>
      <border>
        <left/>
        <right/>
        <top/>
        <bottom/>
      </border>
    </dxf>
    <dxf>
      <font>
        <color rgb="FFFFFFFF"/>
      </font>
      <fill>
        <patternFill patternType="solid">
          <fgColor rgb="FFFF0000"/>
          <bgColor rgb="FFFF0000"/>
        </patternFill>
      </fill>
      <alignment wrapText="1"/>
      <border>
        <left/>
        <right/>
        <top/>
        <bottom/>
      </border>
    </dxf>
    <dxf>
      <font>
        <color rgb="FF000000"/>
      </font>
      <fill>
        <patternFill patternType="solid">
          <fgColor rgb="FF00FF00"/>
          <bgColor rgb="FF00FF00"/>
        </patternFill>
      </fill>
      <alignment wrapText="1"/>
      <border>
        <left/>
        <right/>
        <top/>
        <bottom/>
      </border>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18"/>
  <c:chart>
    <c:title>
      <c:tx>
        <c:rich>
          <a:bodyPr/>
          <a:lstStyle/>
          <a:p>
            <a:pPr lvl="0">
              <a:defRPr sz="1600" b="1">
                <a:solidFill>
                  <a:srgbClr val="000000"/>
                </a:solidFill>
              </a:defRPr>
            </a:pPr>
            <a:r>
              <a:rPr lang="en-US"/>
              <a:t>Phase Health</a:t>
            </a:r>
          </a:p>
        </c:rich>
      </c:tx>
      <c:overlay val="0"/>
    </c:title>
    <c:autoTitleDeleted val="0"/>
    <c:plotArea>
      <c:layout/>
      <c:barChart>
        <c:barDir val="col"/>
        <c:grouping val="clustered"/>
        <c:varyColors val="1"/>
        <c:ser>
          <c:idx val="0"/>
          <c:order val="0"/>
          <c:spPr>
            <a:solidFill>
              <a:srgbClr val="3366CC"/>
            </a:solidFill>
          </c:spPr>
          <c:invertIfNegative val="1"/>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'Project Heartbeat'!$C$24:$J$24</c:f>
              <c:strCache>
                <c:ptCount val="8"/>
                <c:pt idx="0">
                  <c:v>Preparation</c:v>
                </c:pt>
                <c:pt idx="1">
                  <c:v>Planning</c:v>
                </c:pt>
                <c:pt idx="2">
                  <c:v>Development Planning</c:v>
                </c:pt>
                <c:pt idx="3">
                  <c:v>Operations &amp; Operations Planning</c:v>
                </c:pt>
                <c:pt idx="4">
                  <c:v>Development</c:v>
                </c:pt>
                <c:pt idx="5">
                  <c:v>Performance &amp; Testing</c:v>
                </c:pt>
                <c:pt idx="6">
                  <c:v>Rollout</c:v>
                </c:pt>
                <c:pt idx="7">
                  <c:v>Go Live</c:v>
                </c:pt>
              </c:strCache>
            </c:strRef>
          </c:cat>
          <c:val>
            <c:numRef>
              <c:f>'Project Heartbeat'!$C$25:$J$25</c:f>
              <c:numCache>
                <c:formatCode>0%</c:formatCode>
                <c:ptCount val="8"/>
                <c:pt idx="0">
                  <c:v>0</c:v>
                </c:pt>
                <c:pt idx="1">
                  <c:v>0</c:v>
                </c:pt>
                <c:pt idx="2">
                  <c:v>0</c:v>
                </c:pt>
                <c:pt idx="3">
                  <c:v>0</c:v>
                </c:pt>
                <c:pt idx="4">
                  <c:v>0</c:v>
                </c:pt>
                <c:pt idx="5">
                  <c:v>0</c:v>
                </c:pt>
                <c:pt idx="6">
                  <c:v>0</c:v>
                </c:pt>
                <c:pt idx="7">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5F5A-DD43-A23F-6728B480C45C}"/>
            </c:ext>
          </c:extLst>
        </c:ser>
        <c:ser>
          <c:idx val="1"/>
          <c:order val="1"/>
          <c:spPr>
            <a:solidFill>
              <a:srgbClr val="DC3912"/>
            </a:solidFill>
          </c:spPr>
          <c:invertIfNegative val="1"/>
          <c:cat>
            <c:strRef>
              <c:f>'Project Heartbeat'!$C$24:$J$24</c:f>
              <c:strCache>
                <c:ptCount val="8"/>
                <c:pt idx="0">
                  <c:v>Preparation</c:v>
                </c:pt>
                <c:pt idx="1">
                  <c:v>Planning</c:v>
                </c:pt>
                <c:pt idx="2">
                  <c:v>Development Planning</c:v>
                </c:pt>
                <c:pt idx="3">
                  <c:v>Operations &amp; Operations Planning</c:v>
                </c:pt>
                <c:pt idx="4">
                  <c:v>Development</c:v>
                </c:pt>
                <c:pt idx="5">
                  <c:v>Performance &amp; Testing</c:v>
                </c:pt>
                <c:pt idx="6">
                  <c:v>Rollout</c:v>
                </c:pt>
                <c:pt idx="7">
                  <c:v>Go Live</c:v>
                </c:pt>
              </c:strCache>
            </c:strRef>
          </c:cat>
          <c:val>
            <c:numRef>
              <c:f>'Project Heartbeat'!$C$26:$J$26</c:f>
              <c:numCache>
                <c:formatCode>General</c:formatCode>
                <c:ptCount val="8"/>
                <c:pt idx="0">
                  <c:v>0</c:v>
                </c:pt>
                <c:pt idx="1">
                  <c:v>0</c:v>
                </c:pt>
                <c:pt idx="2">
                  <c:v>0</c:v>
                </c:pt>
                <c:pt idx="3">
                  <c:v>0</c:v>
                </c:pt>
                <c:pt idx="4">
                  <c:v>0</c:v>
                </c:pt>
                <c:pt idx="5">
                  <c:v>0</c:v>
                </c:pt>
                <c:pt idx="6">
                  <c:v>0</c:v>
                </c:pt>
                <c:pt idx="7">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5F5A-DD43-A23F-6728B480C45C}"/>
            </c:ext>
          </c:extLst>
        </c:ser>
        <c:dLbls>
          <c:showLegendKey val="0"/>
          <c:showVal val="0"/>
          <c:showCatName val="0"/>
          <c:showSerName val="0"/>
          <c:showPercent val="0"/>
          <c:showBubbleSize val="0"/>
        </c:dLbls>
        <c:gapWidth val="150"/>
        <c:axId val="-461645056"/>
        <c:axId val="-461640544"/>
      </c:barChart>
      <c:catAx>
        <c:axId val="-461645056"/>
        <c:scaling>
          <c:orientation val="minMax"/>
        </c:scaling>
        <c:delete val="0"/>
        <c:axPos val="b"/>
        <c:numFmt formatCode="General" sourceLinked="1"/>
        <c:majorTickMark val="cross"/>
        <c:minorTickMark val="cross"/>
        <c:tickLblPos val="nextTo"/>
        <c:txPr>
          <a:bodyPr/>
          <a:lstStyle/>
          <a:p>
            <a:pPr lvl="0">
              <a:defRPr/>
            </a:pPr>
            <a:endParaRPr lang="en-CH"/>
          </a:p>
        </c:txPr>
        <c:crossAx val="-461640544"/>
        <c:crosses val="autoZero"/>
        <c:auto val="1"/>
        <c:lblAlgn val="ctr"/>
        <c:lblOffset val="100"/>
        <c:noMultiLvlLbl val="1"/>
      </c:catAx>
      <c:valAx>
        <c:axId val="-461640544"/>
        <c:scaling>
          <c:orientation val="minMax"/>
          <c:max val="1"/>
        </c:scaling>
        <c:delete val="0"/>
        <c:axPos val="l"/>
        <c:majorGridlines>
          <c:spPr>
            <a:ln>
              <a:solidFill>
                <a:srgbClr val="B7B7B7"/>
              </a:solidFill>
            </a:ln>
          </c:spPr>
        </c:majorGridlines>
        <c:numFmt formatCode="0%" sourceLinked="0"/>
        <c:majorTickMark val="cross"/>
        <c:minorTickMark val="cross"/>
        <c:tickLblPos val="nextTo"/>
        <c:spPr>
          <a:ln w="47625">
            <a:noFill/>
          </a:ln>
        </c:spPr>
        <c:txPr>
          <a:bodyPr/>
          <a:lstStyle/>
          <a:p>
            <a:pPr lvl="0">
              <a:defRPr/>
            </a:pPr>
            <a:endParaRPr lang="en-CH"/>
          </a:p>
        </c:txPr>
        <c:crossAx val="-461645056"/>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18"/>
  <c:chart>
    <c:title>
      <c:tx>
        <c:rich>
          <a:bodyPr/>
          <a:lstStyle/>
          <a:p>
            <a:pPr lvl="0">
              <a:defRPr sz="1600" b="1">
                <a:solidFill>
                  <a:srgbClr val="000000"/>
                </a:solidFill>
              </a:defRPr>
            </a:pPr>
            <a:r>
              <a:rPr lang="en-US"/>
              <a:t>Phase Completeness</a:t>
            </a:r>
          </a:p>
        </c:rich>
      </c:tx>
      <c:overlay val="0"/>
    </c:title>
    <c:autoTitleDeleted val="0"/>
    <c:plotArea>
      <c:layout/>
      <c:barChart>
        <c:barDir val="col"/>
        <c:grouping val="clustered"/>
        <c:varyColors val="1"/>
        <c:ser>
          <c:idx val="0"/>
          <c:order val="0"/>
          <c:spPr>
            <a:solidFill>
              <a:srgbClr val="3366CC"/>
            </a:solidFill>
          </c:spPr>
          <c:invertIfNegative val="1"/>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'Project Heartbeat'!$C$26:$J$26</c:f>
              <c:strCache>
                <c:ptCount val="8"/>
                <c:pt idx="0">
                  <c:v>Preparation</c:v>
                </c:pt>
                <c:pt idx="1">
                  <c:v>Planning</c:v>
                </c:pt>
                <c:pt idx="2">
                  <c:v>Development Planning</c:v>
                </c:pt>
                <c:pt idx="3">
                  <c:v>Operations &amp; Operations Planning</c:v>
                </c:pt>
                <c:pt idx="4">
                  <c:v>Development</c:v>
                </c:pt>
                <c:pt idx="5">
                  <c:v>Performance &amp; Testing</c:v>
                </c:pt>
                <c:pt idx="6">
                  <c:v>Rollout</c:v>
                </c:pt>
                <c:pt idx="7">
                  <c:v>Go Live</c:v>
                </c:pt>
              </c:strCache>
            </c:strRef>
          </c:cat>
          <c:val>
            <c:numRef>
              <c:f>'Project Heartbeat'!$C$27:$J$27</c:f>
              <c:numCache>
                <c:formatCode>0%</c:formatCode>
                <c:ptCount val="8"/>
                <c:pt idx="0">
                  <c:v>0</c:v>
                </c:pt>
                <c:pt idx="1">
                  <c:v>0</c:v>
                </c:pt>
                <c:pt idx="2">
                  <c:v>0</c:v>
                </c:pt>
                <c:pt idx="3">
                  <c:v>0</c:v>
                </c:pt>
                <c:pt idx="4">
                  <c:v>0</c:v>
                </c:pt>
                <c:pt idx="5">
                  <c:v>0</c:v>
                </c:pt>
                <c:pt idx="6">
                  <c:v>0</c:v>
                </c:pt>
                <c:pt idx="7">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61F6-B344-BD7F-770C2FEB0B4B}"/>
            </c:ext>
          </c:extLst>
        </c:ser>
        <c:dLbls>
          <c:showLegendKey val="0"/>
          <c:showVal val="0"/>
          <c:showCatName val="0"/>
          <c:showSerName val="0"/>
          <c:showPercent val="0"/>
          <c:showBubbleSize val="0"/>
        </c:dLbls>
        <c:gapWidth val="150"/>
        <c:axId val="-498779152"/>
        <c:axId val="-461734128"/>
      </c:barChart>
      <c:catAx>
        <c:axId val="-498779152"/>
        <c:scaling>
          <c:orientation val="minMax"/>
        </c:scaling>
        <c:delete val="0"/>
        <c:axPos val="b"/>
        <c:numFmt formatCode="General" sourceLinked="1"/>
        <c:majorTickMark val="cross"/>
        <c:minorTickMark val="cross"/>
        <c:tickLblPos val="nextTo"/>
        <c:txPr>
          <a:bodyPr/>
          <a:lstStyle/>
          <a:p>
            <a:pPr lvl="0">
              <a:defRPr/>
            </a:pPr>
            <a:endParaRPr lang="en-CH"/>
          </a:p>
        </c:txPr>
        <c:crossAx val="-461734128"/>
        <c:crosses val="autoZero"/>
        <c:auto val="1"/>
        <c:lblAlgn val="ctr"/>
        <c:lblOffset val="100"/>
        <c:noMultiLvlLbl val="1"/>
      </c:catAx>
      <c:valAx>
        <c:axId val="-461734128"/>
        <c:scaling>
          <c:orientation val="minMax"/>
          <c:max val="1"/>
          <c:min val="0"/>
        </c:scaling>
        <c:delete val="0"/>
        <c:axPos val="l"/>
        <c:majorGridlines>
          <c:spPr>
            <a:ln>
              <a:solidFill>
                <a:srgbClr val="B7B7B7"/>
              </a:solidFill>
            </a:ln>
          </c:spPr>
        </c:majorGridlines>
        <c:numFmt formatCode="0%" sourceLinked="0"/>
        <c:majorTickMark val="cross"/>
        <c:minorTickMark val="cross"/>
        <c:tickLblPos val="nextTo"/>
        <c:spPr>
          <a:ln w="47625">
            <a:noFill/>
          </a:ln>
        </c:spPr>
        <c:txPr>
          <a:bodyPr/>
          <a:lstStyle/>
          <a:p>
            <a:pPr lvl="0">
              <a:defRPr/>
            </a:pPr>
            <a:endParaRPr lang="en-CH"/>
          </a:p>
        </c:txPr>
        <c:crossAx val="-498779152"/>
        <c:crosses val="autoZero"/>
        <c:crossBetween val="between"/>
      </c:valAx>
    </c:plotArea>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18"/>
  <c:chart>
    <c:title>
      <c:tx>
        <c:rich>
          <a:bodyPr/>
          <a:lstStyle/>
          <a:p>
            <a:pPr lvl="0">
              <a:defRPr sz="1600" b="1">
                <a:solidFill>
                  <a:srgbClr val="000000"/>
                </a:solidFill>
              </a:defRPr>
            </a:pPr>
            <a:r>
              <a:rPr lang="en-US"/>
              <a:t>Phase Quality</a:t>
            </a:r>
          </a:p>
        </c:rich>
      </c:tx>
      <c:overlay val="0"/>
    </c:title>
    <c:autoTitleDeleted val="0"/>
    <c:plotArea>
      <c:layout/>
      <c:barChart>
        <c:barDir val="col"/>
        <c:grouping val="clustered"/>
        <c:varyColors val="0"/>
        <c:ser>
          <c:idx val="0"/>
          <c:order val="0"/>
          <c:spPr>
            <a:ln w="47625">
              <a:noFill/>
            </a:ln>
          </c:spPr>
          <c:invertIfNegative val="0"/>
          <c:cat>
            <c:strRef>
              <c:f>'Project Heartbeat'!$C$22:$J$22</c:f>
              <c:strCache>
                <c:ptCount val="8"/>
                <c:pt idx="0">
                  <c:v>Preparation</c:v>
                </c:pt>
                <c:pt idx="1">
                  <c:v>Planning</c:v>
                </c:pt>
                <c:pt idx="2">
                  <c:v>Development Planning</c:v>
                </c:pt>
                <c:pt idx="3">
                  <c:v>Operations &amp; Operations Planning</c:v>
                </c:pt>
                <c:pt idx="4">
                  <c:v>Development</c:v>
                </c:pt>
                <c:pt idx="5">
                  <c:v>Performance &amp; Testing</c:v>
                </c:pt>
                <c:pt idx="6">
                  <c:v>Rollout</c:v>
                </c:pt>
                <c:pt idx="7">
                  <c:v>Go Live</c:v>
                </c:pt>
              </c:strCache>
            </c:strRef>
          </c:cat>
          <c:val>
            <c:numRef>
              <c:f>'Project Heartbeat'!$C$23:$J$23</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0751-6143-9B35-609FCCFBD85C}"/>
            </c:ext>
          </c:extLst>
        </c:ser>
        <c:dLbls>
          <c:showLegendKey val="0"/>
          <c:showVal val="0"/>
          <c:showCatName val="0"/>
          <c:showSerName val="0"/>
          <c:showPercent val="0"/>
          <c:showBubbleSize val="0"/>
        </c:dLbls>
        <c:gapWidth val="150"/>
        <c:axId val="-468080480"/>
        <c:axId val="-468091552"/>
      </c:barChart>
      <c:catAx>
        <c:axId val="-468080480"/>
        <c:scaling>
          <c:orientation val="minMax"/>
        </c:scaling>
        <c:delete val="0"/>
        <c:axPos val="b"/>
        <c:majorGridlines>
          <c:spPr>
            <a:ln>
              <a:solidFill>
                <a:srgbClr val="B7B7B7"/>
              </a:solidFill>
            </a:ln>
          </c:spPr>
        </c:majorGridlines>
        <c:numFmt formatCode="General" sourceLinked="1"/>
        <c:majorTickMark val="cross"/>
        <c:minorTickMark val="cross"/>
        <c:tickLblPos val="nextTo"/>
        <c:spPr>
          <a:ln w="47625">
            <a:noFill/>
          </a:ln>
        </c:spPr>
        <c:txPr>
          <a:bodyPr rot="-2760000"/>
          <a:lstStyle/>
          <a:p>
            <a:pPr lvl="0">
              <a:defRPr/>
            </a:pPr>
            <a:endParaRPr lang="en-CH"/>
          </a:p>
        </c:txPr>
        <c:crossAx val="-468091552"/>
        <c:crosses val="autoZero"/>
        <c:auto val="1"/>
        <c:lblAlgn val="ctr"/>
        <c:lblOffset val="100"/>
        <c:noMultiLvlLbl val="1"/>
      </c:catAx>
      <c:valAx>
        <c:axId val="-468091552"/>
        <c:scaling>
          <c:orientation val="minMax"/>
          <c:max val="3"/>
          <c:min val="1"/>
        </c:scaling>
        <c:delete val="0"/>
        <c:axPos val="l"/>
        <c:majorGridlines>
          <c:spPr>
            <a:ln>
              <a:solidFill>
                <a:srgbClr val="B7B7B7"/>
              </a:solidFill>
            </a:ln>
          </c:spPr>
        </c:majorGridlines>
        <c:numFmt formatCode="#,##0.00" sourceLinked="1"/>
        <c:majorTickMark val="cross"/>
        <c:minorTickMark val="cross"/>
        <c:tickLblPos val="nextTo"/>
        <c:spPr>
          <a:ln w="47625">
            <a:noFill/>
          </a:ln>
        </c:spPr>
        <c:txPr>
          <a:bodyPr/>
          <a:lstStyle/>
          <a:p>
            <a:pPr lvl="0">
              <a:defRPr/>
            </a:pPr>
            <a:endParaRPr lang="en-CH"/>
          </a:p>
        </c:txPr>
        <c:crossAx val="-468080480"/>
        <c:crosses val="autoZero"/>
        <c:crossBetween val="between"/>
        <c:majorUnit val="0.5"/>
        <c:minorUnit val="0.1"/>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png"/><Relationship Id="rId4"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63500</xdr:colOff>
      <xdr:row>0</xdr:row>
      <xdr:rowOff>0</xdr:rowOff>
    </xdr:from>
    <xdr:to>
      <xdr:col>0</xdr:col>
      <xdr:colOff>777875</xdr:colOff>
      <xdr:row>0</xdr:row>
      <xdr:rowOff>704850</xdr:rowOff>
    </xdr:to>
    <xdr:pic>
      <xdr:nvPicPr>
        <xdr:cNvPr id="2" name="image00.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63500" y="0"/>
          <a:ext cx="714375" cy="704850"/>
        </a:xfrm>
        <a:prstGeom prst="rect">
          <a:avLst/>
        </a:prstGeom>
        <a:noFill/>
      </xdr:spPr>
    </xdr:pic>
    <xdr:clientData fLocksWithSheet="0"/>
  </xdr:twoCellAnchor>
</xdr:wsDr>
</file>

<file path=xl/drawings/drawing2.xml><?xml version="1.0" encoding="utf-8"?>
<xdr:wsDr xmlns:xdr="http://schemas.openxmlformats.org/drawingml/2006/spreadsheetDrawing" xmlns:a="http://schemas.openxmlformats.org/drawingml/2006/main">
  <xdr:twoCellAnchor>
    <xdr:from>
      <xdr:col>0</xdr:col>
      <xdr:colOff>104775</xdr:colOff>
      <xdr:row>1</xdr:row>
      <xdr:rowOff>104774</xdr:rowOff>
    </xdr:from>
    <xdr:to>
      <xdr:col>3</xdr:col>
      <xdr:colOff>520700</xdr:colOff>
      <xdr:row>19</xdr:row>
      <xdr:rowOff>622299</xdr:rowOff>
    </xdr:to>
    <xdr:graphicFrame macro="">
      <xdr:nvGraphicFramePr>
        <xdr:cNvPr id="2" name="Chart 1" title="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3</xdr:col>
      <xdr:colOff>835025</xdr:colOff>
      <xdr:row>1</xdr:row>
      <xdr:rowOff>101600</xdr:rowOff>
    </xdr:from>
    <xdr:to>
      <xdr:col>6</xdr:col>
      <xdr:colOff>1308100</xdr:colOff>
      <xdr:row>19</xdr:row>
      <xdr:rowOff>596900</xdr:rowOff>
    </xdr:to>
    <xdr:graphicFrame macro="">
      <xdr:nvGraphicFramePr>
        <xdr:cNvPr id="3" name="Chart 2" title="Chart">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7</xdr:col>
      <xdr:colOff>171450</xdr:colOff>
      <xdr:row>1</xdr:row>
      <xdr:rowOff>88900</xdr:rowOff>
    </xdr:from>
    <xdr:to>
      <xdr:col>9</xdr:col>
      <xdr:colOff>1231900</xdr:colOff>
      <xdr:row>19</xdr:row>
      <xdr:rowOff>571500</xdr:rowOff>
    </xdr:to>
    <xdr:graphicFrame macro="">
      <xdr:nvGraphicFramePr>
        <xdr:cNvPr id="4" name="Chart 3" title="Chart">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9</xdr:col>
      <xdr:colOff>685801</xdr:colOff>
      <xdr:row>0</xdr:row>
      <xdr:rowOff>139701</xdr:rowOff>
    </xdr:from>
    <xdr:to>
      <xdr:col>10</xdr:col>
      <xdr:colOff>292101</xdr:colOff>
      <xdr:row>0</xdr:row>
      <xdr:rowOff>901701</xdr:rowOff>
    </xdr:to>
    <xdr:pic>
      <xdr:nvPicPr>
        <xdr:cNvPr id="5" name="image03.png" title="Image">
          <a:extLst>
            <a:ext uri="{FF2B5EF4-FFF2-40B4-BE49-F238E27FC236}">
              <a16:creationId xmlns:a16="http://schemas.microsoft.com/office/drawing/2014/main" id="{00000000-0008-0000-0100-000005000000}"/>
            </a:ext>
          </a:extLst>
        </xdr:cNvPr>
        <xdr:cNvPicPr preferRelativeResize="0"/>
      </xdr:nvPicPr>
      <xdr:blipFill rotWithShape="1">
        <a:blip xmlns:r="http://schemas.openxmlformats.org/officeDocument/2006/relationships" r:embed="rId4" cstate="print"/>
        <a:srcRect l="22081"/>
        <a:stretch/>
      </xdr:blipFill>
      <xdr:spPr>
        <a:xfrm>
          <a:off x="14922501" y="139701"/>
          <a:ext cx="977900" cy="762000"/>
        </a:xfrm>
        <a:prstGeom prst="rect">
          <a:avLst/>
        </a:prstGeom>
        <a:noFill/>
      </xdr:spPr>
    </xdr:pic>
    <xdr:clientData fLocksWithSheet="0"/>
  </xdr:twoCellAnchor>
  <xdr:twoCellAnchor>
    <xdr:from>
      <xdr:col>0</xdr:col>
      <xdr:colOff>165101</xdr:colOff>
      <xdr:row>0</xdr:row>
      <xdr:rowOff>114301</xdr:rowOff>
    </xdr:from>
    <xdr:to>
      <xdr:col>0</xdr:col>
      <xdr:colOff>879476</xdr:colOff>
      <xdr:row>0</xdr:row>
      <xdr:rowOff>819151</xdr:rowOff>
    </xdr:to>
    <xdr:pic>
      <xdr:nvPicPr>
        <xdr:cNvPr id="6" name="image00.png" title="Image">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5" cstate="print"/>
        <a:stretch>
          <a:fillRect/>
        </a:stretch>
      </xdr:blipFill>
      <xdr:spPr>
        <a:xfrm>
          <a:off x="165101" y="114301"/>
          <a:ext cx="714375" cy="704850"/>
        </a:xfrm>
        <a:prstGeom prst="rect">
          <a:avLst/>
        </a:prstGeom>
        <a:noFill/>
      </xdr:spPr>
    </xdr:pic>
    <xdr:clientData fLocksWithSheet="0"/>
  </xdr:twoCellAnchor>
</xdr:wsDr>
</file>

<file path=xl/drawings/drawing3.xml><?xml version="1.0" encoding="utf-8"?>
<xdr:wsDr xmlns:xdr="http://schemas.openxmlformats.org/drawingml/2006/spreadsheetDrawing" xmlns:a="http://schemas.openxmlformats.org/drawingml/2006/main">
  <xdr:twoCellAnchor>
    <xdr:from>
      <xdr:col>0</xdr:col>
      <xdr:colOff>183376</xdr:colOff>
      <xdr:row>0</xdr:row>
      <xdr:rowOff>200102</xdr:rowOff>
    </xdr:from>
    <xdr:to>
      <xdr:col>0</xdr:col>
      <xdr:colOff>897751</xdr:colOff>
      <xdr:row>0</xdr:row>
      <xdr:rowOff>904952</xdr:rowOff>
    </xdr:to>
    <xdr:pic>
      <xdr:nvPicPr>
        <xdr:cNvPr id="3" name="image00.png" title="Image">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1" cstate="print"/>
        <a:stretch>
          <a:fillRect/>
        </a:stretch>
      </xdr:blipFill>
      <xdr:spPr>
        <a:xfrm>
          <a:off x="183376" y="200102"/>
          <a:ext cx="714375" cy="704850"/>
        </a:xfrm>
        <a:prstGeom prst="rect">
          <a:avLst/>
        </a:prstGeom>
        <a:noFill/>
      </xdr:spPr>
    </xdr:pic>
    <xdr:clientData fLocksWithSheet="0"/>
  </xdr:twoCellAnchor>
  <xdr:twoCellAnchor>
    <xdr:from>
      <xdr:col>35</xdr:col>
      <xdr:colOff>127000</xdr:colOff>
      <xdr:row>0</xdr:row>
      <xdr:rowOff>152400</xdr:rowOff>
    </xdr:from>
    <xdr:to>
      <xdr:col>36</xdr:col>
      <xdr:colOff>171295</xdr:colOff>
      <xdr:row>0</xdr:row>
      <xdr:rowOff>924312</xdr:rowOff>
    </xdr:to>
    <xdr:pic>
      <xdr:nvPicPr>
        <xdr:cNvPr id="4" name="image03.png" title="Image">
          <a:extLst>
            <a:ext uri="{FF2B5EF4-FFF2-40B4-BE49-F238E27FC236}">
              <a16:creationId xmlns:a16="http://schemas.microsoft.com/office/drawing/2014/main" id="{00000000-0008-0000-0200-000004000000}"/>
            </a:ext>
          </a:extLst>
        </xdr:cNvPr>
        <xdr:cNvPicPr preferRelativeResize="0"/>
      </xdr:nvPicPr>
      <xdr:blipFill rotWithShape="1">
        <a:blip xmlns:r="http://schemas.openxmlformats.org/officeDocument/2006/relationships" r:embed="rId2" cstate="print"/>
        <a:srcRect l="22081"/>
        <a:stretch/>
      </xdr:blipFill>
      <xdr:spPr>
        <a:xfrm>
          <a:off x="29133800" y="152400"/>
          <a:ext cx="984095" cy="771912"/>
        </a:xfrm>
        <a:prstGeom prst="rect">
          <a:avLst/>
        </a:prstGeom>
        <a:noFill/>
      </xdr:spPr>
    </xdr:pic>
    <xdr:clientData fLocksWithSheet="0"/>
  </xdr:twoCellAnchor>
</xdr:wsDr>
</file>

<file path=xl/drawings/drawing4.xml><?xml version="1.0" encoding="utf-8"?>
<xdr:wsDr xmlns:xdr="http://schemas.openxmlformats.org/drawingml/2006/spreadsheetDrawing" xmlns:a="http://schemas.openxmlformats.org/drawingml/2006/main">
  <xdr:twoCellAnchor>
    <xdr:from>
      <xdr:col>0</xdr:col>
      <xdr:colOff>63501</xdr:colOff>
      <xdr:row>0</xdr:row>
      <xdr:rowOff>38100</xdr:rowOff>
    </xdr:from>
    <xdr:to>
      <xdr:col>0</xdr:col>
      <xdr:colOff>552623</xdr:colOff>
      <xdr:row>0</xdr:row>
      <xdr:rowOff>520700</xdr:rowOff>
    </xdr:to>
    <xdr:pic>
      <xdr:nvPicPr>
        <xdr:cNvPr id="2" name="image00.png" title="Image">
          <a:extLst>
            <a:ext uri="{FF2B5EF4-FFF2-40B4-BE49-F238E27FC236}">
              <a16:creationId xmlns:a16="http://schemas.microsoft.com/office/drawing/2014/main" id="{00000000-0008-0000-0B00-000002000000}"/>
            </a:ext>
          </a:extLst>
        </xdr:cNvPr>
        <xdr:cNvPicPr preferRelativeResize="0"/>
      </xdr:nvPicPr>
      <xdr:blipFill>
        <a:blip xmlns:r="http://schemas.openxmlformats.org/officeDocument/2006/relationships" r:embed="rId1" cstate="print"/>
        <a:stretch>
          <a:fillRect/>
        </a:stretch>
      </xdr:blipFill>
      <xdr:spPr>
        <a:xfrm>
          <a:off x="63501" y="38100"/>
          <a:ext cx="489122" cy="482600"/>
        </a:xfrm>
        <a:prstGeom prst="rect">
          <a:avLst/>
        </a:prstGeom>
        <a:noFill/>
      </xdr:spPr>
    </xdr:pic>
    <xdr:clientData fLocksWithSheet="0"/>
  </xdr:twoCellAnchor>
  <xdr:twoCellAnchor>
    <xdr:from>
      <xdr:col>3</xdr:col>
      <xdr:colOff>5727700</xdr:colOff>
      <xdr:row>0</xdr:row>
      <xdr:rowOff>38100</xdr:rowOff>
    </xdr:from>
    <xdr:to>
      <xdr:col>4</xdr:col>
      <xdr:colOff>114300</xdr:colOff>
      <xdr:row>0</xdr:row>
      <xdr:rowOff>533400</xdr:rowOff>
    </xdr:to>
    <xdr:pic>
      <xdr:nvPicPr>
        <xdr:cNvPr id="3" name="image03.png" title="Image">
          <a:extLst>
            <a:ext uri="{FF2B5EF4-FFF2-40B4-BE49-F238E27FC236}">
              <a16:creationId xmlns:a16="http://schemas.microsoft.com/office/drawing/2014/main" id="{00000000-0008-0000-0B00-000003000000}"/>
            </a:ext>
          </a:extLst>
        </xdr:cNvPr>
        <xdr:cNvPicPr preferRelativeResize="0"/>
      </xdr:nvPicPr>
      <xdr:blipFill rotWithShape="1">
        <a:blip xmlns:r="http://schemas.openxmlformats.org/officeDocument/2006/relationships" r:embed="rId2" cstate="print"/>
        <a:srcRect l="22081"/>
        <a:stretch/>
      </xdr:blipFill>
      <xdr:spPr>
        <a:xfrm>
          <a:off x="16383000" y="38100"/>
          <a:ext cx="584200" cy="495300"/>
        </a:xfrm>
        <a:prstGeom prst="rect">
          <a:avLst/>
        </a:prstGeom>
        <a:noFill/>
      </xdr:spPr>
    </xdr:pic>
    <xdr:clientData fLocksWithSheet="0"/>
  </xdr:twoCellAnchor>
</xdr:wsDr>
</file>

<file path=xl/drawings/drawing5.xml><?xml version="1.0" encoding="utf-8"?>
<xdr:wsDr xmlns:xdr="http://schemas.openxmlformats.org/drawingml/2006/spreadsheetDrawing" xmlns:a="http://schemas.openxmlformats.org/drawingml/2006/main">
  <xdr:twoCellAnchor>
    <xdr:from>
      <xdr:col>0</xdr:col>
      <xdr:colOff>12700</xdr:colOff>
      <xdr:row>0</xdr:row>
      <xdr:rowOff>25400</xdr:rowOff>
    </xdr:from>
    <xdr:to>
      <xdr:col>0</xdr:col>
      <xdr:colOff>501822</xdr:colOff>
      <xdr:row>1</xdr:row>
      <xdr:rowOff>0</xdr:rowOff>
    </xdr:to>
    <xdr:pic>
      <xdr:nvPicPr>
        <xdr:cNvPr id="2" name="image00.png" title="Image">
          <a:extLst>
            <a:ext uri="{FF2B5EF4-FFF2-40B4-BE49-F238E27FC236}">
              <a16:creationId xmlns:a16="http://schemas.microsoft.com/office/drawing/2014/main" id="{00000000-0008-0000-0C00-000002000000}"/>
            </a:ext>
          </a:extLst>
        </xdr:cNvPr>
        <xdr:cNvPicPr preferRelativeResize="0"/>
      </xdr:nvPicPr>
      <xdr:blipFill>
        <a:blip xmlns:r="http://schemas.openxmlformats.org/officeDocument/2006/relationships" r:embed="rId1" cstate="print"/>
        <a:stretch>
          <a:fillRect/>
        </a:stretch>
      </xdr:blipFill>
      <xdr:spPr>
        <a:xfrm>
          <a:off x="12700" y="25400"/>
          <a:ext cx="489122" cy="482600"/>
        </a:xfrm>
        <a:prstGeom prst="rect">
          <a:avLst/>
        </a:prstGeom>
        <a:noFill/>
      </xdr:spPr>
    </xdr:pic>
    <xdr:clientData fLocksWithSheet="0"/>
  </xdr:twoCellAnchor>
  <xdr:twoCellAnchor>
    <xdr:from>
      <xdr:col>2</xdr:col>
      <xdr:colOff>5384800</xdr:colOff>
      <xdr:row>0</xdr:row>
      <xdr:rowOff>50800</xdr:rowOff>
    </xdr:from>
    <xdr:to>
      <xdr:col>4</xdr:col>
      <xdr:colOff>88900</xdr:colOff>
      <xdr:row>0</xdr:row>
      <xdr:rowOff>495300</xdr:rowOff>
    </xdr:to>
    <xdr:pic>
      <xdr:nvPicPr>
        <xdr:cNvPr id="3" name="image03.png" title="Image">
          <a:extLst>
            <a:ext uri="{FF2B5EF4-FFF2-40B4-BE49-F238E27FC236}">
              <a16:creationId xmlns:a16="http://schemas.microsoft.com/office/drawing/2014/main" id="{00000000-0008-0000-0C00-000003000000}"/>
            </a:ext>
          </a:extLst>
        </xdr:cNvPr>
        <xdr:cNvPicPr preferRelativeResize="0"/>
      </xdr:nvPicPr>
      <xdr:blipFill rotWithShape="1">
        <a:blip xmlns:r="http://schemas.openxmlformats.org/officeDocument/2006/relationships" r:embed="rId2" cstate="print"/>
        <a:srcRect l="22081"/>
        <a:stretch/>
      </xdr:blipFill>
      <xdr:spPr>
        <a:xfrm>
          <a:off x="7848600" y="50800"/>
          <a:ext cx="533400" cy="444500"/>
        </a:xfrm>
        <a:prstGeom prst="rect">
          <a:avLst/>
        </a:prstGeom>
        <a:noFill/>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3" Type="http://schemas.openxmlformats.org/officeDocument/2006/relationships/hyperlink" Target="https://learning.adobe.com/catalog.html?solution=Adobe%20Experience%20Manager" TargetMode="External"/><Relationship Id="rId2" Type="http://schemas.openxmlformats.org/officeDocument/2006/relationships/hyperlink" Target="https://experienceleague.adobe.com/docs/customer-one/using/home.html?lang=en" TargetMode="External"/><Relationship Id="rId1" Type="http://schemas.openxmlformats.org/officeDocument/2006/relationships/hyperlink" Target="https://experienceleague.adobe.com/docs/experience-manager-65/administering/security/security-checklist.html?lang=en" TargetMode="External"/><Relationship Id="rId6" Type="http://schemas.openxmlformats.org/officeDocument/2006/relationships/drawing" Target="../drawings/drawing4.xml"/><Relationship Id="rId5" Type="http://schemas.openxmlformats.org/officeDocument/2006/relationships/hyperlink" Target="https://experienceleague.adobe.com/docs/experience-manager-65/administering/operations/workflows-administering.html?lang=en" TargetMode="External"/><Relationship Id="rId4" Type="http://schemas.openxmlformats.org/officeDocument/2006/relationships/hyperlink" Target="https://experienceleague.adobe.com/docs/experience-manager-65/deploying/introduction/technical-requirements.html?lang=en" TargetMode="Externa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00FF"/>
  </sheetPr>
  <dimension ref="A1:S42"/>
  <sheetViews>
    <sheetView showGridLines="0" tabSelected="1" workbookViewId="0">
      <selection activeCell="C5" sqref="C5"/>
    </sheetView>
  </sheetViews>
  <sheetFormatPr baseColWidth="10" defaultColWidth="17.33203125" defaultRowHeight="15" customHeight="1"/>
  <cols>
    <col min="1" max="1" width="10.6640625" customWidth="1"/>
    <col min="2" max="2" width="138.33203125" customWidth="1"/>
    <col min="3" max="3" width="23.83203125" customWidth="1"/>
  </cols>
  <sheetData>
    <row r="1" spans="1:19" ht="57" customHeight="1">
      <c r="A1" s="4"/>
      <c r="B1" s="7" t="s">
        <v>9</v>
      </c>
      <c r="C1" s="8"/>
      <c r="D1" s="9"/>
      <c r="E1" s="9"/>
      <c r="F1" s="9"/>
      <c r="G1" s="9"/>
      <c r="H1" s="9"/>
      <c r="I1" s="9"/>
      <c r="J1" s="9"/>
      <c r="K1" s="9"/>
      <c r="L1" s="9"/>
      <c r="M1" s="9"/>
      <c r="N1" s="9"/>
      <c r="O1" s="9"/>
      <c r="P1" s="9"/>
      <c r="Q1" s="9"/>
      <c r="R1" s="9"/>
      <c r="S1" s="9"/>
    </row>
    <row r="3" spans="1:19" ht="42">
      <c r="B3" s="2" t="s">
        <v>10</v>
      </c>
    </row>
    <row r="4" spans="1:19" ht="16">
      <c r="A4" s="1"/>
      <c r="B4" s="11"/>
    </row>
    <row r="5" spans="1:19" ht="30" customHeight="1">
      <c r="A5" s="12"/>
      <c r="B5" s="13" t="s">
        <v>12</v>
      </c>
    </row>
    <row r="6" spans="1:19" ht="14">
      <c r="B6" s="3" t="s">
        <v>13</v>
      </c>
    </row>
    <row r="7" spans="1:19" ht="14">
      <c r="B7" s="3" t="s">
        <v>14</v>
      </c>
    </row>
    <row r="8" spans="1:19" ht="14">
      <c r="B8" s="3" t="s">
        <v>15</v>
      </c>
    </row>
    <row r="9" spans="1:19" ht="13">
      <c r="A9" s="3"/>
      <c r="B9" s="3"/>
    </row>
    <row r="10" spans="1:19" ht="36" customHeight="1">
      <c r="A10" s="12"/>
      <c r="B10" s="14" t="s">
        <v>16</v>
      </c>
    </row>
    <row r="11" spans="1:19" ht="28">
      <c r="B11" s="3" t="s">
        <v>17</v>
      </c>
    </row>
    <row r="12" spans="1:19" ht="13">
      <c r="A12" s="2"/>
      <c r="B12" s="2"/>
    </row>
    <row r="13" spans="1:19" ht="28.5" customHeight="1">
      <c r="A13" s="12"/>
      <c r="B13" s="14" t="s">
        <v>18</v>
      </c>
    </row>
    <row r="14" spans="1:19" ht="14">
      <c r="B14" s="2" t="s">
        <v>19</v>
      </c>
    </row>
    <row r="15" spans="1:19" ht="14">
      <c r="B15" s="3" t="s">
        <v>20</v>
      </c>
    </row>
    <row r="16" spans="1:19" ht="13">
      <c r="B16" s="2"/>
    </row>
    <row r="17" spans="1:2" ht="14">
      <c r="B17" s="2" t="s">
        <v>21</v>
      </c>
    </row>
    <row r="18" spans="1:2" ht="14">
      <c r="B18" s="3" t="s">
        <v>22</v>
      </c>
    </row>
    <row r="19" spans="1:2" ht="13">
      <c r="B19" s="2"/>
    </row>
    <row r="20" spans="1:2" ht="14">
      <c r="B20" s="2" t="s">
        <v>23</v>
      </c>
    </row>
    <row r="21" spans="1:2" ht="14">
      <c r="B21" s="3" t="s">
        <v>24</v>
      </c>
    </row>
    <row r="22" spans="1:2" ht="13">
      <c r="B22" s="2"/>
    </row>
    <row r="23" spans="1:2" ht="14">
      <c r="B23" s="2" t="s">
        <v>25</v>
      </c>
    </row>
    <row r="24" spans="1:2" ht="14">
      <c r="B24" s="3" t="s">
        <v>26</v>
      </c>
    </row>
    <row r="25" spans="1:2" ht="13">
      <c r="B25" s="15"/>
    </row>
    <row r="26" spans="1:2" ht="14">
      <c r="B26" s="16" t="s">
        <v>27</v>
      </c>
    </row>
    <row r="27" spans="1:2" ht="28">
      <c r="B27" s="17" t="s">
        <v>28</v>
      </c>
    </row>
    <row r="28" spans="1:2" ht="13">
      <c r="B28" s="2"/>
    </row>
    <row r="29" spans="1:2" ht="14">
      <c r="B29" s="2" t="s">
        <v>29</v>
      </c>
    </row>
    <row r="30" spans="1:2" ht="14">
      <c r="B30" s="3" t="s">
        <v>30</v>
      </c>
    </row>
    <row r="32" spans="1:2" ht="27" customHeight="1">
      <c r="A32" s="12"/>
      <c r="B32" s="14" t="s">
        <v>31</v>
      </c>
    </row>
    <row r="33" spans="1:2" ht="17.25" customHeight="1">
      <c r="A33" s="18"/>
      <c r="B33" s="19" t="s">
        <v>32</v>
      </c>
    </row>
    <row r="34" spans="1:2" ht="14">
      <c r="B34" s="3" t="s">
        <v>33</v>
      </c>
    </row>
    <row r="36" spans="1:2" ht="14">
      <c r="B36" s="20" t="s">
        <v>34</v>
      </c>
    </row>
    <row r="37" spans="1:2" ht="14">
      <c r="B37" s="3" t="s">
        <v>35</v>
      </c>
    </row>
    <row r="39" spans="1:2" ht="14">
      <c r="B39" s="20" t="s">
        <v>36</v>
      </c>
    </row>
    <row r="40" spans="1:2" ht="14">
      <c r="B40" s="3" t="s">
        <v>37</v>
      </c>
    </row>
    <row r="42" spans="1:2" ht="13">
      <c r="A42" s="18"/>
      <c r="B42" s="18"/>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8FF00"/>
  </sheetPr>
  <dimension ref="A1:O1011"/>
  <sheetViews>
    <sheetView showGridLines="0" workbookViewId="0">
      <pane xSplit="2" ySplit="1" topLeftCell="C2" activePane="bottomRight" state="frozen"/>
      <selection pane="topRight" activeCell="C1" sqref="C1"/>
      <selection pane="bottomLeft" activeCell="A2" sqref="A2"/>
      <selection pane="bottomRight" activeCell="H2" sqref="H2:H3"/>
    </sheetView>
  </sheetViews>
  <sheetFormatPr baseColWidth="10" defaultColWidth="17.33203125" defaultRowHeight="15" customHeight="1"/>
  <cols>
    <col min="1" max="1" width="22.5" customWidth="1"/>
    <col min="2" max="2" width="24.83203125" customWidth="1"/>
    <col min="3" max="3" width="53.83203125" customWidth="1"/>
    <col min="4" max="4" width="4.83203125" customWidth="1"/>
    <col min="5" max="5" width="8" hidden="1" customWidth="1"/>
    <col min="6" max="7" width="4.83203125" hidden="1" customWidth="1"/>
    <col min="8" max="8" width="6.1640625" customWidth="1"/>
    <col min="9" max="9" width="5.83203125" customWidth="1"/>
    <col min="10" max="10" width="58.33203125" customWidth="1"/>
    <col min="11" max="11" width="4.5" customWidth="1"/>
    <col min="12" max="12" width="9.83203125" hidden="1" customWidth="1"/>
    <col min="13" max="13" width="5.33203125" hidden="1" customWidth="1"/>
    <col min="14" max="14" width="5.5" hidden="1" customWidth="1"/>
    <col min="15" max="15" width="7.83203125" customWidth="1"/>
    <col min="16" max="31" width="17.1640625" customWidth="1"/>
  </cols>
  <sheetData>
    <row r="1" spans="1:15" ht="24">
      <c r="A1" s="22" t="s">
        <v>19</v>
      </c>
      <c r="B1" s="22" t="s">
        <v>21</v>
      </c>
      <c r="C1" s="24" t="s">
        <v>23</v>
      </c>
      <c r="D1" s="26" t="s">
        <v>25</v>
      </c>
      <c r="E1" s="257"/>
      <c r="F1" s="257"/>
      <c r="G1" s="257"/>
      <c r="H1" s="31" t="s">
        <v>42</v>
      </c>
      <c r="I1" s="33"/>
      <c r="J1" s="35" t="s">
        <v>29</v>
      </c>
      <c r="K1" s="26" t="s">
        <v>25</v>
      </c>
      <c r="O1" s="37"/>
    </row>
    <row r="2" spans="1:15" ht="16.5" customHeight="1">
      <c r="A2" s="468" t="s">
        <v>46</v>
      </c>
      <c r="B2" s="471" t="s">
        <v>60</v>
      </c>
      <c r="C2" s="146" t="str">
        <f>Glossary!B88</f>
        <v>External System &amp; User dependencies / System Context</v>
      </c>
      <c r="D2" s="453"/>
      <c r="E2" t="b">
        <f t="shared" ref="E2:E12" si="0">IF(OR(D2="y",D2="n"), G2)</f>
        <v>0</v>
      </c>
      <c r="F2" s="51" t="str">
        <f t="shared" ref="F2:F12" si="1">IF(D2 = "Y",E2, IF(D2="n",0, ""))</f>
        <v/>
      </c>
      <c r="G2" s="53">
        <v>30</v>
      </c>
      <c r="H2" s="400"/>
      <c r="I2" s="56"/>
      <c r="J2" s="69" t="str">
        <f>Glossary!B105</f>
        <v>High Level System Map</v>
      </c>
      <c r="K2" s="402"/>
      <c r="L2" t="b">
        <f t="shared" ref="L2:L3" si="2">IF(OR(K2="y",K2="n"), N2)</f>
        <v>0</v>
      </c>
      <c r="M2" s="51" t="str">
        <f t="shared" ref="M2:M3" si="3">IF(K2 = "Y",L2, IF(K2="n",0, ""))</f>
        <v/>
      </c>
      <c r="N2" s="53">
        <v>30</v>
      </c>
      <c r="O2" s="37"/>
    </row>
    <row r="3" spans="1:15" ht="16.5" customHeight="1">
      <c r="A3" s="469"/>
      <c r="B3" s="469"/>
      <c r="C3" s="82" t="str">
        <f>Glossary!B86</f>
        <v>Experience Designs Requirements</v>
      </c>
      <c r="D3" s="453"/>
      <c r="E3" t="b">
        <f t="shared" si="0"/>
        <v>0</v>
      </c>
      <c r="F3" s="51" t="str">
        <f t="shared" si="1"/>
        <v/>
      </c>
      <c r="G3" s="53">
        <v>10</v>
      </c>
      <c r="H3" s="400"/>
      <c r="I3" s="56"/>
      <c r="J3" s="463" t="str">
        <f>Glossary!B101</f>
        <v>Hardware Estimates</v>
      </c>
      <c r="K3" s="402"/>
      <c r="L3" t="b">
        <f t="shared" si="2"/>
        <v>0</v>
      </c>
      <c r="M3" s="51" t="str">
        <f t="shared" si="3"/>
        <v/>
      </c>
      <c r="N3" s="53">
        <v>40</v>
      </c>
      <c r="O3" s="37"/>
    </row>
    <row r="4" spans="1:15" ht="18">
      <c r="A4" s="469"/>
      <c r="B4" s="469"/>
      <c r="C4" s="86" t="str">
        <f>Glossary!B34</f>
        <v>Business Requirements Documentation</v>
      </c>
      <c r="D4" s="402"/>
      <c r="E4" t="b">
        <f t="shared" si="0"/>
        <v>0</v>
      </c>
      <c r="F4" s="51" t="str">
        <f t="shared" si="1"/>
        <v/>
      </c>
      <c r="G4" s="53">
        <v>25</v>
      </c>
      <c r="H4" s="400"/>
      <c r="I4" s="56"/>
      <c r="J4" s="310"/>
      <c r="K4" s="137"/>
      <c r="O4" s="37"/>
    </row>
    <row r="5" spans="1:15" ht="16.5" customHeight="1">
      <c r="A5" s="469"/>
      <c r="B5" s="469"/>
      <c r="C5" s="86" t="str">
        <f>Glossary!B245</f>
        <v>Technical Requirements</v>
      </c>
      <c r="D5" s="402"/>
      <c r="E5" t="b">
        <f t="shared" si="0"/>
        <v>0</v>
      </c>
      <c r="F5" s="51" t="str">
        <f t="shared" si="1"/>
        <v/>
      </c>
      <c r="G5" s="53">
        <v>25</v>
      </c>
      <c r="H5" s="400"/>
      <c r="I5" s="56"/>
      <c r="J5" s="137"/>
      <c r="K5" s="137"/>
      <c r="O5" s="37"/>
    </row>
    <row r="6" spans="1:15" ht="16.5" customHeight="1">
      <c r="A6" s="469"/>
      <c r="B6" s="469"/>
      <c r="C6" s="82" t="str">
        <f>Glossary!B50</f>
        <v>Customer Security Policies</v>
      </c>
      <c r="D6" s="402"/>
      <c r="E6" t="b">
        <f t="shared" si="0"/>
        <v>0</v>
      </c>
      <c r="F6" s="51" t="str">
        <f t="shared" si="1"/>
        <v/>
      </c>
      <c r="G6" s="53">
        <v>30</v>
      </c>
      <c r="H6" s="400"/>
      <c r="I6" s="56"/>
      <c r="J6" s="137"/>
      <c r="K6" s="137"/>
      <c r="O6" s="37"/>
    </row>
    <row r="7" spans="1:15" ht="16.5" customHeight="1">
      <c r="A7" s="469"/>
      <c r="B7" s="469"/>
      <c r="C7" s="146" t="str">
        <f>Glossary!B211</f>
        <v>Security Concept</v>
      </c>
      <c r="D7" s="402"/>
      <c r="E7" t="b">
        <f t="shared" si="0"/>
        <v>0</v>
      </c>
      <c r="F7" s="51" t="str">
        <f t="shared" si="1"/>
        <v/>
      </c>
      <c r="G7" s="53">
        <v>30</v>
      </c>
      <c r="H7" s="400"/>
      <c r="I7" s="56"/>
      <c r="J7" s="192"/>
      <c r="K7" s="193"/>
      <c r="O7" s="37"/>
    </row>
    <row r="8" spans="1:15" ht="16.5" customHeight="1">
      <c r="A8" s="469"/>
      <c r="B8" s="469"/>
      <c r="C8" s="146" t="str">
        <f>Glossary!B107</f>
        <v xml:space="preserve">Historical performance and historical performance KPIs </v>
      </c>
      <c r="D8" s="402"/>
      <c r="E8" t="b">
        <f t="shared" si="0"/>
        <v>0</v>
      </c>
      <c r="F8" s="51" t="str">
        <f t="shared" si="1"/>
        <v/>
      </c>
      <c r="G8" s="53">
        <v>20</v>
      </c>
      <c r="H8" s="400"/>
      <c r="I8" s="56"/>
      <c r="J8" s="95"/>
      <c r="K8" s="97"/>
      <c r="O8" s="37"/>
    </row>
    <row r="9" spans="1:15" ht="16.5" customHeight="1">
      <c r="A9" s="469"/>
      <c r="B9" s="469"/>
      <c r="C9" s="137" t="str">
        <f>Glossary!B166</f>
        <v>Performance KPIs</v>
      </c>
      <c r="D9" s="402"/>
      <c r="E9" t="b">
        <f t="shared" si="0"/>
        <v>0</v>
      </c>
      <c r="F9" s="51" t="str">
        <f t="shared" si="1"/>
        <v/>
      </c>
      <c r="G9" s="53">
        <v>40</v>
      </c>
      <c r="H9" s="400"/>
      <c r="I9" s="56"/>
      <c r="J9" s="95"/>
      <c r="K9" s="97"/>
      <c r="O9" s="37"/>
    </row>
    <row r="10" spans="1:15" ht="16.5" customHeight="1">
      <c r="A10" s="469"/>
      <c r="B10" s="469"/>
      <c r="C10" s="137" t="str">
        <f>Glossary!B11</f>
        <v>Architecture Draft</v>
      </c>
      <c r="D10" s="402"/>
      <c r="E10" t="b">
        <f t="shared" si="0"/>
        <v>0</v>
      </c>
      <c r="F10" s="51" t="str">
        <f t="shared" si="1"/>
        <v/>
      </c>
      <c r="G10" s="53">
        <v>40</v>
      </c>
      <c r="H10" s="400"/>
      <c r="I10" s="56"/>
      <c r="J10" s="95"/>
      <c r="K10" s="97"/>
      <c r="O10" s="37"/>
    </row>
    <row r="11" spans="1:15" ht="16.5" customHeight="1">
      <c r="A11" s="469"/>
      <c r="B11" s="469"/>
      <c r="C11" s="69" t="str">
        <f>Glossary!B89</f>
        <v>Existing Systems Map</v>
      </c>
      <c r="D11" s="402"/>
      <c r="E11" t="b">
        <f t="shared" si="0"/>
        <v>0</v>
      </c>
      <c r="F11" s="51" t="str">
        <f t="shared" si="1"/>
        <v/>
      </c>
      <c r="G11" s="53">
        <v>20</v>
      </c>
      <c r="H11" s="400"/>
      <c r="I11" s="56"/>
      <c r="J11" s="95"/>
      <c r="K11" s="97"/>
      <c r="O11" s="37"/>
    </row>
    <row r="12" spans="1:15" ht="16.5" customHeight="1">
      <c r="A12" s="469"/>
      <c r="B12" s="469"/>
      <c r="C12" s="154" t="str">
        <f>Glossary!B233</f>
        <v>Success criteria and definition</v>
      </c>
      <c r="D12" s="402"/>
      <c r="E12" t="b">
        <f t="shared" si="0"/>
        <v>0</v>
      </c>
      <c r="F12" s="51" t="str">
        <f t="shared" si="1"/>
        <v/>
      </c>
      <c r="G12" s="53">
        <v>10</v>
      </c>
      <c r="H12" s="400"/>
      <c r="I12" s="56"/>
      <c r="J12" s="95"/>
      <c r="K12" s="97"/>
      <c r="O12" s="37"/>
    </row>
    <row r="13" spans="1:15" ht="16.5" customHeight="1">
      <c r="A13" s="478"/>
      <c r="B13" s="478"/>
      <c r="C13" s="156"/>
      <c r="D13" s="156"/>
      <c r="E13" s="156"/>
      <c r="F13" s="156"/>
      <c r="G13" s="156"/>
      <c r="H13" s="156"/>
      <c r="I13" s="74"/>
      <c r="J13" s="156"/>
      <c r="K13" s="156"/>
      <c r="O13" s="37"/>
    </row>
    <row r="14" spans="1:15" ht="16.5" hidden="1" customHeight="1">
      <c r="A14" s="301"/>
      <c r="B14" s="302"/>
      <c r="C14" s="154"/>
      <c r="D14" s="94">
        <f>COUNTA(D2:D12,K2:K3)/COUNTA(F2:F12,M2:M3)</f>
        <v>0</v>
      </c>
      <c r="E14" s="53">
        <f t="shared" ref="E14:F14" si="4">SUM(E2:E12)</f>
        <v>0</v>
      </c>
      <c r="F14" s="53">
        <f t="shared" si="4"/>
        <v>0</v>
      </c>
      <c r="G14" s="127"/>
      <c r="H14" s="94" t="str">
        <f>IFERROR(AVERAGE(H2:H12),"")</f>
        <v/>
      </c>
      <c r="I14" s="56"/>
      <c r="J14" s="95"/>
      <c r="K14" s="97"/>
      <c r="L14">
        <f t="shared" ref="L14:M14" si="5">SUM(L2:L3)</f>
        <v>0</v>
      </c>
      <c r="M14">
        <f t="shared" si="5"/>
        <v>0</v>
      </c>
      <c r="O14" s="37"/>
    </row>
    <row r="15" spans="1:15" ht="16.5" customHeight="1">
      <c r="A15" s="498" t="s">
        <v>47</v>
      </c>
      <c r="B15" s="495" t="s">
        <v>70</v>
      </c>
      <c r="C15" s="314" t="str">
        <f>Glossary!B202</f>
        <v>ROI expectations</v>
      </c>
      <c r="D15" s="402"/>
      <c r="E15" t="b">
        <f t="shared" ref="E15:E21" si="6">IF(OR(D15="y",D15="n"), G15)</f>
        <v>0</v>
      </c>
      <c r="F15" s="51" t="str">
        <f t="shared" ref="F15:F21" si="7">IF(D15 = "Y",E15, IF(D15="n",0, ""))</f>
        <v/>
      </c>
      <c r="G15" s="53">
        <v>20</v>
      </c>
      <c r="H15" s="400"/>
      <c r="I15" s="56"/>
      <c r="J15" s="45" t="str">
        <f>Glossary!B185</f>
        <v>Proof of Concept (POC)</v>
      </c>
      <c r="K15" s="402"/>
      <c r="L15" t="b">
        <f t="shared" ref="L15:L16" si="8">IF(OR(K15="y",K15="n"), N15)</f>
        <v>0</v>
      </c>
      <c r="M15" s="51" t="str">
        <f t="shared" ref="M15:M16" si="9">IF(K15 = "Y",L15, IF(K15="n",0, ""))</f>
        <v/>
      </c>
      <c r="N15" s="53">
        <v>40</v>
      </c>
      <c r="O15" s="37"/>
    </row>
    <row r="16" spans="1:15" ht="16.5" customHeight="1">
      <c r="A16" s="469"/>
      <c r="B16" s="469"/>
      <c r="C16" s="64" t="str">
        <f>Glossary!B86</f>
        <v>Experience Designs Requirements</v>
      </c>
      <c r="D16" s="402"/>
      <c r="E16" t="b">
        <f t="shared" si="6"/>
        <v>0</v>
      </c>
      <c r="F16" s="51" t="str">
        <f t="shared" si="7"/>
        <v/>
      </c>
      <c r="G16" s="53">
        <v>10</v>
      </c>
      <c r="H16" s="400"/>
      <c r="I16" s="56"/>
      <c r="J16" s="69" t="str">
        <f>Glossary!B181</f>
        <v>Project efforts initial estimates</v>
      </c>
      <c r="K16" s="402"/>
      <c r="L16" t="b">
        <f t="shared" si="8"/>
        <v>0</v>
      </c>
      <c r="M16" s="51" t="str">
        <f t="shared" si="9"/>
        <v/>
      </c>
      <c r="N16" s="53">
        <v>30</v>
      </c>
      <c r="O16" s="37"/>
    </row>
    <row r="17" spans="1:15" ht="16.5" customHeight="1">
      <c r="A17" s="469"/>
      <c r="B17" s="469"/>
      <c r="C17" s="58" t="str">
        <f>Glossary!B198</f>
        <v>Requirements Documentation</v>
      </c>
      <c r="D17" s="402"/>
      <c r="E17" t="b">
        <f t="shared" si="6"/>
        <v>0</v>
      </c>
      <c r="F17" s="51" t="str">
        <f t="shared" si="7"/>
        <v/>
      </c>
      <c r="G17" s="53">
        <v>30</v>
      </c>
      <c r="H17" s="400"/>
      <c r="I17" s="56"/>
      <c r="J17" s="143"/>
      <c r="K17" s="123"/>
      <c r="O17" s="37"/>
    </row>
    <row r="18" spans="1:15" ht="16.5" customHeight="1">
      <c r="A18" s="469"/>
      <c r="B18" s="469"/>
      <c r="C18" s="64" t="str">
        <f>Glossary!B104</f>
        <v>High Level Solution Design</v>
      </c>
      <c r="D18" s="402"/>
      <c r="E18" t="b">
        <f t="shared" si="6"/>
        <v>0</v>
      </c>
      <c r="F18" s="51" t="str">
        <f t="shared" si="7"/>
        <v/>
      </c>
      <c r="G18" s="53">
        <v>20</v>
      </c>
      <c r="H18" s="400"/>
      <c r="I18" s="56"/>
      <c r="J18" s="95"/>
      <c r="K18" s="97"/>
      <c r="O18" s="37"/>
    </row>
    <row r="19" spans="1:15" ht="16.5" customHeight="1">
      <c r="A19" s="469"/>
      <c r="B19" s="469"/>
      <c r="C19" s="64" t="str">
        <f>Glossary!B11</f>
        <v>Architecture Draft</v>
      </c>
      <c r="D19" s="402"/>
      <c r="E19" t="b">
        <f t="shared" si="6"/>
        <v>0</v>
      </c>
      <c r="F19" s="51" t="str">
        <f t="shared" si="7"/>
        <v/>
      </c>
      <c r="G19" s="53">
        <v>30</v>
      </c>
      <c r="H19" s="400"/>
      <c r="I19" s="56"/>
      <c r="J19" s="95"/>
      <c r="K19" s="97"/>
      <c r="O19" s="37"/>
    </row>
    <row r="20" spans="1:15" ht="16.5" customHeight="1">
      <c r="A20" s="469"/>
      <c r="B20" s="469"/>
      <c r="C20" s="64" t="str">
        <f>Glossary!B101</f>
        <v>Hardware Estimates</v>
      </c>
      <c r="D20" s="402"/>
      <c r="E20" t="b">
        <f t="shared" si="6"/>
        <v>0</v>
      </c>
      <c r="F20" s="51" t="str">
        <f t="shared" si="7"/>
        <v/>
      </c>
      <c r="G20" s="53">
        <v>30</v>
      </c>
      <c r="H20" s="400"/>
      <c r="I20" s="56"/>
      <c r="J20" s="95"/>
      <c r="K20" s="97"/>
      <c r="O20" s="37"/>
    </row>
    <row r="21" spans="1:15" ht="16.5" customHeight="1">
      <c r="A21" s="469"/>
      <c r="B21" s="469"/>
      <c r="C21" s="137" t="str">
        <f>Glossary!B166</f>
        <v>Performance KPIs</v>
      </c>
      <c r="D21" s="402"/>
      <c r="E21" t="b">
        <f t="shared" si="6"/>
        <v>0</v>
      </c>
      <c r="F21" s="51" t="str">
        <f t="shared" si="7"/>
        <v/>
      </c>
      <c r="G21" s="53">
        <v>40</v>
      </c>
      <c r="H21" s="400"/>
      <c r="I21" s="56"/>
      <c r="J21" s="95"/>
      <c r="K21" s="97"/>
      <c r="O21" s="37"/>
    </row>
    <row r="22" spans="1:15" ht="16.5" customHeight="1">
      <c r="A22" s="469"/>
      <c r="B22" s="478"/>
      <c r="C22" s="316"/>
      <c r="D22" s="317"/>
      <c r="E22" s="317"/>
      <c r="F22" s="317"/>
      <c r="G22" s="317"/>
      <c r="H22" s="317"/>
      <c r="I22" s="73"/>
      <c r="J22" s="318"/>
      <c r="K22" s="318"/>
      <c r="O22" s="37"/>
    </row>
    <row r="23" spans="1:15" ht="16.5" customHeight="1">
      <c r="A23" s="469"/>
      <c r="B23" s="495" t="s">
        <v>73</v>
      </c>
      <c r="C23" s="45" t="str">
        <f>Glossary!B200</f>
        <v>Risk Assessment</v>
      </c>
      <c r="D23" s="402"/>
      <c r="E23" t="b">
        <f t="shared" ref="E23:E26" si="10">IF(OR(D23="y",D23="n"), G23)</f>
        <v>0</v>
      </c>
      <c r="F23" s="51" t="str">
        <f t="shared" ref="F23:F26" si="11">IF(D23 = "Y",E23, IF(D23="n",0, ""))</f>
        <v/>
      </c>
      <c r="G23" s="53">
        <v>35</v>
      </c>
      <c r="H23" s="400"/>
      <c r="I23" s="56"/>
      <c r="J23" s="45" t="str">
        <f>Glossary!B239</f>
        <v>System risk factors identified and verified</v>
      </c>
      <c r="K23" s="402"/>
      <c r="L23" t="b">
        <f t="shared" ref="L23:L26" si="12">IF(OR(K23="y",K23="n"), N23)</f>
        <v>0</v>
      </c>
      <c r="M23" s="51" t="str">
        <f t="shared" ref="M23:M26" si="13">IF(K23 = "Y",L23, IF(K23="n",0, ""))</f>
        <v/>
      </c>
      <c r="N23" s="53">
        <v>35</v>
      </c>
      <c r="O23" s="37"/>
    </row>
    <row r="24" spans="1:15" ht="28">
      <c r="A24" s="469"/>
      <c r="B24" s="469"/>
      <c r="C24" s="138" t="str">
        <f>Glossary!B110</f>
        <v>Identify critical key solutions/functionalities</v>
      </c>
      <c r="D24" s="402"/>
      <c r="E24" t="b">
        <f t="shared" si="10"/>
        <v>0</v>
      </c>
      <c r="F24" s="51" t="str">
        <f t="shared" si="11"/>
        <v/>
      </c>
      <c r="G24" s="53">
        <v>30</v>
      </c>
      <c r="H24" s="400"/>
      <c r="I24" s="56"/>
      <c r="J24" s="45" t="str">
        <f>Glossary!B35</f>
        <v>Business sign off on any required adjustments to the solution or architecture identified and aligned against ROI and KPI expectations</v>
      </c>
      <c r="K24" s="402"/>
      <c r="L24" t="b">
        <f t="shared" si="12"/>
        <v>0</v>
      </c>
      <c r="M24" s="51" t="str">
        <f t="shared" si="13"/>
        <v/>
      </c>
      <c r="N24" s="53">
        <v>20</v>
      </c>
      <c r="O24" s="37"/>
    </row>
    <row r="25" spans="1:15" ht="18">
      <c r="A25" s="469"/>
      <c r="B25" s="469"/>
      <c r="C25" s="122" t="str">
        <f>Glossary!B198</f>
        <v>Requirements Documentation</v>
      </c>
      <c r="D25" s="402"/>
      <c r="E25" t="b">
        <f t="shared" si="10"/>
        <v>0</v>
      </c>
      <c r="F25" s="51" t="str">
        <f t="shared" si="11"/>
        <v/>
      </c>
      <c r="G25" s="53">
        <v>20</v>
      </c>
      <c r="H25" s="400"/>
      <c r="I25" s="56"/>
      <c r="J25" s="119" t="str">
        <f>Glossary!B186</f>
        <v>POC tested and verified against Requirement Documentation</v>
      </c>
      <c r="K25" s="402"/>
      <c r="L25" t="b">
        <f t="shared" si="12"/>
        <v>0</v>
      </c>
      <c r="M25" s="51" t="str">
        <f t="shared" si="13"/>
        <v/>
      </c>
      <c r="N25" s="53">
        <v>40</v>
      </c>
      <c r="O25" s="37"/>
    </row>
    <row r="26" spans="1:15" ht="16.5" customHeight="1">
      <c r="A26" s="469"/>
      <c r="B26" s="469"/>
      <c r="C26" s="45" t="str">
        <f>Glossary!B185</f>
        <v>Proof of Concept (POC)</v>
      </c>
      <c r="D26" s="402"/>
      <c r="E26" t="b">
        <f t="shared" si="10"/>
        <v>0</v>
      </c>
      <c r="F26" s="51" t="str">
        <f t="shared" si="11"/>
        <v/>
      </c>
      <c r="G26" s="53">
        <v>35</v>
      </c>
      <c r="H26" s="400"/>
      <c r="I26" s="56"/>
      <c r="J26" s="122" t="str">
        <f>Glossary!B201</f>
        <v>Risk Mitigation Plan</v>
      </c>
      <c r="K26" s="402"/>
      <c r="L26" t="b">
        <f t="shared" si="12"/>
        <v>0</v>
      </c>
      <c r="M26" s="51" t="str">
        <f t="shared" si="13"/>
        <v/>
      </c>
      <c r="N26" s="53">
        <v>30</v>
      </c>
      <c r="O26" s="37"/>
    </row>
    <row r="27" spans="1:15" ht="16.5" customHeight="1">
      <c r="A27" s="469"/>
      <c r="B27" s="478"/>
      <c r="C27" s="323"/>
      <c r="D27" s="182"/>
      <c r="E27" s="182"/>
      <c r="F27" s="182"/>
      <c r="G27" s="182"/>
      <c r="H27" s="182"/>
      <c r="I27" s="74"/>
      <c r="J27" s="182"/>
      <c r="K27" s="325"/>
      <c r="L27" s="53"/>
      <c r="M27" s="51"/>
      <c r="O27" s="37"/>
    </row>
    <row r="28" spans="1:15" ht="16.5" customHeight="1">
      <c r="A28" s="469"/>
      <c r="B28" s="495" t="s">
        <v>75</v>
      </c>
      <c r="C28" s="45" t="str">
        <f>Glossary!B47</f>
        <v xml:space="preserve">Customer Deployment/Release policies </v>
      </c>
      <c r="D28" s="402"/>
      <c r="E28" t="b">
        <f t="shared" ref="E28:E30" si="14">IF(OR(D28="y",D28="n"), G28)</f>
        <v>0</v>
      </c>
      <c r="F28" s="51" t="str">
        <f t="shared" ref="F28:F30" si="15">IF(D28 = "Y",E28, IF(D28="n",0, ""))</f>
        <v/>
      </c>
      <c r="G28" s="53">
        <v>25</v>
      </c>
      <c r="H28" s="400"/>
      <c r="I28" s="56"/>
      <c r="J28" s="45" t="str">
        <f>Glossary!B70</f>
        <v>Deployment / Release Policies and Processes</v>
      </c>
      <c r="K28" s="402"/>
      <c r="L28" t="b">
        <f t="shared" ref="L28:L30" si="16">IF(OR(K28="y",K28="n"), N28)</f>
        <v>0</v>
      </c>
      <c r="M28" s="51" t="str">
        <f t="shared" ref="M28:M30" si="17">IF(K28 = "Y",L28, IF(K28="n",0, ""))</f>
        <v/>
      </c>
      <c r="N28" s="53">
        <v>40</v>
      </c>
      <c r="O28" s="37"/>
    </row>
    <row r="29" spans="1:15" ht="16.5" customHeight="1">
      <c r="A29" s="469"/>
      <c r="B29" s="469"/>
      <c r="C29" s="45" t="str">
        <f>Glossary!B49</f>
        <v>Customer Reporting Policies or Requirements</v>
      </c>
      <c r="D29" s="402"/>
      <c r="E29" t="b">
        <f t="shared" si="14"/>
        <v>0</v>
      </c>
      <c r="F29" s="51" t="str">
        <f t="shared" si="15"/>
        <v/>
      </c>
      <c r="G29" s="53">
        <v>30</v>
      </c>
      <c r="H29" s="400"/>
      <c r="I29" s="56"/>
      <c r="J29" s="45" t="str">
        <f>Glossary!B175</f>
        <v>Pre-Deployment Checklist</v>
      </c>
      <c r="K29" s="402"/>
      <c r="L29" t="b">
        <f t="shared" si="16"/>
        <v>0</v>
      </c>
      <c r="M29" s="51" t="str">
        <f t="shared" si="17"/>
        <v/>
      </c>
      <c r="N29" s="53">
        <v>40</v>
      </c>
      <c r="O29" s="37"/>
    </row>
    <row r="30" spans="1:15" ht="16.5" customHeight="1">
      <c r="A30" s="469"/>
      <c r="B30" s="469"/>
      <c r="C30" s="101" t="str">
        <f>Glossary!B264</f>
        <v>Timeline and Milestones</v>
      </c>
      <c r="D30" s="402"/>
      <c r="E30" t="b">
        <f t="shared" si="14"/>
        <v>0</v>
      </c>
      <c r="F30" s="51" t="str">
        <f t="shared" si="15"/>
        <v/>
      </c>
      <c r="G30" s="53">
        <v>30</v>
      </c>
      <c r="H30" s="400"/>
      <c r="I30" s="56"/>
      <c r="J30" s="137" t="str">
        <f>Glossary!B174</f>
        <v>Post-Deployment Checklist</v>
      </c>
      <c r="K30" s="402"/>
      <c r="L30" t="b">
        <f t="shared" si="16"/>
        <v>0</v>
      </c>
      <c r="M30" s="51" t="str">
        <f t="shared" si="17"/>
        <v/>
      </c>
      <c r="N30" s="53">
        <v>40</v>
      </c>
      <c r="O30" s="37"/>
    </row>
    <row r="31" spans="1:15" ht="16.5" customHeight="1">
      <c r="A31" s="469"/>
      <c r="B31" s="478"/>
      <c r="C31" s="176"/>
      <c r="D31" s="177"/>
      <c r="E31" s="177"/>
      <c r="F31" s="177"/>
      <c r="G31" s="177"/>
      <c r="H31" s="177"/>
      <c r="I31" s="73"/>
      <c r="J31" s="177"/>
      <c r="K31" s="109"/>
      <c r="O31" s="37"/>
    </row>
    <row r="32" spans="1:15" ht="16.5" customHeight="1">
      <c r="A32" s="469"/>
      <c r="B32" s="481" t="s">
        <v>76</v>
      </c>
      <c r="C32" s="101" t="str">
        <f>Glossary!B184</f>
        <v>Project Scope Document</v>
      </c>
      <c r="D32" s="402"/>
      <c r="E32" t="b">
        <f t="shared" ref="E32:E42" si="18">IF(OR(D32="y",D32="n"), G32)</f>
        <v>0</v>
      </c>
      <c r="F32" s="51" t="str">
        <f t="shared" ref="F32:F42" si="19">IF(D32 = "Y",E32, IF(D32="n",0, ""))</f>
        <v/>
      </c>
      <c r="G32" s="53">
        <v>20</v>
      </c>
      <c r="H32" s="400"/>
      <c r="I32" s="56"/>
      <c r="J32" s="45" t="str">
        <f>Glossary!B268</f>
        <v>Understands scope of project and expectations</v>
      </c>
      <c r="K32" s="402"/>
      <c r="L32" t="b">
        <f t="shared" ref="L32:L36" si="20">IF(OR(K32="y",K32="n"), N32)</f>
        <v>0</v>
      </c>
      <c r="M32" s="51" t="str">
        <f t="shared" ref="M32:M36" si="21">IF(K32 = "Y",L32, IF(K32="n",0, ""))</f>
        <v/>
      </c>
      <c r="N32" s="53">
        <v>20</v>
      </c>
      <c r="O32" s="37"/>
    </row>
    <row r="33" spans="1:15" ht="16.5" customHeight="1">
      <c r="A33" s="469"/>
      <c r="B33" s="469"/>
      <c r="C33" s="101" t="str">
        <f>Glossary!B202</f>
        <v>ROI expectations</v>
      </c>
      <c r="D33" s="402"/>
      <c r="E33" t="b">
        <f t="shared" si="18"/>
        <v>0</v>
      </c>
      <c r="F33" s="51" t="str">
        <f t="shared" si="19"/>
        <v/>
      </c>
      <c r="G33" s="53">
        <v>10</v>
      </c>
      <c r="H33" s="400"/>
      <c r="I33" s="56"/>
      <c r="J33" s="101" t="str">
        <f>Glossary!B102</f>
        <v>Hardware will be available to fullfil requirements</v>
      </c>
      <c r="K33" s="402"/>
      <c r="L33" t="b">
        <f t="shared" si="20"/>
        <v>0</v>
      </c>
      <c r="M33" s="51" t="str">
        <f t="shared" si="21"/>
        <v/>
      </c>
      <c r="N33" s="53">
        <v>50</v>
      </c>
      <c r="O33" s="37"/>
    </row>
    <row r="34" spans="1:15" ht="16.5" customHeight="1">
      <c r="A34" s="469"/>
      <c r="B34" s="469"/>
      <c r="C34" s="101" t="str">
        <f>Glossary!B86</f>
        <v>Experience Designs Requirements</v>
      </c>
      <c r="D34" s="402"/>
      <c r="E34" t="b">
        <f t="shared" si="18"/>
        <v>0</v>
      </c>
      <c r="F34" s="51" t="str">
        <f t="shared" si="19"/>
        <v/>
      </c>
      <c r="G34" s="53">
        <v>10</v>
      </c>
      <c r="H34" s="400"/>
      <c r="I34" s="56"/>
      <c r="J34" s="110" t="str">
        <f>Glossary!B9</f>
        <v>Agreement on KPI's, defined as goals for the project</v>
      </c>
      <c r="K34" s="402"/>
      <c r="L34" t="b">
        <f t="shared" si="20"/>
        <v>0</v>
      </c>
      <c r="M34" s="51" t="str">
        <f t="shared" si="21"/>
        <v/>
      </c>
      <c r="N34" s="53">
        <v>20</v>
      </c>
      <c r="O34" s="37"/>
    </row>
    <row r="35" spans="1:15" ht="16.5" customHeight="1">
      <c r="A35" s="469"/>
      <c r="B35" s="469"/>
      <c r="C35" s="101" t="str">
        <f>Glossary!B198</f>
        <v>Requirements Documentation</v>
      </c>
      <c r="D35" s="402"/>
      <c r="E35" t="b">
        <f t="shared" si="18"/>
        <v>0</v>
      </c>
      <c r="F35" s="51" t="str">
        <f t="shared" si="19"/>
        <v/>
      </c>
      <c r="G35" s="53">
        <v>30</v>
      </c>
      <c r="H35" s="400"/>
      <c r="I35" s="56"/>
      <c r="J35" s="45" t="str">
        <f>Glossary!B27</f>
        <v>Aware of communication plan</v>
      </c>
      <c r="K35" s="402"/>
      <c r="L35" t="b">
        <f t="shared" si="20"/>
        <v>0</v>
      </c>
      <c r="M35" s="51" t="str">
        <f t="shared" si="21"/>
        <v/>
      </c>
      <c r="N35" s="53">
        <v>10</v>
      </c>
      <c r="O35" s="37"/>
    </row>
    <row r="36" spans="1:15" ht="16.5" customHeight="1">
      <c r="A36" s="469"/>
      <c r="B36" s="469"/>
      <c r="C36" s="101" t="str">
        <f>Glossary!B104</f>
        <v>High Level Solution Design</v>
      </c>
      <c r="D36" s="402"/>
      <c r="E36" t="b">
        <f t="shared" si="18"/>
        <v>0</v>
      </c>
      <c r="F36" s="51" t="str">
        <f t="shared" si="19"/>
        <v/>
      </c>
      <c r="G36" s="53">
        <v>20</v>
      </c>
      <c r="H36" s="400"/>
      <c r="I36" s="56"/>
      <c r="J36" s="45" t="str">
        <f>Glossary!B28</f>
        <v>Aware of success definitions and criteria</v>
      </c>
      <c r="K36" s="402"/>
      <c r="L36" t="b">
        <f t="shared" si="20"/>
        <v>0</v>
      </c>
      <c r="M36" s="51" t="str">
        <f t="shared" si="21"/>
        <v/>
      </c>
      <c r="N36" s="53">
        <v>20</v>
      </c>
      <c r="O36" s="37"/>
    </row>
    <row r="37" spans="1:15" ht="16.5" customHeight="1">
      <c r="A37" s="469"/>
      <c r="B37" s="469"/>
      <c r="C37" s="101" t="str">
        <f>Glossary!B11</f>
        <v>Architecture Draft</v>
      </c>
      <c r="D37" s="402"/>
      <c r="E37" t="b">
        <f t="shared" si="18"/>
        <v>0</v>
      </c>
      <c r="F37" s="51" t="str">
        <f t="shared" si="19"/>
        <v/>
      </c>
      <c r="G37" s="53">
        <v>35</v>
      </c>
      <c r="H37" s="400"/>
      <c r="I37" s="56"/>
      <c r="J37" s="95"/>
      <c r="K37" s="97"/>
      <c r="O37" s="37"/>
    </row>
    <row r="38" spans="1:15" ht="16.5" customHeight="1">
      <c r="A38" s="469"/>
      <c r="B38" s="469"/>
      <c r="C38" s="101" t="str">
        <f>Glossary!B101</f>
        <v>Hardware Estimates</v>
      </c>
      <c r="D38" s="402"/>
      <c r="E38" t="b">
        <f t="shared" si="18"/>
        <v>0</v>
      </c>
      <c r="F38" s="51" t="str">
        <f t="shared" si="19"/>
        <v/>
      </c>
      <c r="G38" s="53">
        <v>30</v>
      </c>
      <c r="H38" s="400"/>
      <c r="I38" s="56"/>
      <c r="J38" s="95"/>
      <c r="K38" s="97"/>
      <c r="O38" s="37"/>
    </row>
    <row r="39" spans="1:15" ht="16.5" customHeight="1">
      <c r="A39" s="469"/>
      <c r="B39" s="469"/>
      <c r="C39" s="45" t="str">
        <f>Glossary!B166</f>
        <v>Performance KPIs</v>
      </c>
      <c r="D39" s="402"/>
      <c r="E39" t="b">
        <f t="shared" si="18"/>
        <v>0</v>
      </c>
      <c r="F39" s="51" t="str">
        <f t="shared" si="19"/>
        <v/>
      </c>
      <c r="G39" s="53">
        <v>40</v>
      </c>
      <c r="H39" s="400"/>
      <c r="I39" s="56"/>
      <c r="J39" s="95"/>
      <c r="K39" s="97"/>
      <c r="O39" s="37"/>
    </row>
    <row r="40" spans="1:15" ht="16.5" customHeight="1">
      <c r="A40" s="469"/>
      <c r="B40" s="469"/>
      <c r="C40" s="101" t="str">
        <f>Glossary!B264</f>
        <v>Timeline and Milestones</v>
      </c>
      <c r="D40" s="402"/>
      <c r="E40" t="b">
        <f t="shared" si="18"/>
        <v>0</v>
      </c>
      <c r="F40" s="51" t="str">
        <f t="shared" si="19"/>
        <v/>
      </c>
      <c r="G40" s="53">
        <v>20</v>
      </c>
      <c r="H40" s="400"/>
      <c r="I40" s="56"/>
      <c r="J40" s="95"/>
      <c r="K40" s="97"/>
      <c r="O40" s="37"/>
    </row>
    <row r="41" spans="1:15" ht="16.5" customHeight="1">
      <c r="A41" s="469"/>
      <c r="B41" s="469"/>
      <c r="C41" s="45" t="str">
        <f>Glossary!B70</f>
        <v>Deployment / Release Policies and Processes</v>
      </c>
      <c r="D41" s="402"/>
      <c r="E41" t="b">
        <f t="shared" si="18"/>
        <v>0</v>
      </c>
      <c r="F41" s="51" t="str">
        <f t="shared" si="19"/>
        <v/>
      </c>
      <c r="G41" s="53">
        <v>30</v>
      </c>
      <c r="H41" s="400"/>
      <c r="I41" s="56"/>
      <c r="J41" s="95"/>
      <c r="K41" s="97"/>
      <c r="O41" s="37"/>
    </row>
    <row r="42" spans="1:15" ht="16.5" customHeight="1">
      <c r="A42" s="469"/>
      <c r="B42" s="469"/>
      <c r="C42" s="45" t="str">
        <f>Glossary!B233</f>
        <v>Success criteria and definition</v>
      </c>
      <c r="D42" s="402"/>
      <c r="E42" t="b">
        <f t="shared" si="18"/>
        <v>0</v>
      </c>
      <c r="F42" s="51" t="str">
        <f t="shared" si="19"/>
        <v/>
      </c>
      <c r="G42" s="53">
        <v>20</v>
      </c>
      <c r="H42" s="400"/>
      <c r="I42" s="56"/>
      <c r="J42" s="95"/>
      <c r="K42" s="97"/>
      <c r="O42" s="37"/>
    </row>
    <row r="43" spans="1:15" ht="16.5" customHeight="1">
      <c r="A43" s="469"/>
      <c r="B43" s="469"/>
      <c r="C43" s="280"/>
      <c r="D43" s="281"/>
      <c r="E43" s="281"/>
      <c r="F43" s="281"/>
      <c r="G43" s="281"/>
      <c r="H43" s="281"/>
      <c r="I43" s="74"/>
      <c r="J43" s="117"/>
      <c r="K43" s="117"/>
      <c r="O43" s="37"/>
    </row>
    <row r="44" spans="1:15" ht="16.5" hidden="1" customHeight="1">
      <c r="A44" s="478"/>
      <c r="B44" s="478"/>
      <c r="C44" s="119"/>
      <c r="D44" s="128">
        <f>COUNTA(D15:D42,K15:K16,K23:K30,K32:K36)/COUNTA(F15:F42,M15:M16,M23:M30,M32:M36)</f>
        <v>0</v>
      </c>
      <c r="E44" s="128">
        <f t="shared" ref="E44:F44" si="22">SUM(E15:E42)</f>
        <v>0</v>
      </c>
      <c r="F44" s="128">
        <f t="shared" si="22"/>
        <v>0</v>
      </c>
      <c r="G44" s="128"/>
      <c r="H44" s="128" t="str">
        <f>IFERROR(AVERAGE(H15:H42),"")</f>
        <v/>
      </c>
      <c r="I44" s="37"/>
      <c r="J44" s="95"/>
      <c r="K44" s="129"/>
      <c r="L44">
        <f t="shared" ref="L44:M44" si="23">SUM(L15:L16,L23:L30,L32:L36)</f>
        <v>0</v>
      </c>
      <c r="M44">
        <f t="shared" si="23"/>
        <v>0</v>
      </c>
      <c r="O44" s="37"/>
    </row>
    <row r="45" spans="1:15" ht="21" customHeight="1">
      <c r="A45" s="187" t="s">
        <v>81</v>
      </c>
      <c r="B45" s="495" t="s">
        <v>85</v>
      </c>
      <c r="C45" s="101" t="str">
        <f>Glossary!B15</f>
        <v>AEM technical trainings</v>
      </c>
      <c r="D45" s="402"/>
      <c r="E45" t="b">
        <f t="shared" ref="E45:E46" si="24">IF(OR(D45="y",D45="n"), G45)</f>
        <v>0</v>
      </c>
      <c r="F45" s="51" t="str">
        <f t="shared" ref="F45:F46" si="25">IF(D45 = "Y",E45, IF(D45="n",0, ""))</f>
        <v/>
      </c>
      <c r="G45" s="53">
        <v>30</v>
      </c>
      <c r="H45" s="400"/>
      <c r="I45" s="56"/>
      <c r="J45" s="69" t="str">
        <f>Glossary!B19</f>
        <v>AEM Certified</v>
      </c>
      <c r="K45" s="402"/>
      <c r="L45" t="b">
        <f>IF(OR(K45="y",K45="n"), N45)</f>
        <v>0</v>
      </c>
      <c r="M45" s="51" t="str">
        <f>IF(K45 = "Y",L45, IF(K45="n",0, ""))</f>
        <v/>
      </c>
      <c r="N45" s="53">
        <v>50</v>
      </c>
      <c r="O45" s="37"/>
    </row>
    <row r="46" spans="1:15" ht="19.5" customHeight="1">
      <c r="A46" s="194"/>
      <c r="B46" s="469"/>
      <c r="C46" s="101" t="str">
        <f>Glossary!B18</f>
        <v>AEM Certification Exam</v>
      </c>
      <c r="D46" s="402"/>
      <c r="E46" t="b">
        <f t="shared" si="24"/>
        <v>0</v>
      </c>
      <c r="F46" s="51" t="str">
        <f t="shared" si="25"/>
        <v/>
      </c>
      <c r="G46" s="53">
        <v>40</v>
      </c>
      <c r="H46" s="400"/>
      <c r="I46" s="56"/>
      <c r="J46" s="101"/>
      <c r="K46" s="101"/>
      <c r="O46" s="37"/>
    </row>
    <row r="47" spans="1:15" ht="19.5" customHeight="1">
      <c r="A47" s="194"/>
      <c r="B47" s="478"/>
      <c r="C47" s="227"/>
      <c r="D47" s="227"/>
      <c r="E47" s="227"/>
      <c r="F47" s="227"/>
      <c r="G47" s="227"/>
      <c r="H47" s="153"/>
      <c r="I47" s="73"/>
      <c r="J47" s="227"/>
      <c r="K47" s="228"/>
      <c r="O47" s="37"/>
    </row>
    <row r="48" spans="1:15" ht="18.75" customHeight="1">
      <c r="A48" s="194"/>
      <c r="B48" s="495" t="s">
        <v>89</v>
      </c>
      <c r="C48" s="101" t="str">
        <f>Glossary!B198</f>
        <v>Requirements Documentation</v>
      </c>
      <c r="D48" s="402"/>
      <c r="E48" t="b">
        <f t="shared" ref="E48:E55" si="26">IF(OR(D48="y",D48="n"), G48)</f>
        <v>0</v>
      </c>
      <c r="F48" s="51" t="str">
        <f t="shared" ref="F48:F55" si="27">IF(D48 = "Y",E48, IF(D48="n",0, ""))</f>
        <v/>
      </c>
      <c r="G48" s="53">
        <v>30</v>
      </c>
      <c r="H48" s="400"/>
      <c r="I48" s="56"/>
      <c r="J48" s="101" t="str">
        <f>Glossary!B236</f>
        <v>System Architecture Definition</v>
      </c>
      <c r="K48" s="402"/>
      <c r="L48" t="b">
        <f t="shared" ref="L48:L50" si="28">IF(OR(K48="y",K48="n"), N48)</f>
        <v>0</v>
      </c>
      <c r="M48" s="51" t="str">
        <f t="shared" ref="M48:M50" si="29">IF(K48 = "Y",L48, IF(K48="n",0, ""))</f>
        <v/>
      </c>
      <c r="N48" s="53">
        <v>30</v>
      </c>
      <c r="O48" s="37"/>
    </row>
    <row r="49" spans="1:15" ht="18.75" customHeight="1">
      <c r="A49" s="194"/>
      <c r="B49" s="469"/>
      <c r="C49" s="209" t="str">
        <f>Glossary!B104</f>
        <v>High Level Solution Design</v>
      </c>
      <c r="D49" s="402"/>
      <c r="E49" t="b">
        <f t="shared" si="26"/>
        <v>0</v>
      </c>
      <c r="F49" s="51" t="str">
        <f t="shared" si="27"/>
        <v/>
      </c>
      <c r="G49" s="53">
        <v>40</v>
      </c>
      <c r="H49" s="400"/>
      <c r="I49" s="56"/>
      <c r="J49" s="112" t="str">
        <f>Glossary!B70</f>
        <v>Deployment / Release Policies and Processes</v>
      </c>
      <c r="K49" s="402"/>
      <c r="L49" t="b">
        <f t="shared" si="28"/>
        <v>0</v>
      </c>
      <c r="M49" s="51" t="str">
        <f t="shared" si="29"/>
        <v/>
      </c>
      <c r="N49" s="53">
        <v>20</v>
      </c>
      <c r="O49" s="37"/>
    </row>
    <row r="50" spans="1:15" ht="16.5" customHeight="1">
      <c r="A50" s="194"/>
      <c r="B50" s="469"/>
      <c r="C50" s="209" t="str">
        <f>Glossary!B11</f>
        <v>Architecture Draft</v>
      </c>
      <c r="D50" s="402"/>
      <c r="E50" t="b">
        <f t="shared" si="26"/>
        <v>0</v>
      </c>
      <c r="F50" s="51" t="str">
        <f t="shared" si="27"/>
        <v/>
      </c>
      <c r="G50" s="53">
        <v>20</v>
      </c>
      <c r="H50" s="400"/>
      <c r="I50" s="56"/>
      <c r="J50" s="45" t="str">
        <f>Glossary!B23</f>
        <v>Automation Strategy</v>
      </c>
      <c r="K50" s="402"/>
      <c r="L50" t="b">
        <f t="shared" si="28"/>
        <v>0</v>
      </c>
      <c r="M50" s="51" t="str">
        <f t="shared" si="29"/>
        <v/>
      </c>
      <c r="N50" s="53">
        <v>25</v>
      </c>
      <c r="O50" s="37"/>
    </row>
    <row r="51" spans="1:15" ht="16.5" customHeight="1">
      <c r="A51" s="194"/>
      <c r="B51" s="469"/>
      <c r="C51" s="209" t="str">
        <f>Glossary!B101</f>
        <v>Hardware Estimates</v>
      </c>
      <c r="D51" s="402"/>
      <c r="E51" t="b">
        <f t="shared" si="26"/>
        <v>0</v>
      </c>
      <c r="F51" s="51" t="str">
        <f t="shared" si="27"/>
        <v/>
      </c>
      <c r="G51" s="53">
        <v>30</v>
      </c>
      <c r="H51" s="400"/>
      <c r="I51" s="56"/>
      <c r="J51" s="95"/>
      <c r="K51" s="123"/>
      <c r="O51" s="37"/>
    </row>
    <row r="52" spans="1:15" ht="15" customHeight="1">
      <c r="A52" s="194"/>
      <c r="B52" s="469"/>
      <c r="C52" s="146" t="str">
        <f>Glossary!B166</f>
        <v>Performance KPIs</v>
      </c>
      <c r="D52" s="402"/>
      <c r="E52" t="b">
        <f t="shared" si="26"/>
        <v>0</v>
      </c>
      <c r="F52" s="51" t="str">
        <f t="shared" si="27"/>
        <v/>
      </c>
      <c r="G52" s="53">
        <v>20</v>
      </c>
      <c r="H52" s="400"/>
      <c r="I52" s="56"/>
      <c r="J52" s="95"/>
      <c r="K52" s="97"/>
      <c r="O52" s="37"/>
    </row>
    <row r="53" spans="1:15" ht="16.5" customHeight="1">
      <c r="A53" s="194"/>
      <c r="B53" s="469"/>
      <c r="C53" s="45" t="str">
        <f>Glossary!B208</f>
        <v>Security Architecture Recommendations</v>
      </c>
      <c r="D53" s="402"/>
      <c r="E53" t="b">
        <f t="shared" si="26"/>
        <v>0</v>
      </c>
      <c r="F53" s="51" t="str">
        <f t="shared" si="27"/>
        <v/>
      </c>
      <c r="G53" s="53">
        <v>30</v>
      </c>
      <c r="H53" s="400"/>
      <c r="I53" s="56"/>
      <c r="J53" s="95"/>
      <c r="K53" s="97"/>
      <c r="O53" s="37"/>
    </row>
    <row r="54" spans="1:15" ht="19.5" customHeight="1">
      <c r="A54" s="194"/>
      <c r="B54" s="469"/>
      <c r="C54" s="45" t="str">
        <f>Glossary!B254</f>
        <v>Testing Strategy</v>
      </c>
      <c r="D54" s="402"/>
      <c r="E54" t="b">
        <f t="shared" si="26"/>
        <v>0</v>
      </c>
      <c r="F54" s="51" t="str">
        <f t="shared" si="27"/>
        <v/>
      </c>
      <c r="G54" s="53">
        <v>20</v>
      </c>
      <c r="H54" s="400"/>
      <c r="I54" s="56"/>
      <c r="J54" s="128"/>
      <c r="K54" s="129"/>
      <c r="O54" s="37"/>
    </row>
    <row r="55" spans="1:15" ht="21" customHeight="1">
      <c r="A55" s="194"/>
      <c r="B55" s="469"/>
      <c r="C55" s="45" t="str">
        <f>Glossary!B47</f>
        <v xml:space="preserve">Customer Deployment/Release policies </v>
      </c>
      <c r="D55" s="402"/>
      <c r="E55" t="b">
        <f t="shared" si="26"/>
        <v>0</v>
      </c>
      <c r="F55" s="51" t="str">
        <f t="shared" si="27"/>
        <v/>
      </c>
      <c r="G55" s="53">
        <v>25</v>
      </c>
      <c r="H55" s="400"/>
      <c r="I55" s="56"/>
      <c r="J55" s="95"/>
      <c r="K55" s="97"/>
      <c r="O55" s="37"/>
    </row>
    <row r="56" spans="1:15" ht="21" customHeight="1">
      <c r="A56" s="194"/>
      <c r="B56" s="478"/>
      <c r="C56" s="110"/>
      <c r="D56" s="295"/>
      <c r="E56" s="295"/>
      <c r="F56" s="295"/>
      <c r="G56" s="295"/>
      <c r="H56" s="117"/>
      <c r="I56" s="74"/>
      <c r="J56" s="117"/>
      <c r="K56" s="117"/>
      <c r="O56" s="37"/>
    </row>
    <row r="57" spans="1:15" ht="16.5" customHeight="1">
      <c r="A57" s="194"/>
      <c r="B57" s="495" t="s">
        <v>98</v>
      </c>
      <c r="C57" s="45" t="str">
        <f>Glossary!B261</f>
        <v>Third party system for integration</v>
      </c>
      <c r="D57" s="402"/>
      <c r="E57" t="b">
        <f t="shared" ref="E57:E58" si="30">IF(OR(D57="y",D57="n"), G57)</f>
        <v>0</v>
      </c>
      <c r="F57" s="51" t="str">
        <f t="shared" ref="F57:F58" si="31">IF(D57 = "Y",E57, IF(D57="n",0, ""))</f>
        <v/>
      </c>
      <c r="G57" s="53">
        <v>35</v>
      </c>
      <c r="H57" s="400"/>
      <c r="I57" s="56"/>
      <c r="J57" s="101" t="str">
        <f>Glossary!B258</f>
        <v>Third party integration concept</v>
      </c>
      <c r="K57" s="402"/>
      <c r="L57" t="b">
        <f t="shared" ref="L57:L58" si="32">IF(OR(K57="y",K57="n"), N57)</f>
        <v>0</v>
      </c>
      <c r="M57" s="51" t="str">
        <f t="shared" ref="M57:M58" si="33">IF(K57 = "Y",L57, IF(K57="n",0, ""))</f>
        <v/>
      </c>
      <c r="N57" s="53">
        <v>30</v>
      </c>
      <c r="O57" s="37"/>
    </row>
    <row r="58" spans="1:15" ht="16.5" customHeight="1">
      <c r="A58" s="194"/>
      <c r="B58" s="469"/>
      <c r="C58" s="45" t="str">
        <f>Glossary!B246</f>
        <v>Technical Specification</v>
      </c>
      <c r="D58" s="402"/>
      <c r="E58" t="b">
        <f t="shared" si="30"/>
        <v>0</v>
      </c>
      <c r="F58" s="51" t="str">
        <f t="shared" si="31"/>
        <v/>
      </c>
      <c r="G58" s="53">
        <v>30</v>
      </c>
      <c r="H58" s="400"/>
      <c r="I58" s="56"/>
      <c r="J58" s="45" t="str">
        <f>Glossary!B257</f>
        <v>Third party systems access enabled</v>
      </c>
      <c r="K58" s="402"/>
      <c r="L58" t="b">
        <f t="shared" si="32"/>
        <v>0</v>
      </c>
      <c r="M58" s="51" t="str">
        <f t="shared" si="33"/>
        <v/>
      </c>
      <c r="N58" s="53">
        <v>20</v>
      </c>
      <c r="O58" s="37"/>
    </row>
    <row r="59" spans="1:15" ht="16.5" customHeight="1">
      <c r="A59" s="194"/>
      <c r="B59" s="478"/>
      <c r="C59" s="335"/>
      <c r="D59" s="409"/>
      <c r="E59" s="179"/>
      <c r="F59" s="179"/>
      <c r="G59" s="179"/>
      <c r="H59" s="179"/>
      <c r="I59" s="74"/>
      <c r="J59" s="179"/>
      <c r="K59" s="179"/>
      <c r="L59" s="53"/>
      <c r="M59" s="51"/>
      <c r="O59" s="37"/>
    </row>
    <row r="60" spans="1:15" ht="16.5" customHeight="1">
      <c r="A60" s="194"/>
      <c r="B60" s="495" t="s">
        <v>82</v>
      </c>
      <c r="C60" s="110" t="str">
        <f>Glossary!B83</f>
        <v>Escalation Processes</v>
      </c>
      <c r="D60" s="402"/>
      <c r="E60" t="b">
        <f t="shared" ref="E60:E61" si="34">IF(OR(D60="y",D60="n"), G60)</f>
        <v>0</v>
      </c>
      <c r="F60" s="51" t="str">
        <f t="shared" ref="F60:F61" si="35">IF(D60 = "Y",E60, IF(D60="n",0, ""))</f>
        <v/>
      </c>
      <c r="G60" s="53">
        <v>20</v>
      </c>
      <c r="H60" s="400"/>
      <c r="I60" s="56"/>
      <c r="J60" s="45" t="str">
        <f>Glossary!B8</f>
        <v>Adobe Support Portal project set up</v>
      </c>
      <c r="K60" s="402"/>
      <c r="L60" t="b">
        <f t="shared" ref="L60:L61" si="36">IF(OR(K60="y",K60="n"), N60)</f>
        <v>0</v>
      </c>
      <c r="M60" s="51" t="str">
        <f t="shared" ref="M60:M61" si="37">IF(K60 = "Y",L60, IF(K60="n",0, ""))</f>
        <v/>
      </c>
      <c r="N60" s="53">
        <v>40</v>
      </c>
      <c r="O60" s="37"/>
    </row>
    <row r="61" spans="1:15" ht="16.5" customHeight="1">
      <c r="A61" s="194"/>
      <c r="B61" s="469"/>
      <c r="C61" s="45" t="str">
        <f>Glossary!B70</f>
        <v>Deployment / Release Policies and Processes</v>
      </c>
      <c r="D61" s="402"/>
      <c r="E61" t="b">
        <f t="shared" si="34"/>
        <v>0</v>
      </c>
      <c r="F61" s="51" t="str">
        <f t="shared" si="35"/>
        <v/>
      </c>
      <c r="G61" s="53">
        <v>40</v>
      </c>
      <c r="H61" s="400"/>
      <c r="I61" s="56"/>
      <c r="J61" s="45" t="str">
        <f>Glossary!B234</f>
        <v>Support processes and access to Adobe Support Portal</v>
      </c>
      <c r="K61" s="402"/>
      <c r="L61" t="b">
        <f t="shared" si="36"/>
        <v>0</v>
      </c>
      <c r="M61" s="51" t="str">
        <f t="shared" si="37"/>
        <v/>
      </c>
      <c r="N61" s="53">
        <v>35</v>
      </c>
      <c r="O61" s="37"/>
    </row>
    <row r="62" spans="1:15" ht="16.5" customHeight="1">
      <c r="A62" s="173"/>
      <c r="B62" s="469"/>
      <c r="C62" s="280"/>
      <c r="D62" s="281"/>
      <c r="E62" s="281"/>
      <c r="F62" s="281"/>
      <c r="G62" s="281"/>
      <c r="H62" s="336"/>
      <c r="I62" s="74"/>
      <c r="J62" s="281"/>
      <c r="K62" s="282"/>
      <c r="L62" s="127"/>
      <c r="M62" s="51"/>
      <c r="O62" s="37"/>
    </row>
    <row r="63" spans="1:15" ht="16.5" hidden="1" customHeight="1">
      <c r="A63" s="173"/>
      <c r="B63" s="478"/>
      <c r="C63" s="119"/>
      <c r="D63" s="119">
        <f>COUNTA(D45:D61,K45,K48:K50,K57:K61)/COUNTA(F45:F61,M45,M48:M50,M57:M61)</f>
        <v>0</v>
      </c>
      <c r="E63" s="119">
        <f t="shared" ref="E63:F63" si="38">SUM(E45:E61)</f>
        <v>0</v>
      </c>
      <c r="F63" s="119">
        <f t="shared" si="38"/>
        <v>0</v>
      </c>
      <c r="G63" s="119"/>
      <c r="H63" s="119" t="str">
        <f>IFERROR(AVERAGE(H45:H61),"")</f>
        <v/>
      </c>
      <c r="I63" s="37"/>
      <c r="J63" s="119"/>
      <c r="K63" s="119"/>
      <c r="L63">
        <f t="shared" ref="L63:M63" si="39">SUM(L45,L48:L50,L57:L61)</f>
        <v>0</v>
      </c>
      <c r="M63">
        <f t="shared" si="39"/>
        <v>0</v>
      </c>
      <c r="O63" s="37"/>
    </row>
    <row r="64" spans="1:15" ht="16.5" customHeight="1">
      <c r="A64" s="468" t="s">
        <v>49</v>
      </c>
      <c r="B64" s="495" t="s">
        <v>77</v>
      </c>
      <c r="C64" s="101" t="str">
        <f>Glossary!B203</f>
        <v>Roles and Rights Concept</v>
      </c>
      <c r="D64" s="402"/>
      <c r="E64" t="b">
        <f>IF(OR(D64="y",D64="n"), G64)</f>
        <v>0</v>
      </c>
      <c r="F64" s="51" t="str">
        <f>IF(D64 = "Y",E64, IF(D64="n",0, ""))</f>
        <v/>
      </c>
      <c r="G64" s="53">
        <v>50</v>
      </c>
      <c r="H64" s="400"/>
      <c r="I64" s="56"/>
      <c r="J64" s="101" t="str">
        <f>Glossary!B121</f>
        <v>Implementation - Roles and Rights</v>
      </c>
      <c r="K64" s="402"/>
      <c r="L64" t="b">
        <f>IF(OR(K64="y",K64="n"), N64)</f>
        <v>0</v>
      </c>
      <c r="M64" s="51" t="str">
        <f>IF(K64 = "Y",L64, IF(K64="n",0, ""))</f>
        <v/>
      </c>
      <c r="N64" s="53">
        <v>50</v>
      </c>
      <c r="O64" s="37"/>
    </row>
    <row r="65" spans="1:15" ht="16.5" customHeight="1">
      <c r="A65" s="469"/>
      <c r="B65" s="478"/>
      <c r="C65" s="176"/>
      <c r="D65" s="177"/>
      <c r="E65" s="177"/>
      <c r="F65" s="177"/>
      <c r="G65" s="177"/>
      <c r="H65" s="275"/>
      <c r="I65" s="73"/>
      <c r="J65" s="177"/>
      <c r="K65" s="209"/>
      <c r="L65" s="53"/>
      <c r="M65" s="51"/>
      <c r="O65" s="37"/>
    </row>
    <row r="66" spans="1:15" ht="16.5" customHeight="1">
      <c r="A66" s="469"/>
      <c r="B66" s="495" t="s">
        <v>78</v>
      </c>
      <c r="C66" s="101" t="str">
        <f>Glossary!B188</f>
        <v>Purge Rules</v>
      </c>
      <c r="D66" s="402"/>
      <c r="E66" t="b">
        <f t="shared" ref="E66:E72" si="40">IF(OR(D66="y",D66="n"), G66)</f>
        <v>0</v>
      </c>
      <c r="F66" s="51" t="str">
        <f t="shared" ref="F66:F72" si="41">IF(D66 = "Y",E66, IF(D66="n",0, ""))</f>
        <v/>
      </c>
      <c r="G66" s="53">
        <v>30</v>
      </c>
      <c r="H66" s="400"/>
      <c r="I66" s="56"/>
      <c r="J66" s="101" t="str">
        <f>Glossary!B161</f>
        <v>Operations Manual</v>
      </c>
      <c r="K66" s="402"/>
      <c r="L66" t="b">
        <f t="shared" ref="L66:L77" si="42">IF(OR(K66="y",K66="n"), N66)</f>
        <v>0</v>
      </c>
      <c r="M66" s="51" t="str">
        <f t="shared" ref="M66:M77" si="43">IF(K66 = "Y",L66, IF(K66="n",0, ""))</f>
        <v/>
      </c>
      <c r="N66" s="53">
        <v>35</v>
      </c>
      <c r="O66" s="37"/>
    </row>
    <row r="67" spans="1:15" ht="16.5" customHeight="1">
      <c r="A67" s="469"/>
      <c r="B67" s="469"/>
      <c r="C67" s="101" t="str">
        <f>Glossary!B154</f>
        <v>Monitoring Concept</v>
      </c>
      <c r="D67" s="402"/>
      <c r="E67" t="b">
        <f t="shared" si="40"/>
        <v>0</v>
      </c>
      <c r="F67" s="51" t="str">
        <f t="shared" si="41"/>
        <v/>
      </c>
      <c r="G67" s="53">
        <v>30</v>
      </c>
      <c r="H67" s="400"/>
      <c r="I67" s="56"/>
      <c r="J67" s="45" t="str">
        <f>Glossary!B152</f>
        <v>Monitoring - System</v>
      </c>
      <c r="K67" s="402"/>
      <c r="L67" t="b">
        <f t="shared" si="42"/>
        <v>0</v>
      </c>
      <c r="M67" s="51" t="str">
        <f t="shared" si="43"/>
        <v/>
      </c>
      <c r="N67" s="53">
        <v>25</v>
      </c>
      <c r="O67" s="37"/>
    </row>
    <row r="68" spans="1:15" ht="16.5" customHeight="1">
      <c r="A68" s="469"/>
      <c r="B68" s="469"/>
      <c r="C68" s="101" t="str">
        <f>Glossary!B197</f>
        <v>Respository Optimization</v>
      </c>
      <c r="D68" s="402"/>
      <c r="E68" t="b">
        <f t="shared" si="40"/>
        <v>0</v>
      </c>
      <c r="F68" s="51" t="str">
        <f t="shared" si="41"/>
        <v/>
      </c>
      <c r="G68" s="53">
        <v>20</v>
      </c>
      <c r="H68" s="400"/>
      <c r="I68" s="56"/>
      <c r="J68" s="45" t="str">
        <f>Glossary!B153</f>
        <v>Monitoring - Threshold and interventation</v>
      </c>
      <c r="K68" s="402"/>
      <c r="L68" t="b">
        <f t="shared" si="42"/>
        <v>0</v>
      </c>
      <c r="M68" s="51" t="str">
        <f t="shared" si="43"/>
        <v/>
      </c>
      <c r="N68" s="53">
        <v>25</v>
      </c>
      <c r="O68" s="37"/>
    </row>
    <row r="69" spans="1:15" ht="16.5" customHeight="1">
      <c r="A69" s="469"/>
      <c r="B69" s="469"/>
      <c r="C69" s="101" t="str">
        <f>Glossary!B263</f>
        <v>Threshold definition</v>
      </c>
      <c r="D69" s="402"/>
      <c r="E69" t="b">
        <f t="shared" si="40"/>
        <v>0</v>
      </c>
      <c r="F69" s="51" t="str">
        <f t="shared" si="41"/>
        <v/>
      </c>
      <c r="G69" s="53">
        <v>25</v>
      </c>
      <c r="H69" s="400"/>
      <c r="I69" s="56"/>
      <c r="J69" s="45" t="str">
        <f>Glossary!B148</f>
        <v>Monitoring - External system</v>
      </c>
      <c r="K69" s="402"/>
      <c r="L69" t="b">
        <f t="shared" si="42"/>
        <v>0</v>
      </c>
      <c r="M69" s="51" t="str">
        <f t="shared" si="43"/>
        <v/>
      </c>
      <c r="N69" s="53">
        <v>25</v>
      </c>
      <c r="O69" s="37"/>
    </row>
    <row r="70" spans="1:15" ht="16.5" customHeight="1">
      <c r="A70" s="469"/>
      <c r="B70" s="469"/>
      <c r="C70" s="101" t="str">
        <f>Glossary!B162</f>
        <v>Operational tasks documentation</v>
      </c>
      <c r="D70" s="402"/>
      <c r="E70" t="b">
        <f t="shared" si="40"/>
        <v>0</v>
      </c>
      <c r="F70" s="51" t="str">
        <f t="shared" si="41"/>
        <v/>
      </c>
      <c r="G70" s="53">
        <v>35</v>
      </c>
      <c r="H70" s="400"/>
      <c r="I70" s="56"/>
      <c r="J70" s="45" t="str">
        <f>Glossary!B147</f>
        <v>Monitoring - Disk space</v>
      </c>
      <c r="K70" s="402"/>
      <c r="L70" t="b">
        <f t="shared" si="42"/>
        <v>0</v>
      </c>
      <c r="M70" s="51" t="str">
        <f t="shared" si="43"/>
        <v/>
      </c>
      <c r="N70" s="53">
        <v>25</v>
      </c>
      <c r="O70" s="37"/>
    </row>
    <row r="71" spans="1:15" ht="16.5" customHeight="1">
      <c r="A71" s="469"/>
      <c r="B71" s="469"/>
      <c r="C71" s="101" t="str">
        <f>Glossary!B260</f>
        <v>Third party security concept</v>
      </c>
      <c r="D71" s="402"/>
      <c r="E71" t="b">
        <f t="shared" si="40"/>
        <v>0</v>
      </c>
      <c r="F71" s="51" t="str">
        <f t="shared" si="41"/>
        <v/>
      </c>
      <c r="G71" s="53">
        <v>35</v>
      </c>
      <c r="H71" s="400"/>
      <c r="I71" s="56"/>
      <c r="J71" s="45" t="str">
        <f>Glossary!B145</f>
        <v>Monitoring - CPU</v>
      </c>
      <c r="K71" s="402"/>
      <c r="L71" t="b">
        <f t="shared" si="42"/>
        <v>0</v>
      </c>
      <c r="M71" s="51" t="str">
        <f t="shared" si="43"/>
        <v/>
      </c>
      <c r="N71" s="53">
        <v>25</v>
      </c>
      <c r="O71" s="37"/>
    </row>
    <row r="72" spans="1:15" ht="16.5" customHeight="1">
      <c r="A72" s="469"/>
      <c r="B72" s="469"/>
      <c r="C72" s="101" t="str">
        <f>Glossary!B258</f>
        <v>Third party integration concept</v>
      </c>
      <c r="D72" s="402"/>
      <c r="E72" t="b">
        <f t="shared" si="40"/>
        <v>0</v>
      </c>
      <c r="F72" s="51" t="str">
        <f t="shared" si="41"/>
        <v/>
      </c>
      <c r="G72" s="53">
        <v>25</v>
      </c>
      <c r="H72" s="400"/>
      <c r="I72" s="56"/>
      <c r="J72" s="45" t="str">
        <f>Glossary!B146</f>
        <v>Monitoring - Disk I/O</v>
      </c>
      <c r="K72" s="402"/>
      <c r="L72" t="b">
        <f t="shared" si="42"/>
        <v>0</v>
      </c>
      <c r="M72" s="51" t="str">
        <f t="shared" si="43"/>
        <v/>
      </c>
      <c r="N72" s="53">
        <v>25</v>
      </c>
      <c r="O72" s="37"/>
    </row>
    <row r="73" spans="1:15" ht="16.5" customHeight="1">
      <c r="A73" s="469"/>
      <c r="B73" s="469"/>
      <c r="C73" s="37"/>
      <c r="D73" s="37"/>
      <c r="E73" s="37"/>
      <c r="F73" s="37"/>
      <c r="G73" s="37"/>
      <c r="H73" s="56"/>
      <c r="I73" s="56"/>
      <c r="J73" s="45" t="str">
        <f>Glossary!B149</f>
        <v>Monitoring - Network Bandwith</v>
      </c>
      <c r="K73" s="402"/>
      <c r="L73" t="b">
        <f t="shared" si="42"/>
        <v>0</v>
      </c>
      <c r="M73" s="51" t="str">
        <f t="shared" si="43"/>
        <v/>
      </c>
      <c r="N73" s="53">
        <v>25</v>
      </c>
      <c r="O73" s="37"/>
    </row>
    <row r="74" spans="1:15" ht="16.5" customHeight="1">
      <c r="A74" s="469"/>
      <c r="B74" s="469"/>
      <c r="C74" s="166"/>
      <c r="D74" s="166"/>
      <c r="E74" s="166"/>
      <c r="F74" s="166"/>
      <c r="G74" s="166"/>
      <c r="H74" s="166"/>
      <c r="I74" s="56"/>
      <c r="J74" s="45" t="str">
        <f>Glossary!B150</f>
        <v>Monitoring - Requests</v>
      </c>
      <c r="K74" s="402"/>
      <c r="L74" t="b">
        <f t="shared" si="42"/>
        <v>0</v>
      </c>
      <c r="M74" s="51" t="str">
        <f t="shared" si="43"/>
        <v/>
      </c>
      <c r="N74" s="53">
        <v>25</v>
      </c>
      <c r="O74" s="37"/>
    </row>
    <row r="75" spans="1:15" ht="16.5" customHeight="1">
      <c r="A75" s="469"/>
      <c r="B75" s="469"/>
      <c r="C75" s="166"/>
      <c r="D75" s="166"/>
      <c r="E75" s="152"/>
      <c r="F75" s="152"/>
      <c r="G75" s="152"/>
      <c r="H75" s="152"/>
      <c r="I75" s="56"/>
      <c r="J75" s="45" t="str">
        <f>Glossary!B152</f>
        <v>Monitoring - System</v>
      </c>
      <c r="K75" s="402"/>
      <c r="L75" t="b">
        <f t="shared" si="42"/>
        <v>0</v>
      </c>
      <c r="M75" s="51" t="str">
        <f t="shared" si="43"/>
        <v/>
      </c>
      <c r="N75" s="53">
        <v>35</v>
      </c>
      <c r="O75" s="37"/>
    </row>
    <row r="76" spans="1:15" ht="16.5" customHeight="1">
      <c r="A76" s="469"/>
      <c r="B76" s="469"/>
      <c r="C76" s="166"/>
      <c r="D76" s="166"/>
      <c r="H76" s="56"/>
      <c r="I76" s="56"/>
      <c r="J76" s="45" t="str">
        <f>Glossary!B141</f>
        <v>Maintenance tasks specific to AEM tested and enabled</v>
      </c>
      <c r="K76" s="402"/>
      <c r="L76" t="b">
        <f t="shared" si="42"/>
        <v>0</v>
      </c>
      <c r="M76" s="51" t="str">
        <f t="shared" si="43"/>
        <v/>
      </c>
      <c r="N76" s="53">
        <v>30</v>
      </c>
      <c r="O76" s="37"/>
    </row>
    <row r="77" spans="1:15" ht="16.5" customHeight="1">
      <c r="A77" s="469"/>
      <c r="B77" s="469"/>
      <c r="C77" s="166"/>
      <c r="D77" s="166"/>
      <c r="E77" s="166"/>
      <c r="F77" s="166"/>
      <c r="G77" s="166"/>
      <c r="H77" s="166"/>
      <c r="I77" s="37"/>
      <c r="J77" s="140" t="str">
        <f>Glossary!B157</f>
        <v>Monitoring Reports structure in place</v>
      </c>
      <c r="K77" s="402"/>
      <c r="L77" t="b">
        <f t="shared" si="42"/>
        <v>0</v>
      </c>
      <c r="M77" s="51" t="str">
        <f t="shared" si="43"/>
        <v/>
      </c>
      <c r="N77" s="53">
        <v>20</v>
      </c>
      <c r="O77" s="37"/>
    </row>
    <row r="78" spans="1:15" ht="16.5" customHeight="1">
      <c r="A78" s="469"/>
      <c r="B78" s="469"/>
      <c r="C78" s="166"/>
      <c r="D78" s="166"/>
      <c r="E78" s="166"/>
      <c r="F78" s="166"/>
      <c r="G78" s="166"/>
      <c r="H78" s="166"/>
      <c r="I78" s="37"/>
      <c r="J78" s="37"/>
      <c r="K78" s="37"/>
      <c r="O78" s="37"/>
    </row>
    <row r="79" spans="1:15" ht="16.5" customHeight="1">
      <c r="A79" s="469"/>
      <c r="B79" s="478"/>
      <c r="C79" s="204"/>
      <c r="D79" s="152"/>
      <c r="E79" s="152"/>
      <c r="F79" s="152"/>
      <c r="G79" s="152"/>
      <c r="H79" s="152"/>
      <c r="I79" s="73"/>
      <c r="J79" s="152"/>
      <c r="K79" s="238"/>
      <c r="L79" s="53"/>
      <c r="M79" s="51"/>
      <c r="O79" s="37"/>
    </row>
    <row r="80" spans="1:15" ht="16.5" customHeight="1">
      <c r="A80" s="469"/>
      <c r="B80" s="495" t="s">
        <v>80</v>
      </c>
      <c r="C80" s="101" t="str">
        <f>Glossary!B44</f>
        <v>Customer Backup and restore policy</v>
      </c>
      <c r="D80" s="402"/>
      <c r="E80" t="b">
        <f t="shared" ref="E80:E81" si="44">IF(OR(D80="y",D80="n"), G80)</f>
        <v>0</v>
      </c>
      <c r="F80" s="51" t="str">
        <f t="shared" ref="F80:F81" si="45">IF(D80 = "Y",E80, IF(D80="n",0, ""))</f>
        <v/>
      </c>
      <c r="G80" s="53">
        <v>30</v>
      </c>
      <c r="H80" s="400"/>
      <c r="I80" s="56"/>
      <c r="J80" s="101" t="str">
        <f>Glossary!B31</f>
        <v>Back up and Restore tested</v>
      </c>
      <c r="K80" s="402"/>
      <c r="L80" t="b">
        <f t="shared" ref="L80:L81" si="46">IF(OR(K80="y",K80="n"), N80)</f>
        <v>0</v>
      </c>
      <c r="M80" s="51" t="str">
        <f t="shared" ref="M80:M81" si="47">IF(K80 = "Y",L80, IF(K80="n",0, ""))</f>
        <v/>
      </c>
      <c r="N80" s="53">
        <v>40</v>
      </c>
      <c r="O80" s="37"/>
    </row>
    <row r="81" spans="1:15" ht="16.5" customHeight="1">
      <c r="A81" s="469"/>
      <c r="B81" s="469"/>
      <c r="C81" s="101" t="str">
        <f>Glossary!B161</f>
        <v>Operations Manual</v>
      </c>
      <c r="D81" s="402"/>
      <c r="E81" t="b">
        <f t="shared" si="44"/>
        <v>0</v>
      </c>
      <c r="F81" s="51" t="str">
        <f t="shared" si="45"/>
        <v/>
      </c>
      <c r="G81" s="53">
        <v>35</v>
      </c>
      <c r="H81" s="400"/>
      <c r="I81" s="56"/>
      <c r="J81" s="101" t="str">
        <f>Glossary!B30</f>
        <v>Back up and Restore Concept</v>
      </c>
      <c r="K81" s="402"/>
      <c r="L81" t="b">
        <f t="shared" si="46"/>
        <v>0</v>
      </c>
      <c r="M81" s="51" t="str">
        <f t="shared" si="47"/>
        <v/>
      </c>
      <c r="N81" s="53">
        <v>50</v>
      </c>
      <c r="O81" s="37"/>
    </row>
    <row r="82" spans="1:15" ht="16.5" customHeight="1">
      <c r="A82" s="469"/>
      <c r="B82" s="469"/>
      <c r="C82" s="166"/>
      <c r="D82" s="166"/>
      <c r="E82" s="166"/>
      <c r="F82" s="166"/>
      <c r="G82" s="166"/>
      <c r="H82" s="166"/>
      <c r="I82" s="37"/>
      <c r="J82" s="152"/>
      <c r="K82" s="238"/>
      <c r="O82" s="37"/>
    </row>
    <row r="83" spans="1:15" ht="18.75" customHeight="1">
      <c r="A83" s="470"/>
      <c r="B83" s="478"/>
      <c r="C83" s="204"/>
      <c r="D83" s="152"/>
      <c r="E83" s="152"/>
      <c r="F83" s="152"/>
      <c r="G83" s="152"/>
      <c r="H83" s="152"/>
      <c r="I83" s="73"/>
      <c r="J83" s="152"/>
      <c r="K83" s="238"/>
      <c r="L83" s="53"/>
      <c r="M83" s="51"/>
      <c r="O83" s="37"/>
    </row>
    <row r="84" spans="1:15" ht="16.5" hidden="1" customHeight="1">
      <c r="A84" s="328"/>
      <c r="B84" s="332"/>
      <c r="C84" s="166"/>
      <c r="D84" s="166">
        <f>COUNTA(D64:D76,D80:D81,K64:K82)/COUNTA(F64:F76,F80:F81,M64:M82)</f>
        <v>0</v>
      </c>
      <c r="E84" s="238">
        <f t="shared" ref="E84:F84" si="48">SUM(E64:E76,E80:E81)</f>
        <v>0</v>
      </c>
      <c r="F84" s="238">
        <f t="shared" si="48"/>
        <v>0</v>
      </c>
      <c r="G84" s="152"/>
      <c r="H84" t="str">
        <f>IFERROR(AVERAGE(H64:H76,H80:H81),"")</f>
        <v/>
      </c>
      <c r="I84" s="37"/>
      <c r="J84" s="166"/>
      <c r="K84" s="166"/>
      <c r="L84" s="53">
        <f t="shared" ref="L84:M84" si="49">SUM(L64:L82)</f>
        <v>0</v>
      </c>
      <c r="M84" s="53">
        <f t="shared" si="49"/>
        <v>0</v>
      </c>
      <c r="O84" s="37"/>
    </row>
    <row r="85" spans="1:15" ht="17.25" customHeight="1">
      <c r="A85" s="498" t="s">
        <v>50</v>
      </c>
      <c r="B85" s="495" t="s">
        <v>104</v>
      </c>
      <c r="C85" s="101" t="str">
        <f>Glossary!B236</f>
        <v>System Architecture Definition</v>
      </c>
      <c r="D85" s="402"/>
      <c r="E85" t="b">
        <f t="shared" ref="E85:E86" si="50">IF(OR(D85="y",D85="n"), G85)</f>
        <v>0</v>
      </c>
      <c r="F85" s="51" t="str">
        <f t="shared" ref="F85:F86" si="51">IF(D85 = "Y",E85, IF(D85="n",0, ""))</f>
        <v/>
      </c>
      <c r="G85" s="69">
        <v>30</v>
      </c>
      <c r="H85" s="400"/>
      <c r="I85" s="56"/>
      <c r="J85" s="101" t="str">
        <f>Glossary!B75</f>
        <v>Document development environment set up</v>
      </c>
      <c r="K85" s="402"/>
      <c r="L85" t="b">
        <f t="shared" ref="L85:L86" si="52">IF(OR(K85="y",K85="n"), N85)</f>
        <v>0</v>
      </c>
      <c r="M85" s="51" t="str">
        <f t="shared" ref="M85:M86" si="53">IF(K85 = "Y",L85, IF(K85="n",0, ""))</f>
        <v/>
      </c>
      <c r="N85" s="53">
        <v>25</v>
      </c>
      <c r="O85" s="37"/>
    </row>
    <row r="86" spans="1:15" ht="16.5" customHeight="1">
      <c r="A86" s="469"/>
      <c r="B86" s="469"/>
      <c r="C86" s="112" t="str">
        <f>Glossary!B255</f>
        <v>Test Suite</v>
      </c>
      <c r="D86" s="402"/>
      <c r="E86" t="b">
        <f t="shared" si="50"/>
        <v>0</v>
      </c>
      <c r="F86" s="51" t="str">
        <f t="shared" si="51"/>
        <v/>
      </c>
      <c r="G86" s="53">
        <v>20</v>
      </c>
      <c r="H86" s="400"/>
      <c r="I86" s="56"/>
      <c r="J86" s="138" t="str">
        <f>Glossary!B73</f>
        <v>Devolpment environment ready</v>
      </c>
      <c r="K86" s="402"/>
      <c r="L86" t="b">
        <f t="shared" si="52"/>
        <v>0</v>
      </c>
      <c r="M86" s="51" t="str">
        <f t="shared" si="53"/>
        <v/>
      </c>
      <c r="N86" s="53">
        <v>40</v>
      </c>
      <c r="O86" s="37"/>
    </row>
    <row r="87" spans="1:15" ht="16.5" customHeight="1">
      <c r="A87" s="469"/>
      <c r="B87" s="478"/>
      <c r="C87" s="338"/>
      <c r="D87" s="339"/>
      <c r="E87" s="339"/>
      <c r="F87" s="339"/>
      <c r="G87" s="339"/>
      <c r="H87" s="340"/>
      <c r="I87" s="74"/>
      <c r="J87" s="339"/>
      <c r="K87" s="341"/>
      <c r="L87" s="53"/>
      <c r="M87" s="51"/>
      <c r="O87" s="37"/>
    </row>
    <row r="88" spans="1:15" ht="16.5" customHeight="1">
      <c r="A88" s="469"/>
      <c r="B88" s="495" t="s">
        <v>106</v>
      </c>
      <c r="C88" s="101" t="str">
        <f>Glossary!B258</f>
        <v>Third party integration concept</v>
      </c>
      <c r="D88" s="402"/>
      <c r="E88" t="b">
        <f t="shared" ref="E88:E92" si="54">IF(OR(D88="y",D88="n"), G88)</f>
        <v>0</v>
      </c>
      <c r="F88" s="51" t="str">
        <f t="shared" ref="F88:F92" si="55">IF(D88 = "Y",E88, IF(D88="n",0, ""))</f>
        <v/>
      </c>
      <c r="G88" s="53">
        <v>30</v>
      </c>
      <c r="H88" s="400"/>
      <c r="I88" s="56"/>
      <c r="J88" s="178" t="str">
        <f>Glossary!B77</f>
        <v>Document test environment set up</v>
      </c>
      <c r="K88" s="402"/>
      <c r="L88" t="b">
        <f t="shared" ref="L88:L89" si="56">IF(OR(K88="y",K88="n"), N88)</f>
        <v>0</v>
      </c>
      <c r="M88" s="51" t="str">
        <f t="shared" ref="M88:M89" si="57">IF(K88 = "Y",L88, IF(K88="n",0, ""))</f>
        <v/>
      </c>
      <c r="N88" s="53">
        <v>25</v>
      </c>
      <c r="O88" s="37"/>
    </row>
    <row r="89" spans="1:15" ht="16.5" customHeight="1">
      <c r="A89" s="469"/>
      <c r="B89" s="469"/>
      <c r="C89" s="101" t="str">
        <f>Glossary!B236</f>
        <v>System Architecture Definition</v>
      </c>
      <c r="D89" s="402"/>
      <c r="E89" t="b">
        <f t="shared" si="54"/>
        <v>0</v>
      </c>
      <c r="F89" s="51" t="str">
        <f t="shared" si="55"/>
        <v/>
      </c>
      <c r="G89" s="53">
        <v>40</v>
      </c>
      <c r="H89" s="400"/>
      <c r="I89" s="56"/>
      <c r="J89" s="101" t="str">
        <f>Glossary!B252</f>
        <v>Test environment ready</v>
      </c>
      <c r="K89" s="402"/>
      <c r="L89" t="b">
        <f t="shared" si="56"/>
        <v>0</v>
      </c>
      <c r="M89" s="51" t="str">
        <f t="shared" si="57"/>
        <v/>
      </c>
      <c r="N89" s="53">
        <v>40</v>
      </c>
      <c r="O89" s="37"/>
    </row>
    <row r="90" spans="1:15" ht="16.5" customHeight="1">
      <c r="A90" s="469"/>
      <c r="B90" s="469"/>
      <c r="C90" s="138" t="str">
        <f>Glossary!B166</f>
        <v>Performance KPIs</v>
      </c>
      <c r="D90" s="402"/>
      <c r="E90" t="b">
        <f t="shared" si="54"/>
        <v>0</v>
      </c>
      <c r="F90" s="51" t="str">
        <f t="shared" si="55"/>
        <v/>
      </c>
      <c r="G90" s="53">
        <v>30</v>
      </c>
      <c r="H90" s="400"/>
      <c r="I90" s="56"/>
      <c r="J90" s="166"/>
      <c r="K90" s="299"/>
      <c r="O90" s="37"/>
    </row>
    <row r="91" spans="1:15" ht="16.5" customHeight="1">
      <c r="A91" s="469"/>
      <c r="B91" s="469"/>
      <c r="C91" s="45" t="str">
        <f>Glossary!B185</f>
        <v>Proof of Concept (POC)</v>
      </c>
      <c r="D91" s="402"/>
      <c r="E91" t="b">
        <f t="shared" si="54"/>
        <v>0</v>
      </c>
      <c r="F91" s="51" t="str">
        <f t="shared" si="55"/>
        <v/>
      </c>
      <c r="G91" s="53">
        <v>20</v>
      </c>
      <c r="H91" s="400"/>
      <c r="I91" s="56"/>
      <c r="J91" s="166"/>
      <c r="K91" s="299"/>
      <c r="O91" s="37"/>
    </row>
    <row r="92" spans="1:15" ht="16.5" customHeight="1">
      <c r="A92" s="469"/>
      <c r="B92" s="469"/>
      <c r="C92" s="45" t="str">
        <f>Glossary!B233</f>
        <v>Success criteria and definition</v>
      </c>
      <c r="D92" s="402"/>
      <c r="E92" t="b">
        <f t="shared" si="54"/>
        <v>0</v>
      </c>
      <c r="F92" s="51" t="str">
        <f t="shared" si="55"/>
        <v/>
      </c>
      <c r="G92" s="53">
        <v>10</v>
      </c>
      <c r="H92" s="400"/>
      <c r="I92" s="56"/>
      <c r="J92" s="166"/>
      <c r="K92" s="299"/>
      <c r="O92" s="37"/>
    </row>
    <row r="93" spans="1:15" ht="16.5" customHeight="1">
      <c r="A93" s="469"/>
      <c r="B93" s="478"/>
      <c r="C93" s="163"/>
      <c r="D93" s="220"/>
      <c r="E93" s="220"/>
      <c r="F93" s="220"/>
      <c r="G93" s="220"/>
      <c r="H93" s="117"/>
      <c r="I93" s="74"/>
      <c r="J93" s="220"/>
      <c r="K93" s="190"/>
      <c r="O93" s="37"/>
    </row>
    <row r="94" spans="1:15" ht="16.5" customHeight="1">
      <c r="A94" s="469"/>
      <c r="B94" s="495" t="s">
        <v>102</v>
      </c>
      <c r="C94" s="101" t="str">
        <f>Glossary!B236</f>
        <v>System Architecture Definition</v>
      </c>
      <c r="D94" s="402"/>
      <c r="E94" t="b">
        <f t="shared" ref="E94:E102" si="58">IF(OR(D94="y",D94="n"), G94)</f>
        <v>0</v>
      </c>
      <c r="F94" s="51" t="str">
        <f t="shared" ref="F94:F102" si="59">IF(D94 = "Y",E94, IF(D94="n",0, ""))</f>
        <v/>
      </c>
      <c r="G94" s="69">
        <v>20</v>
      </c>
      <c r="H94" s="400"/>
      <c r="I94" s="56"/>
      <c r="J94" s="101" t="str">
        <f>Glossary!B176</f>
        <v>Production environment ready</v>
      </c>
      <c r="K94" s="402"/>
      <c r="L94" t="b">
        <f t="shared" ref="L94:L97" si="60">IF(OR(K94="y",K94="n"), N94)</f>
        <v>0</v>
      </c>
      <c r="M94" s="51" t="str">
        <f t="shared" ref="M94:M97" si="61">IF(K94 = "Y",L94, IF(K94="n",0, ""))</f>
        <v/>
      </c>
      <c r="N94" s="53">
        <v>40</v>
      </c>
      <c r="O94" s="37"/>
    </row>
    <row r="95" spans="1:15" ht="16.5" customHeight="1">
      <c r="A95" s="469"/>
      <c r="B95" s="469"/>
      <c r="C95" s="138" t="str">
        <f>Glossary!B166</f>
        <v>Performance KPIs</v>
      </c>
      <c r="D95" s="402"/>
      <c r="E95" t="b">
        <f t="shared" si="58"/>
        <v>0</v>
      </c>
      <c r="F95" s="51" t="str">
        <f t="shared" si="59"/>
        <v/>
      </c>
      <c r="G95" s="53">
        <v>30</v>
      </c>
      <c r="H95" s="400"/>
      <c r="I95" s="56"/>
      <c r="J95" s="45" t="str">
        <f>Glossary!B177</f>
        <v xml:space="preserve">Production environment baseline performance tests </v>
      </c>
      <c r="K95" s="402"/>
      <c r="L95" t="b">
        <f t="shared" si="60"/>
        <v>0</v>
      </c>
      <c r="M95" s="51" t="str">
        <f t="shared" si="61"/>
        <v/>
      </c>
      <c r="N95" s="53">
        <v>30</v>
      </c>
      <c r="O95" s="37"/>
    </row>
    <row r="96" spans="1:15" ht="16.5" customHeight="1">
      <c r="A96" s="469"/>
      <c r="B96" s="469"/>
      <c r="C96" s="45" t="str">
        <f>Glossary!B233</f>
        <v>Success criteria and definition</v>
      </c>
      <c r="D96" s="402"/>
      <c r="E96" t="b">
        <f t="shared" si="58"/>
        <v>0</v>
      </c>
      <c r="F96" s="51" t="str">
        <f t="shared" si="59"/>
        <v/>
      </c>
      <c r="G96" s="53">
        <v>10</v>
      </c>
      <c r="H96" s="400"/>
      <c r="I96" s="56"/>
      <c r="J96" s="45" t="str">
        <f>Glossary!B169</f>
        <v>Performance Test Results match Performance KPIs</v>
      </c>
      <c r="K96" s="402"/>
      <c r="L96" t="b">
        <f t="shared" si="60"/>
        <v>0</v>
      </c>
      <c r="M96" s="51" t="str">
        <f t="shared" si="61"/>
        <v/>
      </c>
      <c r="N96" s="53">
        <v>25</v>
      </c>
      <c r="O96" s="37"/>
    </row>
    <row r="97" spans="1:15" ht="16.5" customHeight="1">
      <c r="A97" s="469"/>
      <c r="B97" s="469"/>
      <c r="C97" s="121" t="str">
        <f>Glossary!B24</f>
        <v>Automated Testing Strategy</v>
      </c>
      <c r="D97" s="402"/>
      <c r="E97" t="b">
        <f t="shared" si="58"/>
        <v>0</v>
      </c>
      <c r="F97" s="51" t="str">
        <f t="shared" si="59"/>
        <v/>
      </c>
      <c r="G97" s="53">
        <v>25</v>
      </c>
      <c r="H97" s="400"/>
      <c r="I97" s="56"/>
      <c r="J97" s="342" t="str">
        <f>Glossary!B124</f>
        <v>Implementation - System Architecture Security Concept</v>
      </c>
      <c r="K97" s="402"/>
      <c r="L97" t="b">
        <f t="shared" si="60"/>
        <v>0</v>
      </c>
      <c r="M97" s="51" t="str">
        <f t="shared" si="61"/>
        <v/>
      </c>
      <c r="N97" s="53">
        <v>30</v>
      </c>
      <c r="O97" s="37"/>
    </row>
    <row r="98" spans="1:15" ht="16.5" customHeight="1">
      <c r="A98" s="469"/>
      <c r="B98" s="469"/>
      <c r="C98" s="121" t="str">
        <f>Glossary!B238</f>
        <v>System Architecture Security Concept</v>
      </c>
      <c r="D98" s="402"/>
      <c r="E98" t="b">
        <f t="shared" si="58"/>
        <v>0</v>
      </c>
      <c r="F98" s="51" t="str">
        <f t="shared" si="59"/>
        <v/>
      </c>
      <c r="G98" s="53">
        <v>25</v>
      </c>
      <c r="H98" s="400"/>
      <c r="I98" s="56"/>
      <c r="J98" s="299"/>
      <c r="K98" s="299"/>
      <c r="O98" s="37"/>
    </row>
    <row r="99" spans="1:15" ht="16.5" customHeight="1">
      <c r="A99" s="469"/>
      <c r="B99" s="469"/>
      <c r="C99" s="45" t="str">
        <f>Glossary!B248</f>
        <v>Test Cases</v>
      </c>
      <c r="D99" s="402"/>
      <c r="E99" t="b">
        <f t="shared" si="58"/>
        <v>0</v>
      </c>
      <c r="F99" s="51" t="str">
        <f t="shared" si="59"/>
        <v/>
      </c>
      <c r="G99" s="53">
        <v>10</v>
      </c>
      <c r="H99" s="400"/>
      <c r="I99" s="56"/>
      <c r="J99" s="299"/>
      <c r="K99" s="299"/>
      <c r="O99" s="37"/>
    </row>
    <row r="100" spans="1:15" ht="16.5" customHeight="1">
      <c r="A100" s="469"/>
      <c r="B100" s="469"/>
      <c r="C100" s="308" t="str">
        <f>Glossary!B37</f>
        <v>Caching Strategy</v>
      </c>
      <c r="D100" s="402"/>
      <c r="E100" t="b">
        <f t="shared" si="58"/>
        <v>0</v>
      </c>
      <c r="F100" s="51" t="str">
        <f t="shared" si="59"/>
        <v/>
      </c>
      <c r="G100" s="53">
        <v>20</v>
      </c>
      <c r="H100" s="400"/>
      <c r="I100" s="56"/>
      <c r="J100" s="299"/>
      <c r="K100" s="299"/>
      <c r="O100" s="37"/>
    </row>
    <row r="101" spans="1:15" ht="16.5" customHeight="1">
      <c r="A101" s="469"/>
      <c r="B101" s="469"/>
      <c r="C101" s="101" t="str">
        <f>Glossary!B167</f>
        <v>Performance and scalability concept</v>
      </c>
      <c r="D101" s="402"/>
      <c r="E101" t="b">
        <f t="shared" si="58"/>
        <v>0</v>
      </c>
      <c r="F101" s="51" t="str">
        <f t="shared" si="59"/>
        <v/>
      </c>
      <c r="G101" s="53">
        <v>25</v>
      </c>
      <c r="H101" s="400"/>
      <c r="I101" s="56"/>
      <c r="J101" s="166"/>
      <c r="K101" s="299"/>
      <c r="O101" s="37"/>
    </row>
    <row r="102" spans="1:15" ht="16.5" customHeight="1">
      <c r="A102" s="469"/>
      <c r="B102" s="469"/>
      <c r="C102" s="45" t="str">
        <f>Glossary!B23</f>
        <v>Automation Strategy</v>
      </c>
      <c r="D102" s="402"/>
      <c r="E102" t="b">
        <f t="shared" si="58"/>
        <v>0</v>
      </c>
      <c r="F102" s="51" t="str">
        <f t="shared" si="59"/>
        <v/>
      </c>
      <c r="G102" s="53">
        <v>25</v>
      </c>
      <c r="H102" s="400"/>
      <c r="I102" s="56"/>
      <c r="J102" s="166"/>
      <c r="K102" s="119"/>
      <c r="O102" s="37"/>
    </row>
    <row r="103" spans="1:15" ht="16.5" customHeight="1">
      <c r="A103" s="469"/>
      <c r="B103" s="478"/>
      <c r="C103" s="110"/>
      <c r="D103" s="295"/>
      <c r="E103" s="295"/>
      <c r="F103" s="295"/>
      <c r="G103" s="295"/>
      <c r="H103" s="319"/>
      <c r="I103" s="74"/>
      <c r="J103" s="295"/>
      <c r="K103" s="146"/>
      <c r="O103" s="37"/>
    </row>
    <row r="104" spans="1:15" ht="18.75" customHeight="1">
      <c r="A104" s="469"/>
      <c r="B104" s="495" t="s">
        <v>103</v>
      </c>
      <c r="C104" s="45" t="str">
        <f>Glossary!B128</f>
        <v>Integration Testing</v>
      </c>
      <c r="D104" s="402"/>
      <c r="E104" t="b">
        <f t="shared" ref="E104:E105" si="62">IF(OR(D104="y",D104="n"), G104)</f>
        <v>0</v>
      </c>
      <c r="F104" s="51" t="str">
        <f t="shared" ref="F104:F105" si="63">IF(D104 = "Y",E104, IF(D104="n",0, ""))</f>
        <v/>
      </c>
      <c r="G104" s="53">
        <v>25</v>
      </c>
      <c r="H104" s="400"/>
      <c r="I104" s="56"/>
      <c r="J104" s="45" t="str">
        <f>Glossary!B114</f>
        <v>Implementation - Automation Strategy</v>
      </c>
      <c r="K104" s="402"/>
      <c r="L104" t="b">
        <f>IF(OR(K104="y",K104="n"), N104)</f>
        <v>0</v>
      </c>
      <c r="M104" s="51" t="str">
        <f>IF(K104 = "Y",L104, IF(K104="n",0, ""))</f>
        <v/>
      </c>
      <c r="N104" s="53">
        <v>25</v>
      </c>
      <c r="O104" s="37"/>
    </row>
    <row r="105" spans="1:15" ht="16.5" customHeight="1">
      <c r="A105" s="469"/>
      <c r="B105" s="469"/>
      <c r="C105" s="45" t="str">
        <f>Glossary!B270</f>
        <v>Use cases</v>
      </c>
      <c r="D105" s="402"/>
      <c r="E105" t="b">
        <f t="shared" si="62"/>
        <v>0</v>
      </c>
      <c r="F105" s="51" t="str">
        <f t="shared" si="63"/>
        <v/>
      </c>
      <c r="G105" s="53">
        <v>20</v>
      </c>
      <c r="H105" s="400"/>
      <c r="I105" s="56"/>
      <c r="J105" s="192"/>
      <c r="K105" s="123"/>
      <c r="O105" s="37"/>
    </row>
    <row r="106" spans="1:15" ht="16.5" customHeight="1">
      <c r="A106" s="469"/>
      <c r="B106" s="478"/>
      <c r="C106" s="163"/>
      <c r="D106" s="220"/>
      <c r="E106" s="220"/>
      <c r="F106" s="220"/>
      <c r="G106" s="220"/>
      <c r="H106" s="117"/>
      <c r="I106" s="74"/>
      <c r="J106" s="220"/>
      <c r="K106" s="117"/>
      <c r="O106" s="37"/>
    </row>
    <row r="107" spans="1:15" ht="16.5" customHeight="1">
      <c r="A107" s="469"/>
      <c r="B107" s="495" t="s">
        <v>108</v>
      </c>
      <c r="C107" s="45" t="s">
        <v>122</v>
      </c>
      <c r="D107" s="402"/>
      <c r="E107" t="b">
        <f t="shared" ref="E107:E112" si="64">IF(OR(D107="y",D107="n"), G107)</f>
        <v>0</v>
      </c>
      <c r="F107" s="51" t="str">
        <f t="shared" ref="F107:F112" si="65">IF(D107 = "Y",E107, IF(D107="n",0, ""))</f>
        <v/>
      </c>
      <c r="G107" s="53">
        <v>30</v>
      </c>
      <c r="H107" s="400"/>
      <c r="I107" s="56"/>
      <c r="J107" s="101" t="str">
        <f>Glossary!B161</f>
        <v>Operations Manual</v>
      </c>
      <c r="K107" s="402"/>
      <c r="L107" t="b">
        <f>IF(OR(K107="y",K107="n"), N107)</f>
        <v>0</v>
      </c>
      <c r="M107" s="51" t="str">
        <f>IF(K107 = "Y",L107, IF(K107="n",0, ""))</f>
        <v/>
      </c>
      <c r="N107" s="53">
        <v>50</v>
      </c>
      <c r="O107" s="37"/>
    </row>
    <row r="108" spans="1:15" ht="16.5" customHeight="1">
      <c r="A108" s="469"/>
      <c r="B108" s="469"/>
      <c r="C108" s="101" t="str">
        <f>Glossary!B162</f>
        <v>Operational tasks documentation</v>
      </c>
      <c r="D108" s="402"/>
      <c r="E108" t="b">
        <f t="shared" si="64"/>
        <v>0</v>
      </c>
      <c r="F108" s="51" t="str">
        <f t="shared" si="65"/>
        <v/>
      </c>
      <c r="G108" s="53">
        <v>25</v>
      </c>
      <c r="H108" s="400"/>
      <c r="I108" s="56"/>
      <c r="J108" s="143"/>
      <c r="K108" s="123"/>
      <c r="O108" s="37"/>
    </row>
    <row r="109" spans="1:15" ht="16.5" customHeight="1">
      <c r="A109" s="469"/>
      <c r="B109" s="469"/>
      <c r="C109" s="119" t="str">
        <f>Glossary!B193</f>
        <v>Release Notes</v>
      </c>
      <c r="D109" s="402"/>
      <c r="E109" t="b">
        <f t="shared" si="64"/>
        <v>0</v>
      </c>
      <c r="F109" s="51" t="str">
        <f t="shared" si="65"/>
        <v/>
      </c>
      <c r="G109" s="53">
        <v>40</v>
      </c>
      <c r="H109" s="400"/>
      <c r="I109" s="56"/>
      <c r="J109" s="128"/>
      <c r="K109" s="129"/>
      <c r="O109" s="37"/>
    </row>
    <row r="110" spans="1:15" ht="16.5" customHeight="1">
      <c r="A110" s="469"/>
      <c r="B110" s="469"/>
      <c r="C110" s="58" t="str">
        <f>Glossary!B50</f>
        <v>Customer Security Policies</v>
      </c>
      <c r="D110" s="402"/>
      <c r="E110" t="b">
        <f t="shared" si="64"/>
        <v>0</v>
      </c>
      <c r="F110" s="51" t="str">
        <f t="shared" si="65"/>
        <v/>
      </c>
      <c r="G110" s="53">
        <v>20</v>
      </c>
      <c r="H110" s="400"/>
      <c r="I110" s="56"/>
      <c r="J110" s="95"/>
      <c r="K110" s="97"/>
      <c r="O110" s="37"/>
    </row>
    <row r="111" spans="1:15" ht="16.5" customHeight="1">
      <c r="A111" s="469"/>
      <c r="B111" s="469"/>
      <c r="C111" s="121" t="str">
        <f>Glossary!B44</f>
        <v>Customer Backup and restore policy</v>
      </c>
      <c r="D111" s="402"/>
      <c r="E111" t="b">
        <f t="shared" si="64"/>
        <v>0</v>
      </c>
      <c r="F111" s="51" t="str">
        <f t="shared" si="65"/>
        <v/>
      </c>
      <c r="G111" s="53">
        <v>20</v>
      </c>
      <c r="H111" s="400"/>
      <c r="I111" s="56"/>
      <c r="J111" s="95"/>
      <c r="K111" s="97"/>
      <c r="O111" s="37"/>
    </row>
    <row r="112" spans="1:15" ht="16.5" customHeight="1">
      <c r="A112" s="469"/>
      <c r="B112" s="469"/>
      <c r="C112" s="45" t="str">
        <f>Glossary!B204</f>
        <v>Roles and Rights Specification</v>
      </c>
      <c r="D112" s="402"/>
      <c r="E112" t="b">
        <f t="shared" si="64"/>
        <v>0</v>
      </c>
      <c r="F112" s="51" t="str">
        <f t="shared" si="65"/>
        <v/>
      </c>
      <c r="G112" s="69">
        <v>25</v>
      </c>
      <c r="H112" s="400"/>
      <c r="I112" s="56"/>
      <c r="J112" s="95"/>
      <c r="K112" s="97"/>
      <c r="O112" s="37"/>
    </row>
    <row r="113" spans="1:15" ht="16.5" customHeight="1">
      <c r="A113" s="478"/>
      <c r="B113" s="478"/>
      <c r="C113" s="117"/>
      <c r="D113" s="412"/>
      <c r="E113" s="117"/>
      <c r="F113" s="117"/>
      <c r="G113" s="117"/>
      <c r="H113" s="117"/>
      <c r="I113" s="74"/>
      <c r="J113" s="117"/>
      <c r="K113" s="117"/>
      <c r="O113" s="37"/>
    </row>
    <row r="114" spans="1:15" ht="16.5" hidden="1" customHeight="1">
      <c r="A114" s="343"/>
      <c r="B114" s="332"/>
      <c r="C114" s="121"/>
      <c r="D114" s="94">
        <f>COUNTA(D85:D112,K85:K89,K94:K97,K104,K107,)/COUNTA(F85:F112,M85:M89,M94:M97,M104,M107,)</f>
        <v>2.8571428571428571E-2</v>
      </c>
      <c r="E114" s="94">
        <f t="shared" ref="E114:F114" si="66">SUM(E85:E112)</f>
        <v>0</v>
      </c>
      <c r="F114" s="94">
        <f t="shared" si="66"/>
        <v>0</v>
      </c>
      <c r="G114" s="94"/>
      <c r="H114" s="94" t="str">
        <f>IFERROR(AVERAGE(H85:H112),"")</f>
        <v/>
      </c>
      <c r="I114" s="56"/>
      <c r="J114" s="95"/>
      <c r="K114" s="97"/>
      <c r="L114">
        <f t="shared" ref="L114:M114" si="67">SUM(L85:L107)</f>
        <v>0</v>
      </c>
      <c r="M114">
        <f t="shared" si="67"/>
        <v>0</v>
      </c>
      <c r="O114" s="37"/>
    </row>
    <row r="115" spans="1:15" ht="16.5" customHeight="1">
      <c r="A115" s="498" t="s">
        <v>51</v>
      </c>
      <c r="B115" s="496" t="s">
        <v>83</v>
      </c>
      <c r="C115" s="69" t="str">
        <f>Glossary!B70</f>
        <v>Deployment / Release Policies and Processes</v>
      </c>
      <c r="D115" s="402"/>
      <c r="E115" t="b">
        <f t="shared" ref="E115:E117" si="68">IF(OR(D115="y",D115="n"), G115)</f>
        <v>0</v>
      </c>
      <c r="F115" s="51" t="str">
        <f t="shared" ref="F115:F117" si="69">IF(D115 = "Y",E115, IF(D115="n",0, ""))</f>
        <v/>
      </c>
      <c r="G115" s="53">
        <v>30</v>
      </c>
      <c r="H115" s="400"/>
      <c r="I115" s="56"/>
      <c r="J115" s="45" t="str">
        <f>Glossary!B192</f>
        <v>Release running on production environment</v>
      </c>
      <c r="K115" s="402"/>
      <c r="L115" t="b">
        <f>IF(OR(K115="y",K115="n"), N115)</f>
        <v>0</v>
      </c>
      <c r="M115" s="51" t="str">
        <f>IF(K115 = "Y",L115, IF(K115="n",0, ""))</f>
        <v/>
      </c>
      <c r="N115" s="53">
        <v>50</v>
      </c>
      <c r="O115" s="37"/>
    </row>
    <row r="116" spans="1:15" ht="20.25" customHeight="1">
      <c r="A116" s="469"/>
      <c r="B116" s="469"/>
      <c r="C116" s="45" t="str">
        <f>Glossary!B23</f>
        <v>Automation Strategy</v>
      </c>
      <c r="D116" s="402"/>
      <c r="E116" t="b">
        <f t="shared" si="68"/>
        <v>0</v>
      </c>
      <c r="F116" s="51" t="str">
        <f t="shared" si="69"/>
        <v/>
      </c>
      <c r="G116" s="53">
        <v>20</v>
      </c>
      <c r="H116" s="400"/>
      <c r="I116" s="56"/>
      <c r="J116" s="299"/>
      <c r="K116" s="299"/>
      <c r="O116" s="37"/>
    </row>
    <row r="117" spans="1:15" ht="20.25" customHeight="1">
      <c r="A117" s="469"/>
      <c r="B117" s="469"/>
      <c r="C117" s="138" t="str">
        <f>Glossary!B161</f>
        <v>Operations Manual</v>
      </c>
      <c r="D117" s="402"/>
      <c r="E117" t="b">
        <f t="shared" si="68"/>
        <v>0</v>
      </c>
      <c r="F117" s="51" t="str">
        <f t="shared" si="69"/>
        <v/>
      </c>
      <c r="G117" s="53">
        <v>20</v>
      </c>
      <c r="H117" s="400"/>
      <c r="I117" s="56"/>
      <c r="J117" s="299"/>
      <c r="K117" s="299"/>
      <c r="O117" s="37"/>
    </row>
    <row r="118" spans="1:15" ht="20.25" customHeight="1">
      <c r="A118" s="469"/>
      <c r="B118" s="478"/>
      <c r="C118" s="150"/>
      <c r="D118" s="227"/>
      <c r="E118" s="227"/>
      <c r="F118" s="227"/>
      <c r="G118" s="227"/>
      <c r="H118" s="153"/>
      <c r="I118" s="73"/>
      <c r="J118" s="227"/>
      <c r="K118" s="228"/>
      <c r="O118" s="37"/>
    </row>
    <row r="119" spans="1:15" ht="16.5" customHeight="1">
      <c r="A119" s="469"/>
      <c r="B119" s="496" t="s">
        <v>84</v>
      </c>
      <c r="C119" s="45" t="str">
        <f>Glossary!B166</f>
        <v>Performance KPIs</v>
      </c>
      <c r="D119" s="402"/>
      <c r="E119" t="b">
        <f t="shared" ref="E119:E128" si="70">IF(OR(D119="y",D119="n"), G119)</f>
        <v>0</v>
      </c>
      <c r="F119" s="51" t="str">
        <f t="shared" ref="F119:F128" si="71">IF(D119 = "Y",E119, IF(D119="n",0, ""))</f>
        <v/>
      </c>
      <c r="G119" s="53">
        <v>40</v>
      </c>
      <c r="H119" s="400"/>
      <c r="I119" s="56"/>
      <c r="J119" s="45" t="str">
        <f>Glossary!B174</f>
        <v>Post-Deployment Checklist</v>
      </c>
      <c r="K119" s="402"/>
      <c r="L119" t="b">
        <f t="shared" ref="L119:L121" si="72">IF(OR(K119="y",K119="n"), N119)</f>
        <v>0</v>
      </c>
      <c r="M119" s="51" t="str">
        <f t="shared" ref="M119:M121" si="73">IF(K119 = "Y",L119, IF(K119="n",0, ""))</f>
        <v/>
      </c>
      <c r="N119" s="53">
        <v>40</v>
      </c>
      <c r="O119" s="37"/>
    </row>
    <row r="120" spans="1:15" ht="16.5" customHeight="1">
      <c r="A120" s="469"/>
      <c r="B120" s="469"/>
      <c r="C120" s="45" t="str">
        <f>Glossary!B270</f>
        <v>Use cases</v>
      </c>
      <c r="D120" s="402"/>
      <c r="E120" t="b">
        <f t="shared" si="70"/>
        <v>0</v>
      </c>
      <c r="F120" s="51" t="str">
        <f t="shared" si="71"/>
        <v/>
      </c>
      <c r="G120" s="53">
        <v>20</v>
      </c>
      <c r="H120" s="400"/>
      <c r="I120" s="56"/>
      <c r="J120" s="45" t="str">
        <f>Glossary!B79</f>
        <v>Durabilty Test Executed</v>
      </c>
      <c r="K120" s="402"/>
      <c r="L120" t="b">
        <f t="shared" si="72"/>
        <v>0</v>
      </c>
      <c r="M120" s="51" t="str">
        <f t="shared" si="73"/>
        <v/>
      </c>
      <c r="N120" s="53">
        <v>25</v>
      </c>
      <c r="O120" s="37"/>
    </row>
    <row r="121" spans="1:15" ht="18" customHeight="1">
      <c r="A121" s="469"/>
      <c r="B121" s="469"/>
      <c r="C121" s="101" t="str">
        <f>Glossary!B250</f>
        <v>Test Content</v>
      </c>
      <c r="D121" s="402"/>
      <c r="E121" t="b">
        <f t="shared" si="70"/>
        <v>0</v>
      </c>
      <c r="F121" s="51" t="str">
        <f t="shared" si="71"/>
        <v/>
      </c>
      <c r="G121" s="53">
        <v>30</v>
      </c>
      <c r="H121" s="400"/>
      <c r="I121" s="56"/>
      <c r="J121" s="45" t="str">
        <f>Glossary!B169</f>
        <v>Performance Test Results match Performance KPIs</v>
      </c>
      <c r="K121" s="402"/>
      <c r="L121" t="b">
        <f t="shared" si="72"/>
        <v>0</v>
      </c>
      <c r="M121" s="51" t="str">
        <f t="shared" si="73"/>
        <v/>
      </c>
      <c r="N121" s="53">
        <v>30</v>
      </c>
      <c r="O121" s="37"/>
    </row>
    <row r="122" spans="1:15" ht="18.75" customHeight="1">
      <c r="A122" s="469"/>
      <c r="B122" s="469"/>
      <c r="C122" s="45" t="str">
        <f>Glossary!B249</f>
        <v>Testing Concept</v>
      </c>
      <c r="D122" s="402"/>
      <c r="E122" t="b">
        <f t="shared" si="70"/>
        <v>0</v>
      </c>
      <c r="F122" s="51" t="str">
        <f t="shared" si="71"/>
        <v/>
      </c>
      <c r="G122" s="53">
        <v>25</v>
      </c>
      <c r="H122" s="400"/>
      <c r="I122" s="56"/>
      <c r="J122" s="152"/>
      <c r="K122" s="152"/>
      <c r="O122" s="37"/>
    </row>
    <row r="123" spans="1:15" ht="18.75" customHeight="1">
      <c r="A123" s="469"/>
      <c r="B123" s="469"/>
      <c r="C123" s="161" t="str">
        <f>Glossary!B78</f>
        <v xml:space="preserve">Durabilty Test </v>
      </c>
      <c r="D123" s="402"/>
      <c r="E123" t="b">
        <f t="shared" si="70"/>
        <v>0</v>
      </c>
      <c r="F123" s="51" t="str">
        <f t="shared" si="71"/>
        <v/>
      </c>
      <c r="G123" s="53">
        <v>25</v>
      </c>
      <c r="H123" s="400"/>
      <c r="I123" s="56"/>
      <c r="J123" s="152"/>
      <c r="K123" s="152"/>
      <c r="O123" s="37"/>
    </row>
    <row r="124" spans="1:15" ht="17.25" customHeight="1">
      <c r="A124" s="469"/>
      <c r="B124" s="469"/>
      <c r="C124" s="119" t="str">
        <f>Glossary!B255</f>
        <v>Test Suite</v>
      </c>
      <c r="D124" s="402"/>
      <c r="E124" t="b">
        <f t="shared" si="70"/>
        <v>0</v>
      </c>
      <c r="F124" s="51" t="str">
        <f t="shared" si="71"/>
        <v/>
      </c>
      <c r="G124" s="53">
        <v>25</v>
      </c>
      <c r="H124" s="400"/>
      <c r="I124" s="56"/>
      <c r="J124" s="152"/>
      <c r="K124" s="152"/>
      <c r="O124" s="37"/>
    </row>
    <row r="125" spans="1:15" ht="18" customHeight="1">
      <c r="A125" s="469"/>
      <c r="B125" s="469"/>
      <c r="C125" s="161" t="str">
        <f>Glossary!B37</f>
        <v>Caching Strategy</v>
      </c>
      <c r="D125" s="402"/>
      <c r="E125" t="b">
        <f t="shared" si="70"/>
        <v>0</v>
      </c>
      <c r="F125" s="51" t="str">
        <f t="shared" si="71"/>
        <v/>
      </c>
      <c r="G125" s="53">
        <v>25</v>
      </c>
      <c r="H125" s="400"/>
      <c r="I125" s="56"/>
      <c r="J125" s="152"/>
      <c r="K125" s="152"/>
      <c r="O125" s="37"/>
    </row>
    <row r="126" spans="1:15" ht="16.5" customHeight="1">
      <c r="A126" s="469"/>
      <c r="B126" s="469"/>
      <c r="C126" s="45" t="str">
        <f>Glossary!B165</f>
        <v>Performance Benchmark</v>
      </c>
      <c r="D126" s="402"/>
      <c r="E126" t="b">
        <f t="shared" si="70"/>
        <v>0</v>
      </c>
      <c r="F126" s="51" t="str">
        <f t="shared" si="71"/>
        <v/>
      </c>
      <c r="G126" s="53">
        <v>35</v>
      </c>
      <c r="H126" s="400"/>
      <c r="I126" s="56"/>
      <c r="J126" s="152"/>
      <c r="K126" s="152"/>
      <c r="O126" s="37"/>
    </row>
    <row r="127" spans="1:15" ht="16.5" customHeight="1">
      <c r="A127" s="469"/>
      <c r="B127" s="469"/>
      <c r="C127" s="45" t="str">
        <f>Glossary!B263</f>
        <v>Threshold definition</v>
      </c>
      <c r="D127" s="402"/>
      <c r="E127" t="b">
        <f t="shared" si="70"/>
        <v>0</v>
      </c>
      <c r="F127" s="51" t="str">
        <f t="shared" si="71"/>
        <v/>
      </c>
      <c r="G127" s="53">
        <v>30</v>
      </c>
      <c r="H127" s="400"/>
      <c r="I127" s="56"/>
      <c r="J127" s="166"/>
      <c r="K127" s="152"/>
      <c r="O127" s="37"/>
    </row>
    <row r="128" spans="1:15" ht="16.5" customHeight="1">
      <c r="A128" s="469"/>
      <c r="B128" s="469"/>
      <c r="C128" s="45" t="str">
        <f>Glossary!B168</f>
        <v>Performance Test Report</v>
      </c>
      <c r="D128" s="402"/>
      <c r="E128" t="b">
        <f t="shared" si="70"/>
        <v>0</v>
      </c>
      <c r="F128" s="51" t="str">
        <f t="shared" si="71"/>
        <v/>
      </c>
      <c r="G128" s="69">
        <v>40</v>
      </c>
      <c r="H128" s="400"/>
      <c r="I128" s="56"/>
      <c r="J128" s="166"/>
      <c r="K128" s="152"/>
      <c r="O128" s="37"/>
    </row>
    <row r="129" spans="1:15" ht="16.5" customHeight="1">
      <c r="A129" s="478"/>
      <c r="B129" s="478"/>
      <c r="C129" s="117"/>
      <c r="D129" s="117"/>
      <c r="E129" s="117"/>
      <c r="F129" s="117"/>
      <c r="G129" s="117"/>
      <c r="H129" s="117"/>
      <c r="I129" s="74"/>
      <c r="J129" s="117"/>
      <c r="K129" s="117"/>
      <c r="O129" s="37"/>
    </row>
    <row r="130" spans="1:15" ht="16.5" hidden="1" customHeight="1">
      <c r="A130" s="294"/>
      <c r="B130" s="346"/>
      <c r="C130" s="121"/>
      <c r="D130" s="94">
        <f>COUNTA(D115:D128,K115,K119:K121)/COUNTA(F115:F128,M115,M119:M121)</f>
        <v>0</v>
      </c>
      <c r="E130" s="94">
        <f t="shared" ref="E130:F130" si="74">SUM(E115:E128)</f>
        <v>0</v>
      </c>
      <c r="F130" s="94">
        <f t="shared" si="74"/>
        <v>0</v>
      </c>
      <c r="G130" s="94"/>
      <c r="H130" s="94" t="str">
        <f>IFERROR(AVERAGE(H115:H128),"")</f>
        <v/>
      </c>
      <c r="I130" s="56"/>
      <c r="J130" s="166"/>
      <c r="K130" s="152"/>
      <c r="L130">
        <f t="shared" ref="L130:M130" si="75">SUM(L115,L119:L121)</f>
        <v>0</v>
      </c>
      <c r="M130">
        <f t="shared" si="75"/>
        <v>0</v>
      </c>
      <c r="O130" s="37"/>
    </row>
    <row r="131" spans="1:15" ht="16.5" customHeight="1">
      <c r="A131" s="498" t="s">
        <v>52</v>
      </c>
      <c r="B131" s="499" t="s">
        <v>46</v>
      </c>
      <c r="C131" s="161" t="str">
        <f>Glossary!B269</f>
        <v>URL handling concept</v>
      </c>
      <c r="D131" s="406"/>
      <c r="E131" t="b">
        <f>IF(OR(D131="y",D131="n"), G131)</f>
        <v>0</v>
      </c>
      <c r="F131" s="51" t="str">
        <f>IF(D131 = "Y",E131, IF(D131="n",0, ""))</f>
        <v/>
      </c>
      <c r="G131" s="53">
        <v>40</v>
      </c>
      <c r="H131" s="407"/>
      <c r="I131" s="56"/>
      <c r="J131" s="161" t="str">
        <f>Glossary!B125</f>
        <v>Implementation - URL Handling</v>
      </c>
      <c r="K131" s="406"/>
      <c r="L131" t="b">
        <f>IF(OR(K131="y",K131="n"), N131)</f>
        <v>0</v>
      </c>
      <c r="M131" s="51" t="str">
        <f>IF(K131 = "Y",L131, IF(K131="n",0, ""))</f>
        <v/>
      </c>
      <c r="N131" s="53">
        <v>40</v>
      </c>
      <c r="O131" s="37"/>
    </row>
    <row r="132" spans="1:15" ht="16.5" customHeight="1">
      <c r="A132" s="469"/>
      <c r="B132" s="478"/>
      <c r="C132" s="179"/>
      <c r="D132" s="179"/>
      <c r="E132" s="179"/>
      <c r="F132" s="179"/>
      <c r="G132" s="179"/>
      <c r="H132" s="179"/>
      <c r="I132" s="74"/>
      <c r="J132" s="179"/>
      <c r="K132" s="179"/>
      <c r="L132" s="53"/>
      <c r="M132" s="51"/>
      <c r="O132" s="37"/>
    </row>
    <row r="133" spans="1:15" ht="16.5" customHeight="1">
      <c r="A133" s="469"/>
      <c r="B133" s="481" t="s">
        <v>91</v>
      </c>
      <c r="C133" s="121" t="str">
        <f>Glossary!B210</f>
        <v xml:space="preserve">Security Checklist </v>
      </c>
      <c r="D133" s="410"/>
      <c r="E133" t="b">
        <f t="shared" ref="E133:E135" si="76">IF(OR(D133="y",D133="n"), G133)</f>
        <v>0</v>
      </c>
      <c r="F133" s="51" t="str">
        <f t="shared" ref="F133:F135" si="77">IF(D133 = "Y",E133, IF(D133="n",0, ""))</f>
        <v/>
      </c>
      <c r="G133" s="53">
        <v>50</v>
      </c>
      <c r="H133" s="411"/>
      <c r="I133" s="56"/>
      <c r="J133" s="121" t="str">
        <f>Glossary!B113</f>
        <v>Implementation - Any needed changes based on Penetration Test Results</v>
      </c>
      <c r="K133" s="410"/>
      <c r="L133" t="b">
        <f>IF(OR(K133="y",K133="n"), N133)</f>
        <v>0</v>
      </c>
      <c r="M133" s="51" t="str">
        <f>IF(K133 = "Y",L133, IF(K133="n",0, ""))</f>
        <v/>
      </c>
      <c r="N133" s="53">
        <v>40</v>
      </c>
      <c r="O133" s="37"/>
    </row>
    <row r="134" spans="1:15" ht="16.5" customHeight="1">
      <c r="A134" s="469"/>
      <c r="B134" s="469"/>
      <c r="C134" s="101" t="str">
        <f>Glossary!B213</f>
        <v xml:space="preserve">Security issues listed and assesed </v>
      </c>
      <c r="D134" s="402"/>
      <c r="E134" t="b">
        <f t="shared" si="76"/>
        <v>0</v>
      </c>
      <c r="F134" s="51" t="str">
        <f t="shared" si="77"/>
        <v/>
      </c>
      <c r="G134" s="53">
        <v>20</v>
      </c>
      <c r="H134" s="400"/>
      <c r="I134" s="56"/>
      <c r="J134" s="204"/>
      <c r="K134" s="204"/>
      <c r="O134" s="37"/>
    </row>
    <row r="135" spans="1:15" ht="16.5" customHeight="1">
      <c r="A135" s="469"/>
      <c r="B135" s="469"/>
      <c r="C135" s="101" t="str">
        <f>Glossary!B237</f>
        <v>System Architecture Documentation</v>
      </c>
      <c r="D135" s="402"/>
      <c r="E135" t="b">
        <f t="shared" si="76"/>
        <v>0</v>
      </c>
      <c r="F135" s="51" t="str">
        <f t="shared" si="77"/>
        <v/>
      </c>
      <c r="G135" s="53">
        <v>20</v>
      </c>
      <c r="H135" s="400"/>
      <c r="I135" s="56"/>
      <c r="J135" s="204"/>
      <c r="K135" s="204"/>
      <c r="O135" s="37"/>
    </row>
    <row r="136" spans="1:15" ht="16.5" customHeight="1">
      <c r="A136" s="469"/>
      <c r="B136" s="469"/>
      <c r="C136" s="152"/>
      <c r="D136" s="152"/>
      <c r="E136" s="152"/>
      <c r="F136" s="152"/>
      <c r="G136" s="152"/>
      <c r="H136" s="109"/>
      <c r="I136" s="73"/>
      <c r="J136" s="152"/>
      <c r="K136" s="152"/>
      <c r="O136" s="37"/>
    </row>
    <row r="137" spans="1:15" ht="16.5" hidden="1" customHeight="1">
      <c r="D137">
        <f>COUNTA(D131:D135,K131:K133)/COUNTA(F131:F135,M131:M133)</f>
        <v>0</v>
      </c>
      <c r="E137">
        <f t="shared" ref="E137:F137" si="78">SUM(E131:E135)</f>
        <v>0</v>
      </c>
      <c r="F137">
        <f t="shared" si="78"/>
        <v>0</v>
      </c>
      <c r="H137" t="str">
        <f>IFERROR(AVERAGE(H131:H135),"")</f>
        <v/>
      </c>
      <c r="I137" s="37"/>
      <c r="K137" s="193"/>
      <c r="L137">
        <f t="shared" ref="L137:M137" si="79">SUM(L131:L133)</f>
        <v>0</v>
      </c>
      <c r="M137">
        <f t="shared" si="79"/>
        <v>0</v>
      </c>
      <c r="O137" s="37"/>
    </row>
    <row r="138" spans="1:15" ht="16.5" customHeight="1">
      <c r="A138" s="498" t="s">
        <v>93</v>
      </c>
      <c r="B138" s="496" t="s">
        <v>94</v>
      </c>
      <c r="C138" s="45" t="str">
        <f>Glossary!B210</f>
        <v xml:space="preserve">Security Checklist </v>
      </c>
      <c r="D138" s="402"/>
      <c r="E138" t="b">
        <f t="shared" ref="E138:E140" si="80">IF(OR(D138="y",D138="n"), G138)</f>
        <v>0</v>
      </c>
      <c r="F138" s="51" t="str">
        <f t="shared" ref="F138:F140" si="81">IF(D138 = "Y",E138, IF(D138="n",0, ""))</f>
        <v/>
      </c>
      <c r="G138" s="53">
        <v>50</v>
      </c>
      <c r="H138" s="400"/>
      <c r="I138" s="56"/>
      <c r="J138" s="101" t="str">
        <f>Glossary!B68</f>
        <v>Default security enabled</v>
      </c>
      <c r="K138" s="402"/>
      <c r="L138" t="b">
        <f t="shared" ref="L138:L140" si="82">IF(OR(K138="y",K138="n"), N138)</f>
        <v>0</v>
      </c>
      <c r="M138" s="51" t="str">
        <f t="shared" ref="M138:M140" si="83">IF(K138 = "Y",L138, IF(K138="n",0, ""))</f>
        <v/>
      </c>
      <c r="N138" s="53">
        <v>40</v>
      </c>
      <c r="O138" s="37"/>
    </row>
    <row r="139" spans="1:15" ht="16.5" customHeight="1">
      <c r="A139" s="469"/>
      <c r="B139" s="469"/>
      <c r="C139" s="101" t="str">
        <f>Glossary!B213</f>
        <v xml:space="preserve">Security issues listed and assesed </v>
      </c>
      <c r="D139" s="402"/>
      <c r="E139" t="b">
        <f t="shared" si="80"/>
        <v>0</v>
      </c>
      <c r="F139" s="51" t="str">
        <f t="shared" si="81"/>
        <v/>
      </c>
      <c r="G139" s="53">
        <v>30</v>
      </c>
      <c r="H139" s="400"/>
      <c r="I139" s="56"/>
      <c r="J139" s="101" t="str">
        <f>Glossary!B122</f>
        <v>Implementation - Security Concept</v>
      </c>
      <c r="K139" s="402"/>
      <c r="L139" t="b">
        <f t="shared" si="82"/>
        <v>0</v>
      </c>
      <c r="M139" s="51" t="str">
        <f t="shared" si="83"/>
        <v/>
      </c>
      <c r="N139" s="53">
        <v>50</v>
      </c>
      <c r="O139" s="37"/>
    </row>
    <row r="140" spans="1:15" ht="16.5" customHeight="1">
      <c r="A140" s="469"/>
      <c r="B140" s="469"/>
      <c r="C140" s="101" t="str">
        <f>Glossary!B170</f>
        <v>Penetration Test</v>
      </c>
      <c r="D140" s="402"/>
      <c r="E140" t="b">
        <f t="shared" si="80"/>
        <v>0</v>
      </c>
      <c r="F140" s="51" t="str">
        <f t="shared" si="81"/>
        <v/>
      </c>
      <c r="G140" s="53">
        <v>25</v>
      </c>
      <c r="H140" s="400"/>
      <c r="I140" s="56"/>
      <c r="J140" s="101" t="str">
        <f>Glossary!B171</f>
        <v>Penetration Test Results</v>
      </c>
      <c r="K140" s="402"/>
      <c r="L140" t="b">
        <f t="shared" si="82"/>
        <v>0</v>
      </c>
      <c r="M140" s="51" t="str">
        <f t="shared" si="83"/>
        <v/>
      </c>
      <c r="N140" s="53">
        <v>50</v>
      </c>
      <c r="O140" s="37"/>
    </row>
    <row r="141" spans="1:15" ht="16.5" customHeight="1">
      <c r="A141" s="469"/>
      <c r="B141" s="470"/>
      <c r="C141" s="176"/>
      <c r="D141" s="177"/>
      <c r="E141" s="177"/>
      <c r="F141" s="177"/>
      <c r="G141" s="177"/>
      <c r="H141" s="275"/>
      <c r="I141" s="73"/>
      <c r="J141" s="177"/>
      <c r="K141" s="209"/>
      <c r="L141" s="53"/>
      <c r="M141" s="51"/>
      <c r="O141" s="37"/>
    </row>
    <row r="142" spans="1:15" ht="16.5" customHeight="1">
      <c r="A142" s="469"/>
      <c r="B142" s="471" t="s">
        <v>95</v>
      </c>
      <c r="C142" s="101" t="str">
        <f>Glossary!B92</f>
        <v>Fallback system and procedure</v>
      </c>
      <c r="D142" s="402"/>
      <c r="E142" t="b">
        <f t="shared" ref="E142:E143" si="84">IF(OR(D142="y",D142="n"), G142)</f>
        <v>0</v>
      </c>
      <c r="F142" s="51" t="str">
        <f t="shared" ref="F142:F143" si="85">IF(D142 = "Y",E142, IF(D142="n",0, ""))</f>
        <v/>
      </c>
      <c r="G142" s="53">
        <v>30</v>
      </c>
      <c r="H142" s="400"/>
      <c r="I142" s="56"/>
      <c r="J142" s="45" t="str">
        <f>Glossary!B118</f>
        <v>Implementation - Fallback system and procedure</v>
      </c>
      <c r="K142" s="402"/>
      <c r="L142" t="b">
        <f>IF(OR(K142="y",K142="n"), N142)</f>
        <v>0</v>
      </c>
      <c r="M142" s="51" t="str">
        <f>IF(K142 = "Y",L142, IF(K142="n",0, ""))</f>
        <v/>
      </c>
      <c r="N142" s="53">
        <v>30</v>
      </c>
      <c r="O142" s="37"/>
    </row>
    <row r="143" spans="1:15" ht="16.5" customHeight="1">
      <c r="A143" s="469"/>
      <c r="B143" s="469"/>
      <c r="C143" s="101" t="str">
        <f>Glossary!B91</f>
        <v>Fallback system and procedure tested</v>
      </c>
      <c r="D143" s="402"/>
      <c r="E143" t="b">
        <f t="shared" si="84"/>
        <v>0</v>
      </c>
      <c r="F143" s="51" t="str">
        <f t="shared" si="85"/>
        <v/>
      </c>
      <c r="G143" s="53">
        <v>25</v>
      </c>
      <c r="H143" s="400"/>
      <c r="I143" s="56"/>
      <c r="J143" s="101"/>
      <c r="K143" s="101"/>
      <c r="O143" s="37"/>
    </row>
    <row r="144" spans="1:15" ht="16.5" customHeight="1">
      <c r="A144" s="469"/>
      <c r="B144" s="470"/>
      <c r="C144" s="279"/>
      <c r="D144" s="278"/>
      <c r="E144" s="278"/>
      <c r="F144" s="278"/>
      <c r="G144" s="278"/>
      <c r="H144" s="189"/>
      <c r="I144" s="73"/>
      <c r="J144" s="278"/>
      <c r="K144" s="253"/>
      <c r="O144" s="37"/>
    </row>
    <row r="145" spans="1:15" ht="16.5" customHeight="1">
      <c r="A145" s="478"/>
      <c r="B145" s="348" t="s">
        <v>96</v>
      </c>
      <c r="C145" s="101" t="str">
        <f>Glossary!B98</f>
        <v>Go live Schedule</v>
      </c>
      <c r="D145" s="402"/>
      <c r="E145" t="b">
        <f>IF(OR(D145="y",D145="n"), G145)</f>
        <v>0</v>
      </c>
      <c r="F145" s="51" t="str">
        <f>IF(D145 = "Y",E145, IF(D145="n",0, ""))</f>
        <v/>
      </c>
      <c r="G145" s="69">
        <v>20</v>
      </c>
      <c r="H145" s="400"/>
      <c r="I145" s="56"/>
      <c r="J145" s="69" t="str">
        <f>Glossary!B199</f>
        <v>Resources available to support go live</v>
      </c>
      <c r="K145" s="402"/>
      <c r="L145" t="b">
        <f>IF(OR(K145="y",K145="n"), N145)</f>
        <v>0</v>
      </c>
      <c r="M145" s="51" t="str">
        <f>IF(K145 = "Y",L145, IF(K145="n",0, ""))</f>
        <v/>
      </c>
      <c r="N145" s="53">
        <v>30</v>
      </c>
      <c r="O145" s="37"/>
    </row>
    <row r="146" spans="1:15" ht="17.25" hidden="1" customHeight="1">
      <c r="A146" s="212"/>
      <c r="B146" s="212"/>
      <c r="C146" s="212"/>
      <c r="D146" s="212">
        <f>COUNTA(D138:D145,K138:K142,K145)/COUNTA(F138:F145,M138:M142,M145)</f>
        <v>0</v>
      </c>
      <c r="E146" s="212">
        <f t="shared" ref="E146:F146" si="86">SUM(E138:E145)</f>
        <v>0</v>
      </c>
      <c r="F146" s="212">
        <f t="shared" si="86"/>
        <v>0</v>
      </c>
      <c r="G146" s="212"/>
      <c r="H146" s="212" t="str">
        <f>IFERROR(AVERAGE(H138:H145),"")</f>
        <v/>
      </c>
      <c r="J146" s="212"/>
      <c r="K146" s="212"/>
      <c r="L146">
        <f t="shared" ref="L146:M146" si="87">SUM(L138:L142,L145)</f>
        <v>0</v>
      </c>
      <c r="M146">
        <f t="shared" si="87"/>
        <v>0</v>
      </c>
    </row>
    <row r="147" spans="1:15" ht="18.75" customHeight="1">
      <c r="A147" s="211"/>
      <c r="B147" s="211"/>
      <c r="C147" s="211"/>
      <c r="D147" s="211"/>
      <c r="E147" s="211"/>
      <c r="F147" s="211"/>
      <c r="G147" s="211"/>
      <c r="H147" s="211"/>
      <c r="I147" s="37"/>
      <c r="J147" s="211"/>
      <c r="K147" s="211"/>
      <c r="L147" s="37"/>
      <c r="M147" s="37"/>
      <c r="N147" s="37"/>
      <c r="O147" s="37"/>
    </row>
    <row r="148" spans="1:15" ht="12.75" customHeight="1">
      <c r="A148" s="212"/>
      <c r="B148" s="212"/>
      <c r="C148" s="212"/>
      <c r="D148" s="212"/>
      <c r="E148" s="212"/>
      <c r="F148" s="212"/>
      <c r="G148" s="212"/>
      <c r="H148" s="212"/>
      <c r="J148" s="212"/>
      <c r="K148" s="212"/>
    </row>
    <row r="149" spans="1:15" ht="12.75" customHeight="1">
      <c r="A149" s="212"/>
      <c r="B149" s="212"/>
      <c r="C149" s="212"/>
      <c r="D149" s="212"/>
      <c r="E149" s="212"/>
      <c r="F149" s="212"/>
      <c r="G149" s="212"/>
      <c r="H149" s="212"/>
      <c r="J149" s="212"/>
      <c r="K149" s="212"/>
    </row>
    <row r="150" spans="1:15" ht="12.75" customHeight="1">
      <c r="A150" s="212"/>
      <c r="B150" s="212"/>
      <c r="C150" s="212"/>
      <c r="D150" s="212"/>
      <c r="E150" s="212"/>
      <c r="F150" s="212"/>
      <c r="G150" s="212"/>
      <c r="H150" s="212"/>
      <c r="J150" s="212"/>
      <c r="K150" s="212"/>
    </row>
    <row r="151" spans="1:15" ht="12.75" customHeight="1">
      <c r="A151" s="212"/>
      <c r="B151" s="212"/>
      <c r="C151" s="212"/>
      <c r="D151" s="213"/>
      <c r="E151" s="213"/>
      <c r="F151" s="213"/>
      <c r="G151" s="213"/>
      <c r="H151" s="213"/>
      <c r="I151" s="214"/>
      <c r="J151" s="213"/>
      <c r="K151" s="212"/>
    </row>
    <row r="152" spans="1:15" ht="12.75" customHeight="1">
      <c r="A152" s="212"/>
      <c r="B152" s="212"/>
      <c r="C152" s="212"/>
      <c r="D152" s="212"/>
      <c r="E152" s="212"/>
      <c r="F152" s="212"/>
      <c r="G152" s="212"/>
      <c r="H152" s="212"/>
      <c r="J152" s="212"/>
      <c r="K152" s="212"/>
    </row>
    <row r="153" spans="1:15" ht="12.75" customHeight="1">
      <c r="A153" s="212"/>
      <c r="B153" s="212"/>
      <c r="C153" s="212"/>
      <c r="D153" s="212"/>
      <c r="E153" s="212"/>
      <c r="F153" s="212"/>
      <c r="G153" s="212"/>
      <c r="H153" s="212"/>
      <c r="J153" s="212"/>
      <c r="K153" s="212"/>
    </row>
    <row r="154" spans="1:15" ht="12.75" customHeight="1">
      <c r="A154" s="212"/>
      <c r="B154" s="212"/>
      <c r="C154" s="212"/>
      <c r="D154" s="212"/>
      <c r="E154" s="212"/>
      <c r="F154" s="212"/>
      <c r="G154" s="212"/>
      <c r="H154" s="212"/>
      <c r="J154" s="212"/>
      <c r="K154" s="212"/>
    </row>
    <row r="155" spans="1:15" ht="12.75" customHeight="1">
      <c r="A155" s="212"/>
      <c r="B155" s="212"/>
      <c r="C155" s="212"/>
      <c r="D155" s="212"/>
      <c r="E155" s="212"/>
      <c r="F155" s="212"/>
      <c r="G155" s="212"/>
      <c r="H155" s="212"/>
      <c r="J155" s="212"/>
      <c r="K155" s="212"/>
    </row>
    <row r="156" spans="1:15" ht="12.75" customHeight="1">
      <c r="A156" s="212"/>
      <c r="B156" s="212"/>
      <c r="C156" s="212"/>
      <c r="D156" s="212"/>
      <c r="E156" s="212"/>
      <c r="F156" s="212"/>
      <c r="G156" s="212"/>
      <c r="H156" s="212"/>
      <c r="J156" s="212"/>
      <c r="K156" s="212"/>
    </row>
    <row r="157" spans="1:15" ht="12.75" customHeight="1">
      <c r="A157" s="212"/>
      <c r="B157" s="212"/>
      <c r="C157" s="212"/>
      <c r="D157" s="212"/>
      <c r="E157" s="212"/>
      <c r="F157" s="212"/>
      <c r="G157" s="212"/>
      <c r="H157" s="212"/>
      <c r="J157" s="212"/>
      <c r="K157" s="212"/>
    </row>
    <row r="158" spans="1:15" ht="12.75" customHeight="1">
      <c r="A158" s="212"/>
      <c r="B158" s="212"/>
      <c r="C158" s="212"/>
      <c r="D158" s="212"/>
      <c r="E158" s="212"/>
      <c r="F158" s="212"/>
      <c r="G158" s="212"/>
      <c r="H158" s="212"/>
      <c r="J158" s="212"/>
      <c r="K158" s="212"/>
    </row>
    <row r="159" spans="1:15" ht="12.75" customHeight="1">
      <c r="A159" s="212"/>
      <c r="B159" s="212"/>
      <c r="C159" s="212"/>
      <c r="D159" s="212"/>
      <c r="E159" s="212"/>
      <c r="F159" s="212"/>
      <c r="G159" s="212"/>
      <c r="H159" s="212"/>
      <c r="J159" s="212"/>
      <c r="K159" s="212"/>
    </row>
    <row r="160" spans="1:15" ht="12.75" customHeight="1">
      <c r="A160" s="212"/>
      <c r="B160" s="212"/>
      <c r="C160" s="212"/>
      <c r="D160" s="212"/>
      <c r="E160" s="212"/>
      <c r="F160" s="212"/>
      <c r="G160" s="212"/>
      <c r="H160" s="212"/>
      <c r="J160" s="212"/>
      <c r="K160" s="212"/>
    </row>
    <row r="161" spans="1:11" ht="12.75" customHeight="1">
      <c r="A161" s="212"/>
      <c r="B161" s="212"/>
      <c r="C161" s="212"/>
      <c r="D161" s="212"/>
      <c r="E161" s="212"/>
      <c r="F161" s="212"/>
      <c r="G161" s="212"/>
      <c r="H161" s="212"/>
      <c r="J161" s="212"/>
      <c r="K161" s="212"/>
    </row>
    <row r="162" spans="1:11" ht="12.75" customHeight="1">
      <c r="A162" s="212"/>
      <c r="B162" s="212"/>
      <c r="C162" s="212"/>
      <c r="D162" s="212"/>
      <c r="E162" s="212"/>
      <c r="F162" s="212"/>
      <c r="G162" s="212"/>
      <c r="H162" s="212"/>
      <c r="J162" s="212"/>
      <c r="K162" s="212"/>
    </row>
    <row r="163" spans="1:11" ht="12.75" customHeight="1">
      <c r="A163" s="212"/>
      <c r="B163" s="212"/>
      <c r="C163" s="212"/>
      <c r="D163" s="212"/>
      <c r="E163" s="212"/>
      <c r="F163" s="212"/>
      <c r="G163" s="212"/>
      <c r="H163" s="212"/>
      <c r="J163" s="212"/>
      <c r="K163" s="212"/>
    </row>
    <row r="164" spans="1:11" ht="12.75" customHeight="1">
      <c r="A164" s="212"/>
      <c r="B164" s="212"/>
      <c r="C164" s="212"/>
      <c r="D164" s="212"/>
      <c r="E164" s="212"/>
      <c r="F164" s="212"/>
      <c r="G164" s="212"/>
      <c r="H164" s="212"/>
      <c r="J164" s="212"/>
      <c r="K164" s="212"/>
    </row>
    <row r="165" spans="1:11" ht="12.75" customHeight="1">
      <c r="A165" s="212"/>
      <c r="B165" s="212"/>
      <c r="C165" s="212"/>
      <c r="D165" s="212"/>
      <c r="E165" s="212"/>
      <c r="F165" s="212"/>
      <c r="G165" s="212"/>
      <c r="H165" s="212"/>
      <c r="J165" s="212"/>
      <c r="K165" s="212"/>
    </row>
    <row r="166" spans="1:11" ht="12.75" customHeight="1">
      <c r="A166" s="212"/>
      <c r="B166" s="212"/>
      <c r="C166" s="212"/>
      <c r="D166" s="212"/>
      <c r="E166" s="212"/>
      <c r="F166" s="212"/>
      <c r="G166" s="212"/>
      <c r="H166" s="212"/>
      <c r="J166" s="212"/>
      <c r="K166" s="212"/>
    </row>
    <row r="167" spans="1:11" ht="12.75" customHeight="1">
      <c r="A167" s="212"/>
      <c r="B167" s="212"/>
      <c r="C167" s="212"/>
      <c r="D167" s="212"/>
      <c r="E167" s="212"/>
      <c r="F167" s="212"/>
      <c r="G167" s="212"/>
      <c r="H167" s="212"/>
      <c r="J167" s="212"/>
      <c r="K167" s="212"/>
    </row>
    <row r="168" spans="1:11" ht="12.75" customHeight="1">
      <c r="A168" s="212"/>
      <c r="B168" s="212"/>
      <c r="C168" s="212"/>
      <c r="D168" s="212"/>
      <c r="E168" s="212"/>
      <c r="F168" s="212"/>
      <c r="G168" s="212"/>
      <c r="H168" s="212"/>
      <c r="J168" s="212"/>
      <c r="K168" s="212"/>
    </row>
    <row r="169" spans="1:11" ht="12.75" customHeight="1">
      <c r="A169" s="212"/>
      <c r="B169" s="212"/>
      <c r="C169" s="212"/>
      <c r="D169" s="212"/>
      <c r="E169" s="212"/>
      <c r="F169" s="212"/>
      <c r="G169" s="212"/>
      <c r="H169" s="212"/>
      <c r="J169" s="212"/>
      <c r="K169" s="212"/>
    </row>
    <row r="170" spans="1:11" ht="12.75" customHeight="1">
      <c r="A170" s="212"/>
      <c r="B170" s="212"/>
      <c r="C170" s="212"/>
      <c r="D170" s="212"/>
      <c r="E170" s="212"/>
      <c r="F170" s="212"/>
      <c r="G170" s="212"/>
      <c r="H170" s="212"/>
      <c r="J170" s="212"/>
      <c r="K170" s="212"/>
    </row>
    <row r="171" spans="1:11" ht="12.75" customHeight="1">
      <c r="A171" s="212"/>
      <c r="B171" s="212"/>
      <c r="C171" s="212"/>
      <c r="D171" s="212"/>
      <c r="E171" s="212"/>
      <c r="F171" s="212"/>
      <c r="G171" s="212"/>
      <c r="H171" s="212"/>
      <c r="J171" s="212"/>
      <c r="K171" s="212"/>
    </row>
    <row r="172" spans="1:11" ht="12.75" customHeight="1">
      <c r="A172" s="212"/>
      <c r="B172" s="212"/>
      <c r="C172" s="212"/>
      <c r="D172" s="212"/>
      <c r="E172" s="212"/>
      <c r="F172" s="212"/>
      <c r="G172" s="212"/>
      <c r="H172" s="212"/>
      <c r="J172" s="212"/>
      <c r="K172" s="212"/>
    </row>
    <row r="173" spans="1:11" ht="12.75" customHeight="1">
      <c r="A173" s="212"/>
      <c r="B173" s="212"/>
      <c r="C173" s="212"/>
      <c r="D173" s="212"/>
      <c r="E173" s="212"/>
      <c r="F173" s="212"/>
      <c r="G173" s="212"/>
      <c r="H173" s="212"/>
      <c r="J173" s="212"/>
      <c r="K173" s="212"/>
    </row>
    <row r="174" spans="1:11" ht="12.75" customHeight="1">
      <c r="A174" s="212"/>
      <c r="B174" s="212"/>
      <c r="C174" s="212"/>
      <c r="D174" s="212"/>
      <c r="E174" s="212"/>
      <c r="F174" s="212"/>
      <c r="G174" s="212"/>
      <c r="H174" s="212"/>
      <c r="J174" s="212"/>
      <c r="K174" s="212"/>
    </row>
    <row r="175" spans="1:11" ht="12.75" customHeight="1">
      <c r="A175" s="212"/>
      <c r="B175" s="212"/>
      <c r="C175" s="212"/>
      <c r="D175" s="212"/>
      <c r="E175" s="212"/>
      <c r="F175" s="212"/>
      <c r="G175" s="212"/>
      <c r="H175" s="212"/>
      <c r="J175" s="212"/>
      <c r="K175" s="212"/>
    </row>
    <row r="176" spans="1:11" ht="12.75" customHeight="1">
      <c r="A176" s="212"/>
      <c r="B176" s="212"/>
      <c r="C176" s="212"/>
      <c r="D176" s="212"/>
      <c r="E176" s="212"/>
      <c r="F176" s="212"/>
      <c r="G176" s="212"/>
      <c r="H176" s="212"/>
      <c r="J176" s="212"/>
      <c r="K176" s="212"/>
    </row>
    <row r="177" spans="1:11" ht="12.75" customHeight="1">
      <c r="A177" s="212"/>
      <c r="B177" s="212"/>
      <c r="C177" s="212"/>
      <c r="D177" s="212"/>
      <c r="E177" s="212"/>
      <c r="F177" s="212"/>
      <c r="G177" s="212"/>
      <c r="H177" s="212"/>
      <c r="J177" s="212"/>
      <c r="K177" s="212"/>
    </row>
    <row r="178" spans="1:11" ht="12.75" customHeight="1">
      <c r="A178" s="212"/>
      <c r="B178" s="212"/>
      <c r="C178" s="212"/>
      <c r="D178" s="212"/>
      <c r="E178" s="212"/>
      <c r="F178" s="212"/>
      <c r="G178" s="212"/>
      <c r="H178" s="212"/>
      <c r="J178" s="212"/>
      <c r="K178" s="212"/>
    </row>
    <row r="179" spans="1:11" ht="12.75" customHeight="1">
      <c r="A179" s="212"/>
      <c r="B179" s="212"/>
      <c r="C179" s="212"/>
      <c r="D179" s="212"/>
      <c r="E179" s="212"/>
      <c r="F179" s="212"/>
      <c r="G179" s="212"/>
      <c r="H179" s="212"/>
      <c r="J179" s="212"/>
      <c r="K179" s="212"/>
    </row>
    <row r="180" spans="1:11" ht="12.75" customHeight="1">
      <c r="A180" s="212"/>
      <c r="B180" s="212"/>
      <c r="C180" s="212"/>
      <c r="D180" s="212"/>
      <c r="E180" s="212"/>
      <c r="F180" s="212"/>
      <c r="G180" s="212"/>
      <c r="H180" s="212"/>
      <c r="J180" s="212"/>
      <c r="K180" s="212"/>
    </row>
    <row r="181" spans="1:11" ht="12.75" customHeight="1">
      <c r="A181" s="212"/>
      <c r="B181" s="212"/>
      <c r="C181" s="212"/>
      <c r="D181" s="212"/>
      <c r="E181" s="212"/>
      <c r="F181" s="212"/>
      <c r="G181" s="212"/>
      <c r="H181" s="212"/>
      <c r="J181" s="212"/>
      <c r="K181" s="212"/>
    </row>
    <row r="182" spans="1:11" ht="12.75" customHeight="1">
      <c r="A182" s="212"/>
      <c r="B182" s="212"/>
      <c r="C182" s="212"/>
      <c r="D182" s="212"/>
      <c r="E182" s="212"/>
      <c r="F182" s="212"/>
      <c r="G182" s="212"/>
      <c r="H182" s="212"/>
      <c r="J182" s="212"/>
      <c r="K182" s="212"/>
    </row>
    <row r="183" spans="1:11" ht="12.75" customHeight="1">
      <c r="A183" s="212"/>
      <c r="B183" s="212"/>
      <c r="C183" s="212"/>
      <c r="D183" s="212"/>
      <c r="E183" s="212"/>
      <c r="F183" s="212"/>
      <c r="G183" s="212"/>
      <c r="H183" s="212"/>
      <c r="J183" s="212"/>
      <c r="K183" s="212"/>
    </row>
    <row r="184" spans="1:11" ht="12.75" customHeight="1">
      <c r="A184" s="212"/>
      <c r="B184" s="212"/>
      <c r="C184" s="212"/>
      <c r="D184" s="212"/>
      <c r="E184" s="212"/>
      <c r="F184" s="212"/>
      <c r="G184" s="212"/>
      <c r="H184" s="212"/>
      <c r="J184" s="212"/>
      <c r="K184" s="212"/>
    </row>
    <row r="185" spans="1:11" ht="12.75" customHeight="1">
      <c r="A185" s="212"/>
      <c r="B185" s="212"/>
      <c r="C185" s="212"/>
      <c r="D185" s="212"/>
      <c r="E185" s="212"/>
      <c r="F185" s="212"/>
      <c r="G185" s="212"/>
      <c r="H185" s="212"/>
      <c r="J185" s="212"/>
      <c r="K185" s="212"/>
    </row>
    <row r="186" spans="1:11" ht="12.75" customHeight="1">
      <c r="A186" s="212"/>
      <c r="B186" s="212"/>
      <c r="C186" s="212"/>
      <c r="D186" s="212"/>
      <c r="E186" s="212"/>
      <c r="F186" s="212"/>
      <c r="G186" s="212"/>
      <c r="H186" s="212"/>
      <c r="J186" s="212"/>
      <c r="K186" s="212"/>
    </row>
    <row r="187" spans="1:11" ht="12.75" customHeight="1">
      <c r="A187" s="212"/>
      <c r="B187" s="212"/>
      <c r="C187" s="212"/>
      <c r="D187" s="212"/>
      <c r="E187" s="212"/>
      <c r="F187" s="212"/>
      <c r="G187" s="212"/>
      <c r="H187" s="212"/>
      <c r="J187" s="212"/>
      <c r="K187" s="212"/>
    </row>
    <row r="188" spans="1:11" ht="12.75" customHeight="1">
      <c r="A188" s="212"/>
      <c r="B188" s="212"/>
      <c r="C188" s="212"/>
      <c r="D188" s="212"/>
      <c r="E188" s="212"/>
      <c r="F188" s="212"/>
      <c r="G188" s="212"/>
      <c r="H188" s="212"/>
      <c r="J188" s="212"/>
      <c r="K188" s="212"/>
    </row>
    <row r="189" spans="1:11" ht="12.75" customHeight="1">
      <c r="A189" s="212"/>
      <c r="B189" s="212"/>
      <c r="C189" s="212"/>
      <c r="D189" s="212"/>
      <c r="E189" s="212"/>
      <c r="F189" s="212"/>
      <c r="G189" s="212"/>
      <c r="H189" s="212"/>
      <c r="J189" s="212"/>
      <c r="K189" s="212"/>
    </row>
    <row r="190" spans="1:11" ht="12.75" customHeight="1">
      <c r="A190" s="212"/>
      <c r="B190" s="212"/>
      <c r="C190" s="212"/>
      <c r="D190" s="212"/>
      <c r="E190" s="212"/>
      <c r="F190" s="212"/>
      <c r="G190" s="212"/>
      <c r="H190" s="212"/>
      <c r="J190" s="212"/>
      <c r="K190" s="212"/>
    </row>
    <row r="191" spans="1:11" ht="12.75" customHeight="1">
      <c r="A191" s="212"/>
      <c r="B191" s="212"/>
      <c r="C191" s="212"/>
      <c r="D191" s="212"/>
      <c r="E191" s="212"/>
      <c r="F191" s="212"/>
      <c r="G191" s="212"/>
      <c r="H191" s="212"/>
      <c r="J191" s="212"/>
      <c r="K191" s="212"/>
    </row>
    <row r="192" spans="1:11" ht="12.75" customHeight="1">
      <c r="A192" s="212"/>
      <c r="B192" s="212"/>
      <c r="C192" s="212"/>
      <c r="D192" s="212"/>
      <c r="E192" s="212"/>
      <c r="F192" s="212"/>
      <c r="G192" s="212"/>
      <c r="H192" s="212"/>
      <c r="J192" s="212"/>
      <c r="K192" s="212"/>
    </row>
    <row r="193" spans="1:11" ht="12.75" customHeight="1">
      <c r="A193" s="212"/>
      <c r="B193" s="212"/>
      <c r="C193" s="212"/>
      <c r="D193" s="212"/>
      <c r="E193" s="212"/>
      <c r="F193" s="212"/>
      <c r="G193" s="212"/>
      <c r="H193" s="212"/>
      <c r="J193" s="212"/>
      <c r="K193" s="212"/>
    </row>
    <row r="194" spans="1:11" ht="12.75" customHeight="1">
      <c r="A194" s="212"/>
      <c r="B194" s="212"/>
      <c r="C194" s="212"/>
      <c r="D194" s="212"/>
      <c r="E194" s="212"/>
      <c r="F194" s="212"/>
      <c r="G194" s="212"/>
      <c r="H194" s="212"/>
      <c r="J194" s="212"/>
      <c r="K194" s="212"/>
    </row>
    <row r="195" spans="1:11" ht="12.75" customHeight="1">
      <c r="A195" s="212"/>
      <c r="B195" s="212"/>
      <c r="C195" s="212"/>
      <c r="D195" s="212"/>
      <c r="E195" s="212"/>
      <c r="F195" s="212"/>
      <c r="G195" s="212"/>
      <c r="H195" s="212"/>
      <c r="J195" s="212"/>
      <c r="K195" s="212"/>
    </row>
    <row r="196" spans="1:11" ht="12.75" customHeight="1">
      <c r="A196" s="212"/>
      <c r="B196" s="212"/>
      <c r="C196" s="212"/>
      <c r="D196" s="212"/>
      <c r="E196" s="212"/>
      <c r="F196" s="212"/>
      <c r="G196" s="212"/>
      <c r="H196" s="212"/>
      <c r="J196" s="212"/>
      <c r="K196" s="212"/>
    </row>
    <row r="197" spans="1:11" ht="12.75" customHeight="1">
      <c r="A197" s="212"/>
      <c r="B197" s="212"/>
      <c r="C197" s="212"/>
      <c r="D197" s="212"/>
      <c r="E197" s="212"/>
      <c r="F197" s="212"/>
      <c r="G197" s="212"/>
      <c r="H197" s="212"/>
      <c r="J197" s="212"/>
      <c r="K197" s="212"/>
    </row>
    <row r="198" spans="1:11" ht="12.75" customHeight="1">
      <c r="A198" s="212"/>
      <c r="B198" s="212"/>
      <c r="C198" s="212"/>
      <c r="D198" s="212"/>
      <c r="E198" s="212"/>
      <c r="F198" s="212"/>
      <c r="G198" s="212"/>
      <c r="H198" s="212"/>
      <c r="J198" s="212"/>
      <c r="K198" s="212"/>
    </row>
    <row r="199" spans="1:11" ht="12.75" customHeight="1">
      <c r="A199" s="212"/>
      <c r="B199" s="212"/>
      <c r="C199" s="212"/>
      <c r="D199" s="212"/>
      <c r="E199" s="212"/>
      <c r="F199" s="212"/>
      <c r="G199" s="212"/>
      <c r="H199" s="212"/>
      <c r="J199" s="212"/>
      <c r="K199" s="212"/>
    </row>
    <row r="200" spans="1:11" ht="12.75" customHeight="1">
      <c r="A200" s="212"/>
      <c r="B200" s="212"/>
      <c r="C200" s="212"/>
      <c r="D200" s="212"/>
      <c r="E200" s="212"/>
      <c r="F200" s="212"/>
      <c r="G200" s="212"/>
      <c r="H200" s="212"/>
      <c r="J200" s="212"/>
      <c r="K200" s="212"/>
    </row>
    <row r="201" spans="1:11" ht="12.75" customHeight="1">
      <c r="A201" s="212"/>
      <c r="B201" s="212"/>
      <c r="C201" s="212"/>
      <c r="D201" s="212"/>
      <c r="E201" s="212"/>
      <c r="F201" s="212"/>
      <c r="G201" s="212"/>
      <c r="H201" s="212"/>
      <c r="J201" s="212"/>
      <c r="K201" s="212"/>
    </row>
    <row r="202" spans="1:11" ht="12.75" customHeight="1">
      <c r="A202" s="212"/>
      <c r="B202" s="212"/>
      <c r="C202" s="212"/>
      <c r="D202" s="212"/>
      <c r="E202" s="212"/>
      <c r="F202" s="212"/>
      <c r="G202" s="212"/>
      <c r="H202" s="212"/>
      <c r="J202" s="212"/>
      <c r="K202" s="212"/>
    </row>
    <row r="203" spans="1:11" ht="12.75" customHeight="1">
      <c r="A203" s="212"/>
      <c r="B203" s="212"/>
      <c r="C203" s="212"/>
      <c r="D203" s="212"/>
      <c r="E203" s="212"/>
      <c r="F203" s="212"/>
      <c r="G203" s="212"/>
      <c r="H203" s="212"/>
      <c r="J203" s="212"/>
      <c r="K203" s="212"/>
    </row>
    <row r="204" spans="1:11" ht="12.75" customHeight="1">
      <c r="A204" s="212"/>
      <c r="B204" s="212"/>
      <c r="C204" s="212"/>
      <c r="D204" s="212"/>
      <c r="E204" s="212"/>
      <c r="F204" s="212"/>
      <c r="G204" s="212"/>
      <c r="H204" s="212"/>
      <c r="J204" s="212"/>
      <c r="K204" s="212"/>
    </row>
    <row r="205" spans="1:11" ht="12.75" customHeight="1">
      <c r="A205" s="212"/>
      <c r="B205" s="212"/>
      <c r="C205" s="212"/>
      <c r="D205" s="212"/>
      <c r="E205" s="212"/>
      <c r="F205" s="212"/>
      <c r="G205" s="212"/>
      <c r="H205" s="212"/>
      <c r="J205" s="212"/>
      <c r="K205" s="212"/>
    </row>
    <row r="206" spans="1:11" ht="12.75" customHeight="1">
      <c r="A206" s="212"/>
      <c r="B206" s="212"/>
      <c r="C206" s="212"/>
      <c r="D206" s="212"/>
      <c r="E206" s="212"/>
      <c r="F206" s="212"/>
      <c r="G206" s="212"/>
      <c r="H206" s="212"/>
      <c r="J206" s="212"/>
      <c r="K206" s="212"/>
    </row>
    <row r="207" spans="1:11" ht="12.75" customHeight="1">
      <c r="A207" s="212"/>
      <c r="B207" s="212"/>
      <c r="C207" s="212"/>
      <c r="D207" s="212"/>
      <c r="E207" s="212"/>
      <c r="F207" s="212"/>
      <c r="G207" s="212"/>
      <c r="H207" s="212"/>
      <c r="J207" s="212"/>
      <c r="K207" s="212"/>
    </row>
    <row r="208" spans="1:11" ht="12.75" customHeight="1">
      <c r="A208" s="212"/>
      <c r="B208" s="212"/>
      <c r="C208" s="212"/>
      <c r="D208" s="212"/>
      <c r="E208" s="212"/>
      <c r="F208" s="212"/>
      <c r="G208" s="212"/>
      <c r="H208" s="212"/>
      <c r="J208" s="212"/>
      <c r="K208" s="212"/>
    </row>
    <row r="209" spans="1:11" ht="12.75" customHeight="1">
      <c r="A209" s="212"/>
      <c r="B209" s="212"/>
      <c r="C209" s="212"/>
      <c r="D209" s="212"/>
      <c r="E209" s="212"/>
      <c r="F209" s="212"/>
      <c r="G209" s="212"/>
      <c r="H209" s="212"/>
      <c r="J209" s="212"/>
      <c r="K209" s="212"/>
    </row>
    <row r="210" spans="1:11" ht="12.75" customHeight="1">
      <c r="A210" s="212"/>
      <c r="B210" s="212"/>
      <c r="C210" s="212"/>
      <c r="D210" s="212"/>
      <c r="E210" s="212"/>
      <c r="F210" s="212"/>
      <c r="G210" s="212"/>
      <c r="H210" s="212"/>
      <c r="J210" s="212"/>
      <c r="K210" s="212"/>
    </row>
    <row r="211" spans="1:11" ht="12.75" customHeight="1">
      <c r="A211" s="212"/>
      <c r="B211" s="212"/>
      <c r="C211" s="212"/>
      <c r="D211" s="212"/>
      <c r="E211" s="212"/>
      <c r="F211" s="212"/>
      <c r="G211" s="212"/>
      <c r="H211" s="212"/>
      <c r="J211" s="212"/>
      <c r="K211" s="212"/>
    </row>
    <row r="212" spans="1:11" ht="12.75" customHeight="1">
      <c r="A212" s="212"/>
      <c r="B212" s="212"/>
      <c r="C212" s="212"/>
      <c r="D212" s="212"/>
      <c r="E212" s="212"/>
      <c r="F212" s="212"/>
      <c r="G212" s="212"/>
      <c r="H212" s="212"/>
      <c r="J212" s="212"/>
      <c r="K212" s="212"/>
    </row>
    <row r="213" spans="1:11" ht="12.75" customHeight="1">
      <c r="A213" s="212"/>
      <c r="B213" s="212"/>
      <c r="C213" s="212"/>
      <c r="D213" s="212"/>
      <c r="E213" s="212"/>
      <c r="F213" s="212"/>
      <c r="G213" s="212"/>
      <c r="H213" s="212"/>
      <c r="J213" s="212"/>
      <c r="K213" s="212"/>
    </row>
    <row r="214" spans="1:11" ht="12.75" customHeight="1">
      <c r="A214" s="212"/>
      <c r="B214" s="212"/>
      <c r="C214" s="212"/>
      <c r="D214" s="212"/>
      <c r="E214" s="212"/>
      <c r="F214" s="212"/>
      <c r="G214" s="212"/>
      <c r="H214" s="212"/>
      <c r="J214" s="212"/>
      <c r="K214" s="212"/>
    </row>
    <row r="215" spans="1:11" ht="12.75" customHeight="1">
      <c r="A215" s="212"/>
      <c r="B215" s="212"/>
      <c r="C215" s="212"/>
      <c r="D215" s="212"/>
      <c r="E215" s="212"/>
      <c r="F215" s="212"/>
      <c r="G215" s="212"/>
      <c r="H215" s="212"/>
      <c r="J215" s="212"/>
      <c r="K215" s="212"/>
    </row>
    <row r="216" spans="1:11" ht="12.75" customHeight="1">
      <c r="A216" s="212"/>
      <c r="B216" s="212"/>
      <c r="C216" s="212"/>
      <c r="D216" s="212"/>
      <c r="E216" s="212"/>
      <c r="F216" s="212"/>
      <c r="G216" s="212"/>
      <c r="H216" s="212"/>
      <c r="J216" s="212"/>
      <c r="K216" s="212"/>
    </row>
    <row r="217" spans="1:11" ht="12.75" customHeight="1">
      <c r="A217" s="212"/>
      <c r="B217" s="212"/>
      <c r="C217" s="212"/>
      <c r="D217" s="212"/>
      <c r="E217" s="212"/>
      <c r="F217" s="212"/>
      <c r="G217" s="212"/>
      <c r="H217" s="212"/>
      <c r="J217" s="212"/>
      <c r="K217" s="212"/>
    </row>
    <row r="218" spans="1:11" ht="12.75" customHeight="1">
      <c r="A218" s="212"/>
      <c r="B218" s="212"/>
      <c r="C218" s="212"/>
      <c r="D218" s="212"/>
      <c r="E218" s="212"/>
      <c r="F218" s="212"/>
      <c r="G218" s="212"/>
      <c r="H218" s="212"/>
      <c r="J218" s="212"/>
      <c r="K218" s="212"/>
    </row>
    <row r="219" spans="1:11" ht="12.75" customHeight="1">
      <c r="A219" s="212"/>
      <c r="B219" s="212"/>
      <c r="C219" s="212"/>
      <c r="D219" s="212"/>
      <c r="E219" s="212"/>
      <c r="F219" s="212"/>
      <c r="G219" s="212"/>
      <c r="H219" s="212"/>
      <c r="J219" s="212"/>
      <c r="K219" s="212"/>
    </row>
    <row r="220" spans="1:11" ht="12.75" customHeight="1">
      <c r="A220" s="212"/>
      <c r="B220" s="212"/>
      <c r="C220" s="212"/>
      <c r="D220" s="212"/>
      <c r="E220" s="212"/>
      <c r="F220" s="212"/>
      <c r="G220" s="212"/>
      <c r="H220" s="212"/>
      <c r="J220" s="212"/>
      <c r="K220" s="212"/>
    </row>
    <row r="221" spans="1:11" ht="12.75" customHeight="1">
      <c r="A221" s="212"/>
      <c r="B221" s="212"/>
      <c r="C221" s="212"/>
      <c r="D221" s="212"/>
      <c r="E221" s="212"/>
      <c r="F221" s="212"/>
      <c r="G221" s="212"/>
      <c r="H221" s="212"/>
      <c r="J221" s="212"/>
      <c r="K221" s="212"/>
    </row>
    <row r="222" spans="1:11" ht="12.75" customHeight="1">
      <c r="A222" s="212"/>
      <c r="B222" s="212"/>
      <c r="C222" s="212"/>
      <c r="D222" s="212"/>
      <c r="E222" s="212"/>
      <c r="F222" s="212"/>
      <c r="G222" s="212"/>
      <c r="H222" s="212"/>
      <c r="J222" s="212"/>
      <c r="K222" s="212"/>
    </row>
    <row r="223" spans="1:11" ht="12.75" customHeight="1">
      <c r="A223" s="212"/>
      <c r="B223" s="212"/>
      <c r="C223" s="212"/>
      <c r="D223" s="212"/>
      <c r="E223" s="212"/>
      <c r="F223" s="212"/>
      <c r="G223" s="212"/>
      <c r="H223" s="212"/>
      <c r="J223" s="212"/>
      <c r="K223" s="212"/>
    </row>
    <row r="224" spans="1:11" ht="12.75" customHeight="1">
      <c r="A224" s="212"/>
      <c r="B224" s="212"/>
      <c r="C224" s="212"/>
      <c r="D224" s="212"/>
      <c r="E224" s="212"/>
      <c r="F224" s="212"/>
      <c r="G224" s="212"/>
      <c r="H224" s="212"/>
      <c r="J224" s="212"/>
      <c r="K224" s="212"/>
    </row>
    <row r="225" spans="1:11" ht="12.75" customHeight="1">
      <c r="A225" s="212"/>
      <c r="B225" s="212"/>
      <c r="C225" s="212"/>
      <c r="D225" s="212"/>
      <c r="E225" s="212"/>
      <c r="F225" s="212"/>
      <c r="G225" s="212"/>
      <c r="H225" s="212"/>
      <c r="J225" s="212"/>
      <c r="K225" s="212"/>
    </row>
    <row r="226" spans="1:11" ht="12.75" customHeight="1">
      <c r="A226" s="212"/>
      <c r="B226" s="212"/>
      <c r="C226" s="212"/>
      <c r="D226" s="212"/>
      <c r="E226" s="212"/>
      <c r="F226" s="212"/>
      <c r="G226" s="212"/>
      <c r="H226" s="212"/>
      <c r="J226" s="212"/>
      <c r="K226" s="212"/>
    </row>
    <row r="227" spans="1:11" ht="12.75" customHeight="1">
      <c r="A227" s="212"/>
      <c r="B227" s="212"/>
      <c r="C227" s="212"/>
      <c r="D227" s="212"/>
      <c r="E227" s="212"/>
      <c r="F227" s="212"/>
      <c r="G227" s="212"/>
      <c r="H227" s="212"/>
      <c r="J227" s="212"/>
      <c r="K227" s="212"/>
    </row>
    <row r="228" spans="1:11" ht="12.75" customHeight="1">
      <c r="A228" s="212"/>
      <c r="B228" s="212"/>
      <c r="C228" s="212"/>
      <c r="D228" s="212"/>
      <c r="E228" s="212"/>
      <c r="F228" s="212"/>
      <c r="G228" s="212"/>
      <c r="H228" s="212"/>
      <c r="J228" s="212"/>
      <c r="K228" s="212"/>
    </row>
    <row r="229" spans="1:11" ht="12.75" customHeight="1">
      <c r="A229" s="212"/>
      <c r="B229" s="212"/>
      <c r="C229" s="212"/>
      <c r="D229" s="212"/>
      <c r="E229" s="212"/>
      <c r="F229" s="212"/>
      <c r="G229" s="212"/>
      <c r="H229" s="212"/>
      <c r="J229" s="212"/>
      <c r="K229" s="212"/>
    </row>
    <row r="230" spans="1:11" ht="12.75" customHeight="1">
      <c r="A230" s="212"/>
      <c r="B230" s="212"/>
      <c r="C230" s="212"/>
      <c r="D230" s="212"/>
      <c r="E230" s="212"/>
      <c r="F230" s="212"/>
      <c r="G230" s="212"/>
      <c r="H230" s="212"/>
      <c r="J230" s="212"/>
      <c r="K230" s="212"/>
    </row>
    <row r="231" spans="1:11" ht="12.75" customHeight="1">
      <c r="A231" s="212"/>
      <c r="B231" s="212"/>
      <c r="C231" s="212"/>
      <c r="D231" s="212"/>
      <c r="E231" s="212"/>
      <c r="F231" s="212"/>
      <c r="G231" s="212"/>
      <c r="H231" s="212"/>
      <c r="J231" s="212"/>
      <c r="K231" s="212"/>
    </row>
    <row r="232" spans="1:11" ht="12.75" customHeight="1">
      <c r="A232" s="212"/>
      <c r="B232" s="212"/>
      <c r="C232" s="212"/>
      <c r="D232" s="212"/>
      <c r="E232" s="212"/>
      <c r="F232" s="212"/>
      <c r="G232" s="212"/>
      <c r="H232" s="212"/>
      <c r="J232" s="212"/>
      <c r="K232" s="212"/>
    </row>
    <row r="233" spans="1:11" ht="12.75" customHeight="1">
      <c r="A233" s="212"/>
      <c r="B233" s="212"/>
      <c r="C233" s="212"/>
      <c r="D233" s="212"/>
      <c r="E233" s="212"/>
      <c r="F233" s="212"/>
      <c r="G233" s="212"/>
      <c r="H233" s="212"/>
      <c r="J233" s="212"/>
      <c r="K233" s="212"/>
    </row>
    <row r="234" spans="1:11" ht="12.75" customHeight="1">
      <c r="A234" s="212"/>
      <c r="B234" s="212"/>
      <c r="C234" s="212"/>
      <c r="D234" s="212"/>
      <c r="E234" s="212"/>
      <c r="F234" s="212"/>
      <c r="G234" s="212"/>
      <c r="H234" s="212"/>
      <c r="J234" s="212"/>
      <c r="K234" s="212"/>
    </row>
    <row r="235" spans="1:11" ht="12.75" customHeight="1">
      <c r="A235" s="212"/>
      <c r="B235" s="212"/>
      <c r="C235" s="212"/>
      <c r="D235" s="212"/>
      <c r="E235" s="212"/>
      <c r="F235" s="212"/>
      <c r="G235" s="212"/>
      <c r="H235" s="212"/>
      <c r="J235" s="212"/>
      <c r="K235" s="212"/>
    </row>
    <row r="236" spans="1:11" ht="12.75" customHeight="1">
      <c r="A236" s="212"/>
      <c r="B236" s="212"/>
      <c r="C236" s="212"/>
      <c r="D236" s="212"/>
      <c r="E236" s="212"/>
      <c r="F236" s="212"/>
      <c r="G236" s="212"/>
      <c r="H236" s="212"/>
      <c r="J236" s="212"/>
      <c r="K236" s="212"/>
    </row>
    <row r="237" spans="1:11" ht="12.75" customHeight="1">
      <c r="A237" s="212"/>
      <c r="B237" s="212"/>
      <c r="C237" s="212"/>
      <c r="D237" s="212"/>
      <c r="E237" s="212"/>
      <c r="F237" s="212"/>
      <c r="G237" s="212"/>
      <c r="H237" s="212"/>
      <c r="J237" s="212"/>
      <c r="K237" s="212"/>
    </row>
    <row r="238" spans="1:11" ht="12.75" customHeight="1">
      <c r="A238" s="212"/>
      <c r="B238" s="212"/>
      <c r="C238" s="212"/>
      <c r="D238" s="212"/>
      <c r="E238" s="212"/>
      <c r="F238" s="212"/>
      <c r="G238" s="212"/>
      <c r="H238" s="212"/>
      <c r="J238" s="212"/>
      <c r="K238" s="212"/>
    </row>
    <row r="239" spans="1:11" ht="12.75" customHeight="1">
      <c r="A239" s="212"/>
      <c r="B239" s="212"/>
      <c r="C239" s="212"/>
      <c r="D239" s="212"/>
      <c r="E239" s="212"/>
      <c r="F239" s="212"/>
      <c r="G239" s="212"/>
      <c r="H239" s="212"/>
      <c r="J239" s="212"/>
      <c r="K239" s="212"/>
    </row>
    <row r="240" spans="1:11" ht="12.75" customHeight="1">
      <c r="A240" s="212"/>
      <c r="B240" s="212"/>
      <c r="C240" s="212"/>
      <c r="D240" s="212"/>
      <c r="E240" s="212"/>
      <c r="F240" s="212"/>
      <c r="G240" s="212"/>
      <c r="H240" s="212"/>
      <c r="J240" s="212"/>
      <c r="K240" s="212"/>
    </row>
    <row r="241" spans="1:11" ht="12.75" customHeight="1">
      <c r="A241" s="212"/>
      <c r="B241" s="212"/>
      <c r="C241" s="212"/>
      <c r="D241" s="212"/>
      <c r="E241" s="212"/>
      <c r="F241" s="212"/>
      <c r="G241" s="212"/>
      <c r="H241" s="212"/>
      <c r="J241" s="212"/>
      <c r="K241" s="212"/>
    </row>
    <row r="242" spans="1:11" ht="12.75" customHeight="1">
      <c r="A242" s="212"/>
      <c r="B242" s="212"/>
      <c r="C242" s="212"/>
      <c r="D242" s="212"/>
      <c r="E242" s="212"/>
      <c r="F242" s="212"/>
      <c r="G242" s="212"/>
      <c r="H242" s="212"/>
      <c r="J242" s="212"/>
      <c r="K242" s="212"/>
    </row>
    <row r="243" spans="1:11" ht="12.75" customHeight="1">
      <c r="A243" s="212"/>
      <c r="B243" s="212"/>
      <c r="C243" s="212"/>
      <c r="D243" s="212"/>
      <c r="E243" s="212"/>
      <c r="F243" s="212"/>
      <c r="G243" s="212"/>
      <c r="H243" s="212"/>
      <c r="J243" s="212"/>
      <c r="K243" s="212"/>
    </row>
    <row r="244" spans="1:11" ht="12.75" customHeight="1">
      <c r="A244" s="212"/>
      <c r="B244" s="212"/>
      <c r="C244" s="212"/>
      <c r="D244" s="212"/>
      <c r="E244" s="212"/>
      <c r="F244" s="212"/>
      <c r="G244" s="212"/>
      <c r="H244" s="212"/>
      <c r="J244" s="212"/>
      <c r="K244" s="212"/>
    </row>
    <row r="245" spans="1:11" ht="12.75" customHeight="1">
      <c r="A245" s="212"/>
      <c r="B245" s="212"/>
      <c r="C245" s="212"/>
      <c r="D245" s="212"/>
      <c r="E245" s="212"/>
      <c r="F245" s="212"/>
      <c r="G245" s="212"/>
      <c r="H245" s="212"/>
      <c r="J245" s="212"/>
      <c r="K245" s="212"/>
    </row>
    <row r="246" spans="1:11" ht="12.75" customHeight="1">
      <c r="A246" s="212"/>
      <c r="B246" s="212"/>
      <c r="C246" s="212"/>
      <c r="D246" s="212"/>
      <c r="E246" s="212"/>
      <c r="F246" s="212"/>
      <c r="G246" s="212"/>
      <c r="H246" s="212"/>
      <c r="J246" s="212"/>
      <c r="K246" s="212"/>
    </row>
    <row r="247" spans="1:11" ht="12.75" customHeight="1">
      <c r="A247" s="212"/>
      <c r="B247" s="212"/>
      <c r="C247" s="212"/>
      <c r="D247" s="212"/>
      <c r="E247" s="212"/>
      <c r="F247" s="212"/>
      <c r="G247" s="212"/>
      <c r="H247" s="212"/>
      <c r="J247" s="212"/>
      <c r="K247" s="212"/>
    </row>
    <row r="248" spans="1:11" ht="12.75" customHeight="1">
      <c r="A248" s="212"/>
      <c r="B248" s="212"/>
      <c r="C248" s="212"/>
      <c r="D248" s="212"/>
      <c r="E248" s="212"/>
      <c r="F248" s="212"/>
      <c r="G248" s="212"/>
      <c r="H248" s="212"/>
      <c r="J248" s="212"/>
      <c r="K248" s="212"/>
    </row>
    <row r="249" spans="1:11" ht="12.75" customHeight="1">
      <c r="A249" s="212"/>
      <c r="B249" s="212"/>
      <c r="C249" s="212"/>
      <c r="D249" s="212"/>
      <c r="E249" s="212"/>
      <c r="F249" s="212"/>
      <c r="G249" s="212"/>
      <c r="H249" s="212"/>
      <c r="J249" s="212"/>
      <c r="K249" s="212"/>
    </row>
    <row r="250" spans="1:11" ht="12.75" customHeight="1">
      <c r="A250" s="212"/>
      <c r="B250" s="212"/>
      <c r="C250" s="212"/>
      <c r="D250" s="212"/>
      <c r="E250" s="212"/>
      <c r="F250" s="212"/>
      <c r="G250" s="212"/>
      <c r="H250" s="212"/>
      <c r="J250" s="212"/>
      <c r="K250" s="212"/>
    </row>
    <row r="251" spans="1:11" ht="12.75" customHeight="1">
      <c r="A251" s="212"/>
      <c r="B251" s="212"/>
      <c r="C251" s="212"/>
      <c r="D251" s="212"/>
      <c r="E251" s="212"/>
      <c r="F251" s="212"/>
      <c r="G251" s="212"/>
      <c r="H251" s="212"/>
      <c r="J251" s="212"/>
      <c r="K251" s="212"/>
    </row>
    <row r="252" spans="1:11" ht="12.75" customHeight="1">
      <c r="A252" s="212"/>
      <c r="B252" s="212"/>
      <c r="C252" s="212"/>
      <c r="D252" s="212"/>
      <c r="E252" s="212"/>
      <c r="F252" s="212"/>
      <c r="G252" s="212"/>
      <c r="H252" s="212"/>
      <c r="J252" s="212"/>
      <c r="K252" s="212"/>
    </row>
    <row r="253" spans="1:11" ht="12.75" customHeight="1">
      <c r="A253" s="212"/>
      <c r="B253" s="212"/>
      <c r="C253" s="212"/>
      <c r="D253" s="212"/>
      <c r="E253" s="212"/>
      <c r="F253" s="212"/>
      <c r="G253" s="212"/>
      <c r="H253" s="212"/>
      <c r="J253" s="212"/>
      <c r="K253" s="212"/>
    </row>
    <row r="254" spans="1:11" ht="12.75" customHeight="1">
      <c r="A254" s="212"/>
      <c r="B254" s="212"/>
      <c r="C254" s="212"/>
      <c r="D254" s="212"/>
      <c r="E254" s="212"/>
      <c r="F254" s="212"/>
      <c r="G254" s="212"/>
      <c r="H254" s="212"/>
      <c r="J254" s="212"/>
      <c r="K254" s="212"/>
    </row>
    <row r="255" spans="1:11" ht="12.75" customHeight="1">
      <c r="A255" s="212"/>
      <c r="B255" s="212"/>
      <c r="C255" s="212"/>
      <c r="D255" s="212"/>
      <c r="E255" s="212"/>
      <c r="F255" s="212"/>
      <c r="G255" s="212"/>
      <c r="H255" s="212"/>
      <c r="J255" s="212"/>
      <c r="K255" s="212"/>
    </row>
    <row r="256" spans="1:11" ht="12.75" customHeight="1">
      <c r="A256" s="212"/>
      <c r="B256" s="212"/>
      <c r="C256" s="212"/>
      <c r="D256" s="212"/>
      <c r="E256" s="212"/>
      <c r="F256" s="212"/>
      <c r="G256" s="212"/>
      <c r="H256" s="212"/>
      <c r="J256" s="212"/>
      <c r="K256" s="212"/>
    </row>
    <row r="257" spans="1:11" ht="12.75" customHeight="1">
      <c r="A257" s="212"/>
      <c r="B257" s="212"/>
      <c r="C257" s="212"/>
      <c r="D257" s="212"/>
      <c r="E257" s="212"/>
      <c r="F257" s="212"/>
      <c r="G257" s="212"/>
      <c r="H257" s="212"/>
      <c r="J257" s="212"/>
      <c r="K257" s="212"/>
    </row>
    <row r="258" spans="1:11" ht="12.75" customHeight="1">
      <c r="A258" s="212"/>
      <c r="B258" s="212"/>
      <c r="C258" s="212"/>
      <c r="D258" s="212"/>
      <c r="E258" s="212"/>
      <c r="F258" s="212"/>
      <c r="G258" s="212"/>
      <c r="H258" s="212"/>
      <c r="J258" s="212"/>
      <c r="K258" s="212"/>
    </row>
    <row r="259" spans="1:11" ht="12.75" customHeight="1">
      <c r="A259" s="212"/>
      <c r="B259" s="212"/>
      <c r="C259" s="212"/>
      <c r="D259" s="212"/>
      <c r="E259" s="212"/>
      <c r="F259" s="212"/>
      <c r="G259" s="212"/>
      <c r="H259" s="212"/>
      <c r="J259" s="212"/>
      <c r="K259" s="212"/>
    </row>
    <row r="260" spans="1:11" ht="12.75" customHeight="1">
      <c r="A260" s="212"/>
      <c r="B260" s="212"/>
      <c r="C260" s="212"/>
      <c r="D260" s="212"/>
      <c r="E260" s="212"/>
      <c r="F260" s="212"/>
      <c r="G260" s="212"/>
      <c r="H260" s="212"/>
      <c r="J260" s="212"/>
      <c r="K260" s="212"/>
    </row>
    <row r="261" spans="1:11" ht="12.75" customHeight="1">
      <c r="A261" s="212"/>
      <c r="B261" s="212"/>
      <c r="C261" s="212"/>
      <c r="D261" s="212"/>
      <c r="E261" s="212"/>
      <c r="F261" s="212"/>
      <c r="G261" s="212"/>
      <c r="H261" s="212"/>
      <c r="J261" s="212"/>
      <c r="K261" s="212"/>
    </row>
    <row r="262" spans="1:11" ht="12.75" customHeight="1">
      <c r="A262" s="212"/>
      <c r="B262" s="212"/>
      <c r="C262" s="212"/>
      <c r="D262" s="212"/>
      <c r="E262" s="212"/>
      <c r="F262" s="212"/>
      <c r="G262" s="212"/>
      <c r="H262" s="212"/>
      <c r="J262" s="212"/>
      <c r="K262" s="212"/>
    </row>
    <row r="263" spans="1:11" ht="12.75" customHeight="1">
      <c r="A263" s="212"/>
      <c r="B263" s="212"/>
      <c r="C263" s="212"/>
      <c r="D263" s="212"/>
      <c r="E263" s="212"/>
      <c r="F263" s="212"/>
      <c r="G263" s="212"/>
      <c r="H263" s="212"/>
      <c r="J263" s="212"/>
      <c r="K263" s="212"/>
    </row>
    <row r="264" spans="1:11" ht="12.75" customHeight="1">
      <c r="A264" s="212"/>
      <c r="B264" s="212"/>
      <c r="C264" s="212"/>
      <c r="D264" s="212"/>
      <c r="E264" s="212"/>
      <c r="F264" s="212"/>
      <c r="G264" s="212"/>
      <c r="H264" s="212"/>
      <c r="J264" s="212"/>
      <c r="K264" s="212"/>
    </row>
    <row r="265" spans="1:11" ht="12.75" customHeight="1">
      <c r="A265" s="212"/>
      <c r="B265" s="212"/>
      <c r="C265" s="212"/>
      <c r="D265" s="212"/>
      <c r="E265" s="212"/>
      <c r="F265" s="212"/>
      <c r="G265" s="212"/>
      <c r="H265" s="212"/>
      <c r="J265" s="212"/>
      <c r="K265" s="212"/>
    </row>
    <row r="266" spans="1:11" ht="12.75" customHeight="1">
      <c r="A266" s="212"/>
      <c r="B266" s="212"/>
      <c r="C266" s="212"/>
      <c r="D266" s="212"/>
      <c r="E266" s="212"/>
      <c r="F266" s="212"/>
      <c r="G266" s="212"/>
      <c r="H266" s="212"/>
      <c r="J266" s="212"/>
      <c r="K266" s="212"/>
    </row>
    <row r="267" spans="1:11" ht="12.75" customHeight="1">
      <c r="A267" s="212"/>
      <c r="B267" s="212"/>
      <c r="C267" s="212"/>
      <c r="D267" s="212"/>
      <c r="E267" s="212"/>
      <c r="F267" s="212"/>
      <c r="G267" s="212"/>
      <c r="H267" s="212"/>
      <c r="J267" s="212"/>
      <c r="K267" s="212"/>
    </row>
    <row r="268" spans="1:11" ht="12.75" customHeight="1">
      <c r="A268" s="212"/>
      <c r="B268" s="212"/>
      <c r="C268" s="212"/>
      <c r="D268" s="212"/>
      <c r="E268" s="212"/>
      <c r="F268" s="212"/>
      <c r="G268" s="212"/>
      <c r="H268" s="212"/>
      <c r="J268" s="212"/>
      <c r="K268" s="212"/>
    </row>
    <row r="269" spans="1:11" ht="12.75" customHeight="1">
      <c r="A269" s="212"/>
      <c r="B269" s="212"/>
      <c r="C269" s="212"/>
      <c r="D269" s="212"/>
      <c r="E269" s="212"/>
      <c r="F269" s="212"/>
      <c r="G269" s="212"/>
      <c r="H269" s="212"/>
      <c r="J269" s="212"/>
      <c r="K269" s="212"/>
    </row>
    <row r="270" spans="1:11" ht="12.75" customHeight="1">
      <c r="A270" s="212"/>
      <c r="B270" s="212"/>
      <c r="C270" s="212"/>
      <c r="D270" s="212"/>
      <c r="E270" s="212"/>
      <c r="F270" s="212"/>
      <c r="G270" s="212"/>
      <c r="H270" s="212"/>
      <c r="J270" s="212"/>
      <c r="K270" s="212"/>
    </row>
    <row r="271" spans="1:11" ht="12.75" customHeight="1">
      <c r="A271" s="212"/>
      <c r="B271" s="212"/>
      <c r="C271" s="212"/>
      <c r="D271" s="212"/>
      <c r="E271" s="212"/>
      <c r="F271" s="212"/>
      <c r="G271" s="212"/>
      <c r="H271" s="212"/>
      <c r="J271" s="212"/>
      <c r="K271" s="212"/>
    </row>
    <row r="272" spans="1:11" ht="12.75" customHeight="1">
      <c r="A272" s="212"/>
      <c r="B272" s="212"/>
      <c r="C272" s="212"/>
      <c r="D272" s="212"/>
      <c r="E272" s="212"/>
      <c r="F272" s="212"/>
      <c r="G272" s="212"/>
      <c r="H272" s="212"/>
      <c r="J272" s="212"/>
      <c r="K272" s="212"/>
    </row>
    <row r="273" spans="1:11" ht="12.75" customHeight="1">
      <c r="A273" s="212"/>
      <c r="B273" s="212"/>
      <c r="C273" s="212"/>
      <c r="D273" s="212"/>
      <c r="E273" s="212"/>
      <c r="F273" s="212"/>
      <c r="G273" s="212"/>
      <c r="H273" s="212"/>
      <c r="J273" s="212"/>
      <c r="K273" s="212"/>
    </row>
    <row r="274" spans="1:11" ht="12.75" customHeight="1">
      <c r="A274" s="212"/>
      <c r="B274" s="212"/>
      <c r="C274" s="212"/>
      <c r="D274" s="212"/>
      <c r="E274" s="212"/>
      <c r="F274" s="212"/>
      <c r="G274" s="212"/>
      <c r="H274" s="212"/>
      <c r="J274" s="212"/>
      <c r="K274" s="212"/>
    </row>
    <row r="275" spans="1:11" ht="12.75" customHeight="1">
      <c r="A275" s="212"/>
      <c r="B275" s="212"/>
      <c r="C275" s="212"/>
      <c r="D275" s="212"/>
      <c r="E275" s="212"/>
      <c r="F275" s="212"/>
      <c r="G275" s="212"/>
      <c r="H275" s="212"/>
      <c r="J275" s="212"/>
      <c r="K275" s="212"/>
    </row>
    <row r="276" spans="1:11" ht="12.75" customHeight="1">
      <c r="A276" s="212"/>
      <c r="B276" s="212"/>
      <c r="C276" s="212"/>
      <c r="D276" s="212"/>
      <c r="E276" s="212"/>
      <c r="F276" s="212"/>
      <c r="G276" s="212"/>
      <c r="H276" s="212"/>
      <c r="J276" s="212"/>
      <c r="K276" s="212"/>
    </row>
    <row r="277" spans="1:11" ht="12.75" customHeight="1">
      <c r="A277" s="212"/>
      <c r="B277" s="212"/>
      <c r="C277" s="212"/>
      <c r="D277" s="212"/>
      <c r="E277" s="212"/>
      <c r="F277" s="212"/>
      <c r="G277" s="212"/>
      <c r="H277" s="212"/>
      <c r="J277" s="212"/>
      <c r="K277" s="212"/>
    </row>
    <row r="278" spans="1:11" ht="12.75" customHeight="1">
      <c r="A278" s="212"/>
      <c r="B278" s="212"/>
      <c r="C278" s="212"/>
      <c r="D278" s="212"/>
      <c r="E278" s="212"/>
      <c r="F278" s="212"/>
      <c r="G278" s="212"/>
      <c r="H278" s="212"/>
      <c r="J278" s="212"/>
      <c r="K278" s="212"/>
    </row>
    <row r="279" spans="1:11" ht="12.75" customHeight="1">
      <c r="A279" s="212"/>
      <c r="B279" s="212"/>
      <c r="C279" s="212"/>
      <c r="D279" s="212"/>
      <c r="E279" s="212"/>
      <c r="F279" s="212"/>
      <c r="G279" s="212"/>
      <c r="H279" s="212"/>
      <c r="J279" s="212"/>
      <c r="K279" s="212"/>
    </row>
    <row r="280" spans="1:11" ht="12.75" customHeight="1">
      <c r="A280" s="212"/>
      <c r="B280" s="212"/>
      <c r="C280" s="212"/>
      <c r="D280" s="212"/>
      <c r="E280" s="212"/>
      <c r="F280" s="212"/>
      <c r="G280" s="212"/>
      <c r="H280" s="212"/>
      <c r="J280" s="212"/>
      <c r="K280" s="212"/>
    </row>
    <row r="281" spans="1:11" ht="12.75" customHeight="1">
      <c r="A281" s="212"/>
      <c r="B281" s="212"/>
      <c r="C281" s="212"/>
      <c r="D281" s="212"/>
      <c r="E281" s="212"/>
      <c r="F281" s="212"/>
      <c r="G281" s="212"/>
      <c r="H281" s="212"/>
      <c r="J281" s="212"/>
      <c r="K281" s="212"/>
    </row>
    <row r="282" spans="1:11" ht="12.75" customHeight="1">
      <c r="A282" s="212"/>
      <c r="B282" s="212"/>
      <c r="C282" s="212"/>
      <c r="D282" s="212"/>
      <c r="E282" s="212"/>
      <c r="F282" s="212"/>
      <c r="G282" s="212"/>
      <c r="H282" s="212"/>
      <c r="J282" s="212"/>
      <c r="K282" s="212"/>
    </row>
    <row r="283" spans="1:11" ht="12.75" customHeight="1">
      <c r="A283" s="212"/>
      <c r="B283" s="212"/>
      <c r="C283" s="212"/>
      <c r="D283" s="212"/>
      <c r="E283" s="212"/>
      <c r="F283" s="212"/>
      <c r="G283" s="212"/>
      <c r="H283" s="212"/>
      <c r="J283" s="212"/>
      <c r="K283" s="212"/>
    </row>
    <row r="284" spans="1:11" ht="12.75" customHeight="1">
      <c r="A284" s="212"/>
      <c r="B284" s="212"/>
      <c r="C284" s="212"/>
      <c r="D284" s="212"/>
      <c r="E284" s="212"/>
      <c r="F284" s="212"/>
      <c r="G284" s="212"/>
      <c r="H284" s="212"/>
      <c r="J284" s="212"/>
      <c r="K284" s="212"/>
    </row>
    <row r="285" spans="1:11" ht="12.75" customHeight="1">
      <c r="A285" s="212"/>
      <c r="B285" s="212"/>
      <c r="C285" s="212"/>
      <c r="D285" s="212"/>
      <c r="E285" s="212"/>
      <c r="F285" s="212"/>
      <c r="G285" s="212"/>
      <c r="H285" s="212"/>
      <c r="J285" s="212"/>
      <c r="K285" s="212"/>
    </row>
    <row r="286" spans="1:11" ht="12.75" customHeight="1">
      <c r="A286" s="212"/>
      <c r="B286" s="212"/>
      <c r="C286" s="212"/>
      <c r="D286" s="212"/>
      <c r="E286" s="212"/>
      <c r="F286" s="212"/>
      <c r="G286" s="212"/>
      <c r="H286" s="212"/>
      <c r="J286" s="212"/>
      <c r="K286" s="212"/>
    </row>
    <row r="287" spans="1:11" ht="12.75" customHeight="1">
      <c r="A287" s="212"/>
      <c r="B287" s="212"/>
      <c r="C287" s="212"/>
      <c r="D287" s="212"/>
      <c r="E287" s="212"/>
      <c r="F287" s="212"/>
      <c r="G287" s="212"/>
      <c r="H287" s="212"/>
      <c r="J287" s="212"/>
      <c r="K287" s="212"/>
    </row>
    <row r="288" spans="1:11" ht="12.75" customHeight="1">
      <c r="A288" s="212"/>
      <c r="B288" s="212"/>
      <c r="C288" s="212"/>
      <c r="D288" s="212"/>
      <c r="E288" s="212"/>
      <c r="F288" s="212"/>
      <c r="G288" s="212"/>
      <c r="H288" s="212"/>
      <c r="J288" s="212"/>
      <c r="K288" s="212"/>
    </row>
    <row r="289" spans="1:11" ht="12.75" customHeight="1">
      <c r="A289" s="212"/>
      <c r="B289" s="212"/>
      <c r="C289" s="212"/>
      <c r="D289" s="212"/>
      <c r="E289" s="212"/>
      <c r="F289" s="212"/>
      <c r="G289" s="212"/>
      <c r="H289" s="212"/>
      <c r="J289" s="212"/>
      <c r="K289" s="212"/>
    </row>
    <row r="290" spans="1:11" ht="12.75" customHeight="1">
      <c r="A290" s="212"/>
      <c r="B290" s="212"/>
      <c r="C290" s="212"/>
      <c r="D290" s="212"/>
      <c r="E290" s="212"/>
      <c r="F290" s="212"/>
      <c r="G290" s="212"/>
      <c r="H290" s="212"/>
      <c r="J290" s="212"/>
      <c r="K290" s="212"/>
    </row>
    <row r="291" spans="1:11" ht="12.75" customHeight="1">
      <c r="A291" s="212"/>
      <c r="B291" s="212"/>
      <c r="C291" s="212"/>
      <c r="D291" s="212"/>
      <c r="E291" s="212"/>
      <c r="F291" s="212"/>
      <c r="G291" s="212"/>
      <c r="H291" s="212"/>
      <c r="J291" s="212"/>
      <c r="K291" s="212"/>
    </row>
    <row r="292" spans="1:11" ht="12.75" customHeight="1">
      <c r="A292" s="212"/>
      <c r="B292" s="212"/>
      <c r="C292" s="212"/>
      <c r="D292" s="212"/>
      <c r="E292" s="212"/>
      <c r="F292" s="212"/>
      <c r="G292" s="212"/>
      <c r="H292" s="212"/>
      <c r="J292" s="212"/>
      <c r="K292" s="212"/>
    </row>
    <row r="293" spans="1:11" ht="12.75" customHeight="1">
      <c r="A293" s="212"/>
      <c r="B293" s="212"/>
      <c r="C293" s="212"/>
      <c r="D293" s="212"/>
      <c r="E293" s="212"/>
      <c r="F293" s="212"/>
      <c r="G293" s="212"/>
      <c r="H293" s="212"/>
      <c r="J293" s="212"/>
      <c r="K293" s="212"/>
    </row>
    <row r="294" spans="1:11" ht="12.75" customHeight="1">
      <c r="A294" s="212"/>
      <c r="B294" s="212"/>
      <c r="C294" s="212"/>
      <c r="D294" s="212"/>
      <c r="E294" s="212"/>
      <c r="F294" s="212"/>
      <c r="G294" s="212"/>
      <c r="H294" s="212"/>
      <c r="J294" s="212"/>
      <c r="K294" s="212"/>
    </row>
    <row r="295" spans="1:11" ht="12.75" customHeight="1">
      <c r="A295" s="212"/>
      <c r="B295" s="212"/>
      <c r="C295" s="212"/>
      <c r="D295" s="212"/>
      <c r="E295" s="212"/>
      <c r="F295" s="212"/>
      <c r="G295" s="212"/>
      <c r="H295" s="212"/>
      <c r="J295" s="212"/>
      <c r="K295" s="212"/>
    </row>
    <row r="296" spans="1:11" ht="12.75" customHeight="1">
      <c r="A296" s="212"/>
      <c r="B296" s="212"/>
      <c r="C296" s="212"/>
      <c r="D296" s="212"/>
      <c r="E296" s="212"/>
      <c r="F296" s="212"/>
      <c r="G296" s="212"/>
      <c r="H296" s="212"/>
      <c r="J296" s="212"/>
      <c r="K296" s="212"/>
    </row>
    <row r="297" spans="1:11" ht="12.75" customHeight="1">
      <c r="A297" s="212"/>
      <c r="B297" s="212"/>
      <c r="C297" s="212"/>
      <c r="D297" s="212"/>
      <c r="E297" s="212"/>
      <c r="F297" s="212"/>
      <c r="G297" s="212"/>
      <c r="H297" s="212"/>
      <c r="J297" s="212"/>
      <c r="K297" s="212"/>
    </row>
    <row r="298" spans="1:11" ht="12.75" customHeight="1">
      <c r="A298" s="212"/>
      <c r="B298" s="212"/>
      <c r="C298" s="212"/>
      <c r="D298" s="212"/>
      <c r="E298" s="212"/>
      <c r="F298" s="212"/>
      <c r="G298" s="212"/>
      <c r="H298" s="212"/>
      <c r="J298" s="212"/>
      <c r="K298" s="212"/>
    </row>
    <row r="299" spans="1:11" ht="12.75" customHeight="1">
      <c r="A299" s="212"/>
      <c r="B299" s="212"/>
      <c r="C299" s="212"/>
      <c r="D299" s="212"/>
      <c r="E299" s="212"/>
      <c r="F299" s="212"/>
      <c r="G299" s="212"/>
      <c r="H299" s="212"/>
      <c r="J299" s="212"/>
      <c r="K299" s="212"/>
    </row>
    <row r="300" spans="1:11" ht="12.75" customHeight="1">
      <c r="A300" s="212"/>
      <c r="B300" s="212"/>
      <c r="C300" s="212"/>
      <c r="D300" s="212"/>
      <c r="E300" s="212"/>
      <c r="F300" s="212"/>
      <c r="G300" s="212"/>
      <c r="H300" s="212"/>
      <c r="J300" s="212"/>
      <c r="K300" s="212"/>
    </row>
    <row r="301" spans="1:11" ht="12.75" customHeight="1">
      <c r="A301" s="212"/>
      <c r="B301" s="212"/>
      <c r="C301" s="212"/>
      <c r="D301" s="212"/>
      <c r="E301" s="212"/>
      <c r="F301" s="212"/>
      <c r="G301" s="212"/>
      <c r="H301" s="212"/>
      <c r="J301" s="212"/>
      <c r="K301" s="212"/>
    </row>
    <row r="302" spans="1:11" ht="12.75" customHeight="1">
      <c r="A302" s="212"/>
      <c r="B302" s="212"/>
      <c r="C302" s="212"/>
      <c r="D302" s="212"/>
      <c r="E302" s="212"/>
      <c r="F302" s="212"/>
      <c r="G302" s="212"/>
      <c r="H302" s="212"/>
      <c r="J302" s="212"/>
      <c r="K302" s="212"/>
    </row>
    <row r="303" spans="1:11" ht="12.75" customHeight="1">
      <c r="A303" s="212"/>
      <c r="B303" s="212"/>
      <c r="C303" s="212"/>
      <c r="D303" s="212"/>
      <c r="E303" s="212"/>
      <c r="F303" s="212"/>
      <c r="G303" s="212"/>
      <c r="H303" s="212"/>
      <c r="J303" s="212"/>
      <c r="K303" s="212"/>
    </row>
    <row r="304" spans="1:11" ht="12.75" customHeight="1">
      <c r="A304" s="212"/>
      <c r="B304" s="212"/>
      <c r="C304" s="212"/>
      <c r="D304" s="212"/>
      <c r="E304" s="212"/>
      <c r="F304" s="212"/>
      <c r="G304" s="212"/>
      <c r="H304" s="212"/>
      <c r="J304" s="212"/>
      <c r="K304" s="212"/>
    </row>
    <row r="305" spans="1:11" ht="12.75" customHeight="1">
      <c r="A305" s="212"/>
      <c r="B305" s="212"/>
      <c r="C305" s="212"/>
      <c r="D305" s="212"/>
      <c r="E305" s="212"/>
      <c r="F305" s="212"/>
      <c r="G305" s="212"/>
      <c r="H305" s="212"/>
      <c r="J305" s="212"/>
      <c r="K305" s="212"/>
    </row>
    <row r="306" spans="1:11" ht="12.75" customHeight="1">
      <c r="A306" s="212"/>
      <c r="B306" s="212"/>
      <c r="C306" s="212"/>
      <c r="D306" s="212"/>
      <c r="E306" s="212"/>
      <c r="F306" s="212"/>
      <c r="G306" s="212"/>
      <c r="H306" s="212"/>
      <c r="J306" s="212"/>
      <c r="K306" s="212"/>
    </row>
    <row r="307" spans="1:11" ht="12.75" customHeight="1">
      <c r="A307" s="212"/>
      <c r="B307" s="212"/>
      <c r="C307" s="212"/>
      <c r="D307" s="212"/>
      <c r="E307" s="212"/>
      <c r="F307" s="212"/>
      <c r="G307" s="212"/>
      <c r="H307" s="212"/>
      <c r="J307" s="212"/>
      <c r="K307" s="212"/>
    </row>
    <row r="308" spans="1:11" ht="12.75" customHeight="1">
      <c r="A308" s="212"/>
      <c r="B308" s="212"/>
      <c r="C308" s="212"/>
      <c r="D308" s="212"/>
      <c r="E308" s="212"/>
      <c r="F308" s="212"/>
      <c r="G308" s="212"/>
      <c r="H308" s="212"/>
      <c r="J308" s="212"/>
      <c r="K308" s="212"/>
    </row>
    <row r="309" spans="1:11" ht="12.75" customHeight="1">
      <c r="A309" s="212"/>
      <c r="B309" s="212"/>
      <c r="C309" s="212"/>
      <c r="D309" s="212"/>
      <c r="E309" s="212"/>
      <c r="F309" s="212"/>
      <c r="G309" s="212"/>
      <c r="H309" s="212"/>
      <c r="J309" s="212"/>
      <c r="K309" s="212"/>
    </row>
    <row r="310" spans="1:11" ht="12.75" customHeight="1">
      <c r="A310" s="212"/>
      <c r="B310" s="212"/>
      <c r="C310" s="212"/>
      <c r="D310" s="212"/>
      <c r="E310" s="212"/>
      <c r="F310" s="212"/>
      <c r="G310" s="212"/>
      <c r="H310" s="212"/>
      <c r="J310" s="212"/>
      <c r="K310" s="212"/>
    </row>
    <row r="311" spans="1:11" ht="12.75" customHeight="1">
      <c r="A311" s="212"/>
      <c r="B311" s="212"/>
      <c r="C311" s="212"/>
      <c r="D311" s="212"/>
      <c r="E311" s="212"/>
      <c r="F311" s="212"/>
      <c r="G311" s="212"/>
      <c r="H311" s="212"/>
      <c r="J311" s="212"/>
      <c r="K311" s="212"/>
    </row>
    <row r="312" spans="1:11" ht="12.75" customHeight="1">
      <c r="A312" s="212"/>
      <c r="B312" s="212"/>
      <c r="C312" s="212"/>
      <c r="D312" s="212"/>
      <c r="E312" s="212"/>
      <c r="F312" s="212"/>
      <c r="G312" s="212"/>
      <c r="H312" s="212"/>
      <c r="J312" s="212"/>
      <c r="K312" s="212"/>
    </row>
    <row r="313" spans="1:11" ht="12.75" customHeight="1">
      <c r="A313" s="212"/>
      <c r="B313" s="212"/>
      <c r="C313" s="212"/>
      <c r="D313" s="212"/>
      <c r="E313" s="212"/>
      <c r="F313" s="212"/>
      <c r="G313" s="212"/>
      <c r="H313" s="212"/>
      <c r="J313" s="212"/>
      <c r="K313" s="212"/>
    </row>
    <row r="314" spans="1:11" ht="12.75" customHeight="1">
      <c r="A314" s="212"/>
      <c r="B314" s="212"/>
      <c r="C314" s="212"/>
      <c r="D314" s="212"/>
      <c r="E314" s="212"/>
      <c r="F314" s="212"/>
      <c r="G314" s="212"/>
      <c r="H314" s="212"/>
      <c r="J314" s="212"/>
      <c r="K314" s="212"/>
    </row>
    <row r="315" spans="1:11" ht="12.75" customHeight="1">
      <c r="A315" s="212"/>
      <c r="B315" s="212"/>
      <c r="C315" s="212"/>
      <c r="D315" s="212"/>
      <c r="E315" s="212"/>
      <c r="F315" s="212"/>
      <c r="G315" s="212"/>
      <c r="H315" s="212"/>
      <c r="J315" s="212"/>
      <c r="K315" s="212"/>
    </row>
    <row r="316" spans="1:11" ht="12.75" customHeight="1">
      <c r="A316" s="212"/>
      <c r="B316" s="212"/>
      <c r="C316" s="212"/>
      <c r="D316" s="212"/>
      <c r="E316" s="212"/>
      <c r="F316" s="212"/>
      <c r="G316" s="212"/>
      <c r="H316" s="212"/>
      <c r="J316" s="212"/>
      <c r="K316" s="212"/>
    </row>
    <row r="317" spans="1:11" ht="12.75" customHeight="1">
      <c r="A317" s="212"/>
      <c r="B317" s="212"/>
      <c r="C317" s="212"/>
      <c r="D317" s="212"/>
      <c r="E317" s="212"/>
      <c r="F317" s="212"/>
      <c r="G317" s="212"/>
      <c r="H317" s="212"/>
      <c r="J317" s="212"/>
      <c r="K317" s="212"/>
    </row>
    <row r="318" spans="1:11" ht="12.75" customHeight="1">
      <c r="A318" s="212"/>
      <c r="B318" s="212"/>
      <c r="C318" s="212"/>
      <c r="D318" s="212"/>
      <c r="E318" s="212"/>
      <c r="F318" s="212"/>
      <c r="G318" s="212"/>
      <c r="H318" s="212"/>
      <c r="J318" s="212"/>
      <c r="K318" s="212"/>
    </row>
    <row r="319" spans="1:11" ht="12.75" customHeight="1">
      <c r="A319" s="212"/>
      <c r="B319" s="212"/>
      <c r="C319" s="212"/>
      <c r="D319" s="212"/>
      <c r="E319" s="212"/>
      <c r="F319" s="212"/>
      <c r="G319" s="212"/>
      <c r="H319" s="212"/>
      <c r="J319" s="212"/>
      <c r="K319" s="212"/>
    </row>
    <row r="320" spans="1:11" ht="12.75" customHeight="1">
      <c r="A320" s="212"/>
      <c r="B320" s="212"/>
      <c r="C320" s="212"/>
      <c r="D320" s="212"/>
      <c r="E320" s="212"/>
      <c r="F320" s="212"/>
      <c r="G320" s="212"/>
      <c r="H320" s="212"/>
      <c r="J320" s="212"/>
      <c r="K320" s="212"/>
    </row>
    <row r="321" spans="1:11" ht="12.75" customHeight="1">
      <c r="A321" s="212"/>
      <c r="B321" s="212"/>
      <c r="C321" s="212"/>
      <c r="D321" s="212"/>
      <c r="E321" s="212"/>
      <c r="F321" s="212"/>
      <c r="G321" s="212"/>
      <c r="H321" s="212"/>
      <c r="J321" s="212"/>
      <c r="K321" s="212"/>
    </row>
    <row r="322" spans="1:11" ht="12.75" customHeight="1">
      <c r="A322" s="212"/>
      <c r="B322" s="212"/>
      <c r="C322" s="212"/>
      <c r="D322" s="212"/>
      <c r="E322" s="212"/>
      <c r="F322" s="212"/>
      <c r="G322" s="212"/>
      <c r="H322" s="212"/>
      <c r="J322" s="212"/>
      <c r="K322" s="212"/>
    </row>
    <row r="323" spans="1:11" ht="12.75" customHeight="1">
      <c r="A323" s="212"/>
      <c r="B323" s="212"/>
      <c r="C323" s="212"/>
      <c r="D323" s="212"/>
      <c r="E323" s="212"/>
      <c r="F323" s="212"/>
      <c r="G323" s="212"/>
      <c r="H323" s="212"/>
      <c r="J323" s="212"/>
      <c r="K323" s="212"/>
    </row>
    <row r="324" spans="1:11" ht="12.75" customHeight="1">
      <c r="A324" s="212"/>
      <c r="B324" s="212"/>
      <c r="C324" s="212"/>
      <c r="D324" s="212"/>
      <c r="E324" s="212"/>
      <c r="F324" s="212"/>
      <c r="G324" s="212"/>
      <c r="H324" s="212"/>
      <c r="J324" s="212"/>
      <c r="K324" s="212"/>
    </row>
    <row r="325" spans="1:11" ht="12.75" customHeight="1">
      <c r="A325" s="212"/>
      <c r="B325" s="212"/>
      <c r="C325" s="212"/>
      <c r="D325" s="212"/>
      <c r="E325" s="212"/>
      <c r="F325" s="212"/>
      <c r="G325" s="212"/>
      <c r="H325" s="212"/>
      <c r="J325" s="212"/>
      <c r="K325" s="212"/>
    </row>
    <row r="326" spans="1:11" ht="12.75" customHeight="1">
      <c r="A326" s="212"/>
      <c r="B326" s="212"/>
      <c r="C326" s="212"/>
      <c r="D326" s="212"/>
      <c r="E326" s="212"/>
      <c r="F326" s="212"/>
      <c r="G326" s="212"/>
      <c r="H326" s="212"/>
      <c r="J326" s="212"/>
      <c r="K326" s="212"/>
    </row>
    <row r="327" spans="1:11" ht="12.75" customHeight="1">
      <c r="A327" s="212"/>
      <c r="B327" s="212"/>
      <c r="C327" s="212"/>
      <c r="D327" s="212"/>
      <c r="E327" s="212"/>
      <c r="F327" s="212"/>
      <c r="G327" s="212"/>
      <c r="H327" s="212"/>
      <c r="J327" s="212"/>
      <c r="K327" s="212"/>
    </row>
    <row r="328" spans="1:11" ht="12.75" customHeight="1">
      <c r="A328" s="212"/>
      <c r="B328" s="212"/>
      <c r="C328" s="212"/>
      <c r="D328" s="212"/>
      <c r="E328" s="212"/>
      <c r="F328" s="212"/>
      <c r="G328" s="212"/>
      <c r="H328" s="212"/>
      <c r="J328" s="212"/>
      <c r="K328" s="212"/>
    </row>
    <row r="329" spans="1:11" ht="12.75" customHeight="1">
      <c r="A329" s="212"/>
      <c r="B329" s="212"/>
      <c r="C329" s="212"/>
      <c r="D329" s="212"/>
      <c r="E329" s="212"/>
      <c r="F329" s="212"/>
      <c r="G329" s="212"/>
      <c r="H329" s="212"/>
      <c r="J329" s="212"/>
      <c r="K329" s="212"/>
    </row>
    <row r="330" spans="1:11" ht="12.75" customHeight="1">
      <c r="A330" s="212"/>
      <c r="B330" s="212"/>
      <c r="C330" s="212"/>
      <c r="D330" s="212"/>
      <c r="E330" s="212"/>
      <c r="F330" s="212"/>
      <c r="G330" s="212"/>
      <c r="H330" s="212"/>
      <c r="J330" s="212"/>
      <c r="K330" s="212"/>
    </row>
    <row r="331" spans="1:11" ht="12.75" customHeight="1">
      <c r="A331" s="212"/>
      <c r="B331" s="212"/>
      <c r="C331" s="212"/>
      <c r="D331" s="212"/>
      <c r="E331" s="212"/>
      <c r="F331" s="212"/>
      <c r="G331" s="212"/>
      <c r="H331" s="212"/>
      <c r="J331" s="212"/>
      <c r="K331" s="212"/>
    </row>
    <row r="332" spans="1:11" ht="12.75" customHeight="1">
      <c r="A332" s="212"/>
      <c r="B332" s="212"/>
      <c r="C332" s="212"/>
      <c r="D332" s="212"/>
      <c r="E332" s="212"/>
      <c r="F332" s="212"/>
      <c r="G332" s="212"/>
      <c r="H332" s="212"/>
      <c r="J332" s="212"/>
      <c r="K332" s="212"/>
    </row>
    <row r="333" spans="1:11" ht="12.75" customHeight="1">
      <c r="A333" s="212"/>
      <c r="B333" s="212"/>
      <c r="C333" s="212"/>
      <c r="D333" s="212"/>
      <c r="E333" s="212"/>
      <c r="F333" s="212"/>
      <c r="G333" s="212"/>
      <c r="H333" s="212"/>
      <c r="J333" s="212"/>
      <c r="K333" s="212"/>
    </row>
    <row r="334" spans="1:11" ht="12.75" customHeight="1">
      <c r="A334" s="212"/>
      <c r="B334" s="212"/>
      <c r="C334" s="212"/>
      <c r="D334" s="212"/>
      <c r="E334" s="212"/>
      <c r="F334" s="212"/>
      <c r="G334" s="212"/>
      <c r="H334" s="212"/>
      <c r="J334" s="212"/>
      <c r="K334" s="212"/>
    </row>
    <row r="335" spans="1:11" ht="12.75" customHeight="1">
      <c r="A335" s="212"/>
      <c r="B335" s="212"/>
      <c r="C335" s="212"/>
      <c r="D335" s="212"/>
      <c r="E335" s="212"/>
      <c r="F335" s="212"/>
      <c r="G335" s="212"/>
      <c r="H335" s="212"/>
      <c r="J335" s="212"/>
      <c r="K335" s="212"/>
    </row>
    <row r="336" spans="1:11" ht="12.75" customHeight="1">
      <c r="A336" s="212"/>
      <c r="B336" s="212"/>
      <c r="C336" s="212"/>
      <c r="D336" s="212"/>
      <c r="E336" s="212"/>
      <c r="F336" s="212"/>
      <c r="G336" s="212"/>
      <c r="H336" s="212"/>
      <c r="J336" s="212"/>
      <c r="K336" s="212"/>
    </row>
    <row r="337" spans="1:11" ht="12.75" customHeight="1">
      <c r="A337" s="212"/>
      <c r="B337" s="212"/>
      <c r="C337" s="212"/>
      <c r="D337" s="212"/>
      <c r="E337" s="212"/>
      <c r="F337" s="212"/>
      <c r="G337" s="212"/>
      <c r="H337" s="212"/>
      <c r="J337" s="212"/>
      <c r="K337" s="212"/>
    </row>
    <row r="338" spans="1:11" ht="12.75" customHeight="1">
      <c r="A338" s="212"/>
      <c r="B338" s="212"/>
      <c r="C338" s="212"/>
      <c r="D338" s="212"/>
      <c r="E338" s="212"/>
      <c r="F338" s="212"/>
      <c r="G338" s="212"/>
      <c r="H338" s="212"/>
      <c r="J338" s="212"/>
      <c r="K338" s="212"/>
    </row>
    <row r="339" spans="1:11" ht="12.75" customHeight="1">
      <c r="A339" s="212"/>
      <c r="B339" s="212"/>
      <c r="C339" s="212"/>
      <c r="D339" s="212"/>
      <c r="E339" s="212"/>
      <c r="F339" s="212"/>
      <c r="G339" s="212"/>
      <c r="H339" s="212"/>
      <c r="J339" s="212"/>
      <c r="K339" s="212"/>
    </row>
    <row r="340" spans="1:11" ht="12.75" customHeight="1">
      <c r="A340" s="212"/>
      <c r="B340" s="212"/>
      <c r="C340" s="212"/>
      <c r="D340" s="212"/>
      <c r="E340" s="212"/>
      <c r="F340" s="212"/>
      <c r="G340" s="212"/>
      <c r="H340" s="212"/>
      <c r="J340" s="212"/>
      <c r="K340" s="212"/>
    </row>
    <row r="341" spans="1:11" ht="12.75" customHeight="1">
      <c r="A341" s="212"/>
      <c r="B341" s="212"/>
      <c r="C341" s="212"/>
      <c r="D341" s="212"/>
      <c r="E341" s="212"/>
      <c r="F341" s="212"/>
      <c r="G341" s="212"/>
      <c r="H341" s="212"/>
      <c r="J341" s="212"/>
      <c r="K341" s="212"/>
    </row>
    <row r="342" spans="1:11" ht="12.75" customHeight="1">
      <c r="A342" s="212"/>
      <c r="B342" s="212"/>
      <c r="C342" s="212"/>
      <c r="D342" s="212"/>
      <c r="E342" s="212"/>
      <c r="F342" s="212"/>
      <c r="G342" s="212"/>
      <c r="H342" s="212"/>
      <c r="J342" s="212"/>
      <c r="K342" s="212"/>
    </row>
    <row r="343" spans="1:11" ht="12.75" customHeight="1">
      <c r="A343" s="212"/>
      <c r="B343" s="212"/>
      <c r="C343" s="212"/>
      <c r="D343" s="212"/>
      <c r="E343" s="212"/>
      <c r="F343" s="212"/>
      <c r="G343" s="212"/>
      <c r="H343" s="212"/>
      <c r="J343" s="212"/>
      <c r="K343" s="212"/>
    </row>
    <row r="344" spans="1:11" ht="12.75" customHeight="1">
      <c r="A344" s="212"/>
      <c r="B344" s="212"/>
      <c r="C344" s="212"/>
      <c r="D344" s="212"/>
      <c r="E344" s="212"/>
      <c r="F344" s="212"/>
      <c r="G344" s="212"/>
      <c r="H344" s="212"/>
      <c r="J344" s="212"/>
      <c r="K344" s="212"/>
    </row>
    <row r="345" spans="1:11" ht="12.75" customHeight="1">
      <c r="A345" s="212"/>
      <c r="B345" s="212"/>
      <c r="C345" s="212"/>
      <c r="D345" s="212"/>
      <c r="E345" s="212"/>
      <c r="F345" s="212"/>
      <c r="G345" s="212"/>
      <c r="H345" s="212"/>
      <c r="J345" s="212"/>
      <c r="K345" s="212"/>
    </row>
    <row r="346" spans="1:11" ht="12.75" customHeight="1">
      <c r="A346" s="212"/>
      <c r="B346" s="212"/>
      <c r="C346" s="212"/>
      <c r="D346" s="212"/>
      <c r="E346" s="212"/>
      <c r="F346" s="212"/>
      <c r="G346" s="212"/>
      <c r="H346" s="212"/>
      <c r="J346" s="212"/>
      <c r="K346" s="212"/>
    </row>
    <row r="347" spans="1:11" ht="12.75" customHeight="1">
      <c r="A347" s="212"/>
      <c r="B347" s="212"/>
      <c r="C347" s="212"/>
      <c r="D347" s="212"/>
      <c r="E347" s="212"/>
      <c r="F347" s="212"/>
      <c r="G347" s="212"/>
      <c r="H347" s="212"/>
      <c r="J347" s="212"/>
      <c r="K347" s="212"/>
    </row>
    <row r="348" spans="1:11" ht="12.75" customHeight="1">
      <c r="A348" s="212"/>
      <c r="B348" s="212"/>
      <c r="C348" s="212"/>
      <c r="D348" s="212"/>
      <c r="E348" s="212"/>
      <c r="F348" s="212"/>
      <c r="G348" s="212"/>
      <c r="H348" s="212"/>
      <c r="J348" s="212"/>
      <c r="K348" s="212"/>
    </row>
    <row r="349" spans="1:11" ht="12.75" customHeight="1">
      <c r="A349" s="212"/>
      <c r="B349" s="212"/>
      <c r="C349" s="212"/>
      <c r="D349" s="212"/>
      <c r="E349" s="212"/>
      <c r="F349" s="212"/>
      <c r="G349" s="212"/>
      <c r="H349" s="212"/>
      <c r="J349" s="212"/>
      <c r="K349" s="212"/>
    </row>
    <row r="350" spans="1:11" ht="12.75" customHeight="1">
      <c r="A350" s="212"/>
      <c r="B350" s="212"/>
      <c r="C350" s="212"/>
      <c r="D350" s="212"/>
      <c r="E350" s="212"/>
      <c r="F350" s="212"/>
      <c r="G350" s="212"/>
      <c r="H350" s="212"/>
      <c r="J350" s="212"/>
      <c r="K350" s="212"/>
    </row>
    <row r="351" spans="1:11" ht="12.75" customHeight="1">
      <c r="A351" s="212"/>
      <c r="B351" s="212"/>
      <c r="C351" s="212"/>
      <c r="D351" s="212"/>
      <c r="E351" s="212"/>
      <c r="F351" s="212"/>
      <c r="G351" s="212"/>
      <c r="H351" s="212"/>
      <c r="J351" s="212"/>
      <c r="K351" s="212"/>
    </row>
    <row r="352" spans="1:11" ht="12.75" customHeight="1">
      <c r="A352" s="212"/>
      <c r="B352" s="212"/>
      <c r="C352" s="212"/>
      <c r="D352" s="212"/>
      <c r="E352" s="212"/>
      <c r="F352" s="212"/>
      <c r="G352" s="212"/>
      <c r="H352" s="212"/>
      <c r="J352" s="212"/>
      <c r="K352" s="212"/>
    </row>
    <row r="353" spans="1:11" ht="12.75" customHeight="1">
      <c r="A353" s="212"/>
      <c r="B353" s="212"/>
      <c r="C353" s="212"/>
      <c r="D353" s="212"/>
      <c r="E353" s="212"/>
      <c r="F353" s="212"/>
      <c r="G353" s="212"/>
      <c r="H353" s="212"/>
      <c r="J353" s="212"/>
      <c r="K353" s="212"/>
    </row>
    <row r="354" spans="1:11" ht="12.75" customHeight="1">
      <c r="A354" s="212"/>
      <c r="B354" s="212"/>
      <c r="C354" s="212"/>
      <c r="D354" s="212"/>
      <c r="E354" s="212"/>
      <c r="F354" s="212"/>
      <c r="G354" s="212"/>
      <c r="H354" s="212"/>
      <c r="J354" s="212"/>
      <c r="K354" s="212"/>
    </row>
    <row r="355" spans="1:11" ht="12.75" customHeight="1">
      <c r="A355" s="212"/>
      <c r="B355" s="212"/>
      <c r="C355" s="212"/>
      <c r="D355" s="212"/>
      <c r="E355" s="212"/>
      <c r="F355" s="212"/>
      <c r="G355" s="212"/>
      <c r="H355" s="212"/>
      <c r="J355" s="212"/>
      <c r="K355" s="212"/>
    </row>
    <row r="356" spans="1:11" ht="12.75" customHeight="1">
      <c r="A356" s="212"/>
      <c r="B356" s="212"/>
      <c r="C356" s="212"/>
      <c r="D356" s="212"/>
      <c r="E356" s="212"/>
      <c r="F356" s="212"/>
      <c r="G356" s="212"/>
      <c r="H356" s="212"/>
      <c r="J356" s="212"/>
      <c r="K356" s="212"/>
    </row>
    <row r="357" spans="1:11" ht="12.75" customHeight="1">
      <c r="A357" s="212"/>
      <c r="B357" s="212"/>
      <c r="C357" s="212"/>
      <c r="D357" s="212"/>
      <c r="E357" s="212"/>
      <c r="F357" s="212"/>
      <c r="G357" s="212"/>
      <c r="H357" s="212"/>
      <c r="J357" s="212"/>
      <c r="K357" s="212"/>
    </row>
    <row r="358" spans="1:11" ht="12.75" customHeight="1">
      <c r="A358" s="212"/>
      <c r="B358" s="212"/>
      <c r="C358" s="212"/>
      <c r="D358" s="212"/>
      <c r="E358" s="212"/>
      <c r="F358" s="212"/>
      <c r="G358" s="212"/>
      <c r="H358" s="212"/>
      <c r="J358" s="212"/>
      <c r="K358" s="212"/>
    </row>
    <row r="359" spans="1:11" ht="12.75" customHeight="1">
      <c r="A359" s="212"/>
      <c r="B359" s="212"/>
      <c r="C359" s="212"/>
      <c r="D359" s="212"/>
      <c r="E359" s="212"/>
      <c r="F359" s="212"/>
      <c r="G359" s="212"/>
      <c r="H359" s="212"/>
      <c r="J359" s="212"/>
      <c r="K359" s="212"/>
    </row>
    <row r="360" spans="1:11" ht="12.75" customHeight="1">
      <c r="A360" s="212"/>
      <c r="B360" s="212"/>
      <c r="C360" s="212"/>
      <c r="D360" s="212"/>
      <c r="E360" s="212"/>
      <c r="F360" s="212"/>
      <c r="G360" s="212"/>
      <c r="H360" s="212"/>
      <c r="J360" s="212"/>
      <c r="K360" s="212"/>
    </row>
    <row r="361" spans="1:11" ht="12.75" customHeight="1">
      <c r="A361" s="212"/>
      <c r="B361" s="212"/>
      <c r="C361" s="212"/>
      <c r="D361" s="212"/>
      <c r="E361" s="212"/>
      <c r="F361" s="212"/>
      <c r="G361" s="212"/>
      <c r="H361" s="212"/>
      <c r="J361" s="212"/>
      <c r="K361" s="212"/>
    </row>
    <row r="362" spans="1:11" ht="12.75" customHeight="1">
      <c r="A362" s="212"/>
      <c r="B362" s="212"/>
      <c r="C362" s="212"/>
      <c r="D362" s="212"/>
      <c r="E362" s="212"/>
      <c r="F362" s="212"/>
      <c r="G362" s="212"/>
      <c r="H362" s="212"/>
      <c r="J362" s="212"/>
      <c r="K362" s="212"/>
    </row>
    <row r="363" spans="1:11" ht="12.75" customHeight="1">
      <c r="A363" s="212"/>
      <c r="B363" s="212"/>
      <c r="C363" s="212"/>
      <c r="D363" s="212"/>
      <c r="E363" s="212"/>
      <c r="F363" s="212"/>
      <c r="G363" s="212"/>
      <c r="H363" s="212"/>
      <c r="J363" s="212"/>
      <c r="K363" s="212"/>
    </row>
    <row r="364" spans="1:11" ht="12.75" customHeight="1">
      <c r="A364" s="212"/>
      <c r="B364" s="212"/>
      <c r="C364" s="212"/>
      <c r="D364" s="212"/>
      <c r="E364" s="212"/>
      <c r="F364" s="212"/>
      <c r="G364" s="212"/>
      <c r="H364" s="212"/>
      <c r="J364" s="212"/>
      <c r="K364" s="212"/>
    </row>
    <row r="365" spans="1:11" ht="12.75" customHeight="1">
      <c r="A365" s="212"/>
      <c r="B365" s="212"/>
      <c r="C365" s="212"/>
      <c r="D365" s="212"/>
      <c r="E365" s="212"/>
      <c r="F365" s="212"/>
      <c r="G365" s="212"/>
      <c r="H365" s="212"/>
      <c r="J365" s="212"/>
      <c r="K365" s="212"/>
    </row>
    <row r="366" spans="1:11" ht="12.75" customHeight="1">
      <c r="A366" s="212"/>
      <c r="B366" s="212"/>
      <c r="C366" s="212"/>
      <c r="D366" s="212"/>
      <c r="E366" s="212"/>
      <c r="F366" s="212"/>
      <c r="G366" s="212"/>
      <c r="H366" s="212"/>
      <c r="J366" s="212"/>
      <c r="K366" s="212"/>
    </row>
    <row r="367" spans="1:11" ht="12.75" customHeight="1">
      <c r="A367" s="212"/>
      <c r="B367" s="212"/>
      <c r="C367" s="212"/>
      <c r="D367" s="212"/>
      <c r="E367" s="212"/>
      <c r="F367" s="212"/>
      <c r="G367" s="212"/>
      <c r="H367" s="212"/>
      <c r="J367" s="212"/>
      <c r="K367" s="212"/>
    </row>
    <row r="368" spans="1:11" ht="12.75" customHeight="1">
      <c r="A368" s="212"/>
      <c r="B368" s="212"/>
      <c r="C368" s="212"/>
      <c r="D368" s="212"/>
      <c r="E368" s="212"/>
      <c r="F368" s="212"/>
      <c r="G368" s="212"/>
      <c r="H368" s="212"/>
      <c r="J368" s="212"/>
      <c r="K368" s="212"/>
    </row>
    <row r="369" spans="1:11" ht="12.75" customHeight="1">
      <c r="A369" s="212"/>
      <c r="B369" s="212"/>
      <c r="C369" s="212"/>
      <c r="D369" s="212"/>
      <c r="E369" s="212"/>
      <c r="F369" s="212"/>
      <c r="G369" s="212"/>
      <c r="H369" s="212"/>
      <c r="J369" s="212"/>
      <c r="K369" s="212"/>
    </row>
    <row r="370" spans="1:11" ht="12.75" customHeight="1">
      <c r="A370" s="212"/>
      <c r="B370" s="212"/>
      <c r="C370" s="212"/>
      <c r="D370" s="212"/>
      <c r="E370" s="212"/>
      <c r="F370" s="212"/>
      <c r="G370" s="212"/>
      <c r="H370" s="212"/>
      <c r="J370" s="212"/>
      <c r="K370" s="212"/>
    </row>
    <row r="371" spans="1:11" ht="12.75" customHeight="1">
      <c r="A371" s="212"/>
      <c r="B371" s="212"/>
      <c r="C371" s="212"/>
      <c r="D371" s="212"/>
      <c r="E371" s="212"/>
      <c r="F371" s="212"/>
      <c r="G371" s="212"/>
      <c r="H371" s="212"/>
      <c r="J371" s="212"/>
      <c r="K371" s="212"/>
    </row>
    <row r="372" spans="1:11" ht="12.75" customHeight="1">
      <c r="A372" s="212"/>
      <c r="B372" s="212"/>
      <c r="C372" s="212"/>
      <c r="D372" s="212"/>
      <c r="E372" s="212"/>
      <c r="F372" s="212"/>
      <c r="G372" s="212"/>
      <c r="H372" s="212"/>
      <c r="J372" s="212"/>
      <c r="K372" s="212"/>
    </row>
    <row r="373" spans="1:11" ht="12.75" customHeight="1">
      <c r="A373" s="212"/>
      <c r="B373" s="212"/>
      <c r="C373" s="212"/>
      <c r="D373" s="212"/>
      <c r="E373" s="212"/>
      <c r="F373" s="212"/>
      <c r="G373" s="212"/>
      <c r="H373" s="212"/>
      <c r="J373" s="212"/>
      <c r="K373" s="212"/>
    </row>
    <row r="374" spans="1:11" ht="12.75" customHeight="1">
      <c r="A374" s="212"/>
      <c r="B374" s="212"/>
      <c r="C374" s="212"/>
      <c r="D374" s="212"/>
      <c r="E374" s="212"/>
      <c r="F374" s="212"/>
      <c r="G374" s="212"/>
      <c r="H374" s="212"/>
      <c r="J374" s="212"/>
      <c r="K374" s="212"/>
    </row>
    <row r="375" spans="1:11" ht="12.75" customHeight="1">
      <c r="A375" s="212"/>
      <c r="B375" s="212"/>
      <c r="C375" s="212"/>
      <c r="D375" s="212"/>
      <c r="E375" s="212"/>
      <c r="F375" s="212"/>
      <c r="G375" s="212"/>
      <c r="H375" s="212"/>
      <c r="J375" s="212"/>
      <c r="K375" s="212"/>
    </row>
    <row r="376" spans="1:11" ht="12.75" customHeight="1">
      <c r="A376" s="212"/>
      <c r="B376" s="212"/>
      <c r="C376" s="212"/>
      <c r="D376" s="212"/>
      <c r="E376" s="212"/>
      <c r="F376" s="212"/>
      <c r="G376" s="212"/>
      <c r="H376" s="212"/>
      <c r="J376" s="212"/>
      <c r="K376" s="212"/>
    </row>
    <row r="377" spans="1:11" ht="12.75" customHeight="1">
      <c r="A377" s="212"/>
      <c r="B377" s="212"/>
      <c r="C377" s="212"/>
      <c r="D377" s="212"/>
      <c r="E377" s="212"/>
      <c r="F377" s="212"/>
      <c r="G377" s="212"/>
      <c r="H377" s="212"/>
      <c r="J377" s="212"/>
      <c r="K377" s="212"/>
    </row>
    <row r="378" spans="1:11" ht="12.75" customHeight="1">
      <c r="A378" s="212"/>
      <c r="B378" s="212"/>
      <c r="C378" s="212"/>
      <c r="D378" s="212"/>
      <c r="E378" s="212"/>
      <c r="F378" s="212"/>
      <c r="G378" s="212"/>
      <c r="H378" s="212"/>
      <c r="J378" s="212"/>
      <c r="K378" s="212"/>
    </row>
    <row r="379" spans="1:11" ht="12.75" customHeight="1">
      <c r="A379" s="212"/>
      <c r="B379" s="212"/>
      <c r="C379" s="212"/>
      <c r="D379" s="212"/>
      <c r="E379" s="212"/>
      <c r="F379" s="212"/>
      <c r="G379" s="212"/>
      <c r="H379" s="212"/>
      <c r="J379" s="212"/>
      <c r="K379" s="212"/>
    </row>
    <row r="380" spans="1:11" ht="12.75" customHeight="1">
      <c r="A380" s="212"/>
      <c r="B380" s="212"/>
      <c r="C380" s="212"/>
      <c r="D380" s="212"/>
      <c r="E380" s="212"/>
      <c r="F380" s="212"/>
      <c r="G380" s="212"/>
      <c r="H380" s="212"/>
      <c r="J380" s="212"/>
      <c r="K380" s="212"/>
    </row>
    <row r="381" spans="1:11" ht="12.75" customHeight="1">
      <c r="A381" s="212"/>
      <c r="B381" s="212"/>
      <c r="C381" s="212"/>
      <c r="D381" s="212"/>
      <c r="E381" s="212"/>
      <c r="F381" s="212"/>
      <c r="G381" s="212"/>
      <c r="H381" s="212"/>
      <c r="J381" s="212"/>
      <c r="K381" s="212"/>
    </row>
    <row r="382" spans="1:11" ht="12.75" customHeight="1">
      <c r="A382" s="212"/>
      <c r="B382" s="212"/>
      <c r="C382" s="212"/>
      <c r="D382" s="212"/>
      <c r="E382" s="212"/>
      <c r="F382" s="212"/>
      <c r="G382" s="212"/>
      <c r="H382" s="212"/>
      <c r="J382" s="212"/>
      <c r="K382" s="212"/>
    </row>
    <row r="383" spans="1:11" ht="12.75" customHeight="1">
      <c r="A383" s="212"/>
      <c r="B383" s="212"/>
      <c r="C383" s="212"/>
      <c r="D383" s="212"/>
      <c r="E383" s="212"/>
      <c r="F383" s="212"/>
      <c r="G383" s="212"/>
      <c r="H383" s="212"/>
      <c r="J383" s="212"/>
      <c r="K383" s="212"/>
    </row>
    <row r="384" spans="1:11" ht="12.75" customHeight="1">
      <c r="A384" s="212"/>
      <c r="B384" s="212"/>
      <c r="C384" s="212"/>
      <c r="D384" s="212"/>
      <c r="E384" s="212"/>
      <c r="F384" s="212"/>
      <c r="G384" s="212"/>
      <c r="H384" s="212"/>
      <c r="J384" s="212"/>
      <c r="K384" s="212"/>
    </row>
    <row r="385" spans="1:11" ht="12.75" customHeight="1">
      <c r="A385" s="212"/>
      <c r="B385" s="212"/>
      <c r="C385" s="212"/>
      <c r="D385" s="212"/>
      <c r="E385" s="212"/>
      <c r="F385" s="212"/>
      <c r="G385" s="212"/>
      <c r="H385" s="212"/>
      <c r="J385" s="212"/>
      <c r="K385" s="212"/>
    </row>
    <row r="386" spans="1:11" ht="12.75" customHeight="1">
      <c r="A386" s="212"/>
      <c r="B386" s="212"/>
      <c r="C386" s="212"/>
      <c r="D386" s="212"/>
      <c r="E386" s="212"/>
      <c r="F386" s="212"/>
      <c r="G386" s="212"/>
      <c r="H386" s="212"/>
      <c r="J386" s="212"/>
      <c r="K386" s="212"/>
    </row>
    <row r="387" spans="1:11" ht="12.75" customHeight="1">
      <c r="A387" s="212"/>
      <c r="B387" s="212"/>
      <c r="C387" s="212"/>
      <c r="D387" s="212"/>
      <c r="E387" s="212"/>
      <c r="F387" s="212"/>
      <c r="G387" s="212"/>
      <c r="H387" s="212"/>
      <c r="J387" s="212"/>
      <c r="K387" s="212"/>
    </row>
    <row r="388" spans="1:11" ht="12.75" customHeight="1">
      <c r="A388" s="212"/>
      <c r="B388" s="212"/>
      <c r="C388" s="212"/>
      <c r="D388" s="212"/>
      <c r="E388" s="212"/>
      <c r="F388" s="212"/>
      <c r="G388" s="212"/>
      <c r="H388" s="212"/>
      <c r="J388" s="212"/>
      <c r="K388" s="212"/>
    </row>
    <row r="389" spans="1:11" ht="12.75" customHeight="1">
      <c r="A389" s="212"/>
      <c r="B389" s="212"/>
      <c r="C389" s="212"/>
      <c r="D389" s="212"/>
      <c r="E389" s="212"/>
      <c r="F389" s="212"/>
      <c r="G389" s="212"/>
      <c r="H389" s="212"/>
      <c r="J389" s="212"/>
      <c r="K389" s="212"/>
    </row>
    <row r="390" spans="1:11" ht="12.75" customHeight="1">
      <c r="A390" s="212"/>
      <c r="B390" s="212"/>
      <c r="C390" s="212"/>
      <c r="D390" s="212"/>
      <c r="E390" s="212"/>
      <c r="F390" s="212"/>
      <c r="G390" s="212"/>
      <c r="H390" s="212"/>
      <c r="J390" s="212"/>
      <c r="K390" s="212"/>
    </row>
    <row r="391" spans="1:11" ht="12.75" customHeight="1">
      <c r="A391" s="212"/>
      <c r="B391" s="212"/>
      <c r="C391" s="212"/>
      <c r="D391" s="212"/>
      <c r="E391" s="212"/>
      <c r="F391" s="212"/>
      <c r="G391" s="212"/>
      <c r="H391" s="212"/>
      <c r="J391" s="212"/>
      <c r="K391" s="212"/>
    </row>
    <row r="392" spans="1:11" ht="12.75" customHeight="1">
      <c r="A392" s="212"/>
      <c r="B392" s="212"/>
      <c r="C392" s="212"/>
      <c r="D392" s="212"/>
      <c r="E392" s="212"/>
      <c r="F392" s="212"/>
      <c r="G392" s="212"/>
      <c r="H392" s="212"/>
      <c r="J392" s="212"/>
      <c r="K392" s="212"/>
    </row>
    <row r="393" spans="1:11" ht="12.75" customHeight="1">
      <c r="A393" s="212"/>
      <c r="B393" s="212"/>
      <c r="C393" s="212"/>
      <c r="D393" s="212"/>
      <c r="E393" s="212"/>
      <c r="F393" s="212"/>
      <c r="G393" s="212"/>
      <c r="H393" s="212"/>
      <c r="J393" s="212"/>
      <c r="K393" s="212"/>
    </row>
    <row r="394" spans="1:11" ht="12.75" customHeight="1">
      <c r="A394" s="212"/>
      <c r="B394" s="212"/>
      <c r="C394" s="212"/>
      <c r="D394" s="212"/>
      <c r="E394" s="212"/>
      <c r="F394" s="212"/>
      <c r="G394" s="212"/>
      <c r="H394" s="212"/>
      <c r="J394" s="212"/>
      <c r="K394" s="212"/>
    </row>
    <row r="395" spans="1:11" ht="12.75" customHeight="1">
      <c r="A395" s="212"/>
      <c r="B395" s="212"/>
      <c r="C395" s="212"/>
      <c r="D395" s="212"/>
      <c r="E395" s="212"/>
      <c r="F395" s="212"/>
      <c r="G395" s="212"/>
      <c r="H395" s="212"/>
      <c r="J395" s="212"/>
      <c r="K395" s="212"/>
    </row>
    <row r="396" spans="1:11" ht="12.75" customHeight="1">
      <c r="A396" s="212"/>
      <c r="B396" s="212"/>
      <c r="C396" s="212"/>
      <c r="D396" s="212"/>
      <c r="E396" s="212"/>
      <c r="F396" s="212"/>
      <c r="G396" s="212"/>
      <c r="H396" s="212"/>
      <c r="J396" s="212"/>
      <c r="K396" s="212"/>
    </row>
    <row r="397" spans="1:11" ht="12.75" customHeight="1">
      <c r="A397" s="212"/>
      <c r="B397" s="212"/>
      <c r="C397" s="212"/>
      <c r="D397" s="212"/>
      <c r="E397" s="212"/>
      <c r="F397" s="212"/>
      <c r="G397" s="212"/>
      <c r="H397" s="212"/>
      <c r="J397" s="212"/>
      <c r="K397" s="212"/>
    </row>
    <row r="398" spans="1:11" ht="12.75" customHeight="1">
      <c r="A398" s="212"/>
      <c r="B398" s="212"/>
      <c r="C398" s="212"/>
      <c r="D398" s="212"/>
      <c r="E398" s="212"/>
      <c r="F398" s="212"/>
      <c r="G398" s="212"/>
      <c r="H398" s="212"/>
      <c r="J398" s="212"/>
      <c r="K398" s="212"/>
    </row>
    <row r="399" spans="1:11" ht="12.75" customHeight="1">
      <c r="A399" s="212"/>
      <c r="B399" s="212"/>
      <c r="C399" s="212"/>
      <c r="D399" s="212"/>
      <c r="E399" s="212"/>
      <c r="F399" s="212"/>
      <c r="G399" s="212"/>
      <c r="H399" s="212"/>
      <c r="J399" s="212"/>
      <c r="K399" s="212"/>
    </row>
    <row r="400" spans="1:11" ht="12.75" customHeight="1">
      <c r="A400" s="212"/>
      <c r="B400" s="212"/>
      <c r="C400" s="212"/>
      <c r="D400" s="212"/>
      <c r="E400" s="212"/>
      <c r="F400" s="212"/>
      <c r="G400" s="212"/>
      <c r="H400" s="212"/>
      <c r="J400" s="212"/>
      <c r="K400" s="212"/>
    </row>
    <row r="401" spans="1:11" ht="12.75" customHeight="1">
      <c r="A401" s="212"/>
      <c r="B401" s="212"/>
      <c r="C401" s="212"/>
      <c r="D401" s="212"/>
      <c r="E401" s="212"/>
      <c r="F401" s="212"/>
      <c r="G401" s="212"/>
      <c r="H401" s="212"/>
      <c r="J401" s="212"/>
      <c r="K401" s="212"/>
    </row>
    <row r="402" spans="1:11" ht="12.75" customHeight="1">
      <c r="A402" s="212"/>
      <c r="B402" s="212"/>
      <c r="C402" s="212"/>
      <c r="D402" s="212"/>
      <c r="E402" s="212"/>
      <c r="F402" s="212"/>
      <c r="G402" s="212"/>
      <c r="H402" s="212"/>
      <c r="J402" s="212"/>
      <c r="K402" s="212"/>
    </row>
    <row r="403" spans="1:11" ht="12.75" customHeight="1">
      <c r="A403" s="212"/>
      <c r="B403" s="212"/>
      <c r="C403" s="212"/>
      <c r="D403" s="212"/>
      <c r="E403" s="212"/>
      <c r="F403" s="212"/>
      <c r="G403" s="212"/>
      <c r="H403" s="212"/>
      <c r="J403" s="212"/>
      <c r="K403" s="212"/>
    </row>
    <row r="404" spans="1:11" ht="12.75" customHeight="1">
      <c r="A404" s="212"/>
      <c r="B404" s="212"/>
      <c r="C404" s="212"/>
      <c r="D404" s="212"/>
      <c r="E404" s="212"/>
      <c r="F404" s="212"/>
      <c r="G404" s="212"/>
      <c r="H404" s="212"/>
      <c r="J404" s="212"/>
      <c r="K404" s="212"/>
    </row>
    <row r="405" spans="1:11" ht="12.75" customHeight="1">
      <c r="A405" s="212"/>
      <c r="B405" s="212"/>
      <c r="C405" s="212"/>
      <c r="D405" s="212"/>
      <c r="E405" s="212"/>
      <c r="F405" s="212"/>
      <c r="G405" s="212"/>
      <c r="H405" s="212"/>
      <c r="J405" s="212"/>
      <c r="K405" s="212"/>
    </row>
    <row r="406" spans="1:11" ht="12.75" customHeight="1">
      <c r="A406" s="212"/>
      <c r="B406" s="212"/>
      <c r="C406" s="212"/>
      <c r="D406" s="212"/>
      <c r="E406" s="212"/>
      <c r="F406" s="212"/>
      <c r="G406" s="212"/>
      <c r="H406" s="212"/>
      <c r="J406" s="212"/>
      <c r="K406" s="212"/>
    </row>
    <row r="407" spans="1:11" ht="12.75" customHeight="1">
      <c r="A407" s="212"/>
      <c r="B407" s="212"/>
      <c r="C407" s="212"/>
      <c r="D407" s="212"/>
      <c r="E407" s="212"/>
      <c r="F407" s="212"/>
      <c r="G407" s="212"/>
      <c r="H407" s="212"/>
      <c r="J407" s="212"/>
      <c r="K407" s="212"/>
    </row>
    <row r="408" spans="1:11" ht="12.75" customHeight="1">
      <c r="A408" s="212"/>
      <c r="B408" s="212"/>
      <c r="C408" s="212"/>
      <c r="D408" s="212"/>
      <c r="E408" s="212"/>
      <c r="F408" s="212"/>
      <c r="G408" s="212"/>
      <c r="H408" s="212"/>
      <c r="J408" s="212"/>
      <c r="K408" s="212"/>
    </row>
    <row r="409" spans="1:11" ht="12.75" customHeight="1">
      <c r="A409" s="212"/>
      <c r="B409" s="212"/>
      <c r="C409" s="212"/>
      <c r="D409" s="212"/>
      <c r="E409" s="212"/>
      <c r="F409" s="212"/>
      <c r="G409" s="212"/>
      <c r="H409" s="212"/>
      <c r="J409" s="212"/>
      <c r="K409" s="212"/>
    </row>
    <row r="410" spans="1:11" ht="12.75" customHeight="1">
      <c r="A410" s="212"/>
      <c r="B410" s="212"/>
      <c r="C410" s="212"/>
      <c r="D410" s="212"/>
      <c r="E410" s="212"/>
      <c r="F410" s="212"/>
      <c r="G410" s="212"/>
      <c r="H410" s="212"/>
      <c r="J410" s="212"/>
      <c r="K410" s="212"/>
    </row>
    <row r="411" spans="1:11" ht="12.75" customHeight="1">
      <c r="A411" s="212"/>
      <c r="B411" s="212"/>
      <c r="C411" s="212"/>
      <c r="D411" s="212"/>
      <c r="E411" s="212"/>
      <c r="F411" s="212"/>
      <c r="G411" s="212"/>
      <c r="H411" s="212"/>
      <c r="J411" s="212"/>
      <c r="K411" s="212"/>
    </row>
    <row r="412" spans="1:11" ht="12.75" customHeight="1">
      <c r="A412" s="212"/>
      <c r="B412" s="212"/>
      <c r="C412" s="212"/>
      <c r="D412" s="212"/>
      <c r="E412" s="212"/>
      <c r="F412" s="212"/>
      <c r="G412" s="212"/>
      <c r="H412" s="212"/>
      <c r="J412" s="212"/>
      <c r="K412" s="212"/>
    </row>
    <row r="413" spans="1:11" ht="12.75" customHeight="1">
      <c r="A413" s="212"/>
      <c r="B413" s="212"/>
      <c r="C413" s="212"/>
      <c r="D413" s="212"/>
      <c r="E413" s="212"/>
      <c r="F413" s="212"/>
      <c r="G413" s="212"/>
      <c r="H413" s="212"/>
      <c r="J413" s="212"/>
      <c r="K413" s="212"/>
    </row>
    <row r="414" spans="1:11" ht="12.75" customHeight="1">
      <c r="A414" s="212"/>
      <c r="B414" s="212"/>
      <c r="C414" s="212"/>
      <c r="D414" s="212"/>
      <c r="E414" s="212"/>
      <c r="F414" s="212"/>
      <c r="G414" s="212"/>
      <c r="H414" s="212"/>
      <c r="J414" s="212"/>
      <c r="K414" s="212"/>
    </row>
    <row r="415" spans="1:11" ht="12.75" customHeight="1">
      <c r="A415" s="212"/>
      <c r="B415" s="212"/>
      <c r="C415" s="212"/>
      <c r="D415" s="212"/>
      <c r="E415" s="212"/>
      <c r="F415" s="212"/>
      <c r="G415" s="212"/>
      <c r="H415" s="212"/>
      <c r="J415" s="212"/>
      <c r="K415" s="212"/>
    </row>
    <row r="416" spans="1:11" ht="12.75" customHeight="1">
      <c r="A416" s="212"/>
      <c r="B416" s="212"/>
      <c r="C416" s="212"/>
      <c r="D416" s="212"/>
      <c r="E416" s="212"/>
      <c r="F416" s="212"/>
      <c r="G416" s="212"/>
      <c r="H416" s="212"/>
      <c r="J416" s="212"/>
      <c r="K416" s="212"/>
    </row>
    <row r="417" spans="1:11" ht="12.75" customHeight="1">
      <c r="A417" s="212"/>
      <c r="B417" s="212"/>
      <c r="C417" s="212"/>
      <c r="D417" s="212"/>
      <c r="E417" s="212"/>
      <c r="F417" s="212"/>
      <c r="G417" s="212"/>
      <c r="H417" s="212"/>
      <c r="J417" s="212"/>
      <c r="K417" s="212"/>
    </row>
    <row r="418" spans="1:11" ht="12.75" customHeight="1">
      <c r="A418" s="212"/>
      <c r="B418" s="212"/>
      <c r="C418" s="212"/>
      <c r="D418" s="212"/>
      <c r="E418" s="212"/>
      <c r="F418" s="212"/>
      <c r="G418" s="212"/>
      <c r="H418" s="212"/>
      <c r="J418" s="212"/>
      <c r="K418" s="212"/>
    </row>
    <row r="419" spans="1:11" ht="12.75" customHeight="1">
      <c r="A419" s="212"/>
      <c r="B419" s="212"/>
      <c r="C419" s="212"/>
      <c r="D419" s="212"/>
      <c r="E419" s="212"/>
      <c r="F419" s="212"/>
      <c r="G419" s="212"/>
      <c r="H419" s="212"/>
      <c r="J419" s="212"/>
      <c r="K419" s="212"/>
    </row>
    <row r="420" spans="1:11" ht="12.75" customHeight="1">
      <c r="A420" s="212"/>
      <c r="B420" s="212"/>
      <c r="C420" s="212"/>
      <c r="D420" s="212"/>
      <c r="E420" s="212"/>
      <c r="F420" s="212"/>
      <c r="G420" s="212"/>
      <c r="H420" s="212"/>
      <c r="J420" s="212"/>
      <c r="K420" s="212"/>
    </row>
    <row r="421" spans="1:11" ht="12.75" customHeight="1">
      <c r="A421" s="212"/>
      <c r="B421" s="212"/>
      <c r="C421" s="212"/>
      <c r="D421" s="212"/>
      <c r="E421" s="212"/>
      <c r="F421" s="212"/>
      <c r="G421" s="212"/>
      <c r="H421" s="212"/>
      <c r="J421" s="212"/>
      <c r="K421" s="212"/>
    </row>
    <row r="422" spans="1:11" ht="12.75" customHeight="1">
      <c r="A422" s="212"/>
      <c r="B422" s="212"/>
      <c r="C422" s="212"/>
      <c r="D422" s="212"/>
      <c r="E422" s="212"/>
      <c r="F422" s="212"/>
      <c r="G422" s="212"/>
      <c r="H422" s="212"/>
      <c r="J422" s="212"/>
      <c r="K422" s="212"/>
    </row>
    <row r="423" spans="1:11" ht="12.75" customHeight="1">
      <c r="A423" s="212"/>
      <c r="B423" s="212"/>
      <c r="C423" s="212"/>
      <c r="D423" s="212"/>
      <c r="E423" s="212"/>
      <c r="F423" s="212"/>
      <c r="G423" s="212"/>
      <c r="H423" s="212"/>
      <c r="J423" s="212"/>
      <c r="K423" s="212"/>
    </row>
    <row r="424" spans="1:11" ht="12.75" customHeight="1">
      <c r="A424" s="212"/>
      <c r="B424" s="212"/>
      <c r="C424" s="212"/>
      <c r="D424" s="212"/>
      <c r="E424" s="212"/>
      <c r="F424" s="212"/>
      <c r="G424" s="212"/>
      <c r="H424" s="212"/>
      <c r="J424" s="212"/>
      <c r="K424" s="212"/>
    </row>
    <row r="425" spans="1:11" ht="12.75" customHeight="1">
      <c r="A425" s="212"/>
      <c r="B425" s="212"/>
      <c r="C425" s="212"/>
      <c r="D425" s="212"/>
      <c r="E425" s="212"/>
      <c r="F425" s="212"/>
      <c r="G425" s="212"/>
      <c r="H425" s="212"/>
      <c r="J425" s="212"/>
      <c r="K425" s="212"/>
    </row>
    <row r="426" spans="1:11" ht="12.75" customHeight="1">
      <c r="A426" s="212"/>
      <c r="B426" s="212"/>
      <c r="C426" s="212"/>
      <c r="D426" s="212"/>
      <c r="E426" s="212"/>
      <c r="F426" s="212"/>
      <c r="G426" s="212"/>
      <c r="H426" s="212"/>
      <c r="J426" s="212"/>
      <c r="K426" s="212"/>
    </row>
    <row r="427" spans="1:11" ht="12.75" customHeight="1">
      <c r="A427" s="212"/>
      <c r="B427" s="212"/>
      <c r="C427" s="212"/>
      <c r="D427" s="212"/>
      <c r="E427" s="212"/>
      <c r="F427" s="212"/>
      <c r="G427" s="212"/>
      <c r="H427" s="212"/>
      <c r="J427" s="212"/>
      <c r="K427" s="212"/>
    </row>
    <row r="428" spans="1:11" ht="12.75" customHeight="1">
      <c r="A428" s="212"/>
      <c r="B428" s="212"/>
      <c r="C428" s="212"/>
      <c r="D428" s="212"/>
      <c r="E428" s="212"/>
      <c r="F428" s="212"/>
      <c r="G428" s="212"/>
      <c r="H428" s="212"/>
      <c r="J428" s="212"/>
      <c r="K428" s="212"/>
    </row>
    <row r="429" spans="1:11" ht="12.75" customHeight="1">
      <c r="A429" s="212"/>
      <c r="B429" s="212"/>
      <c r="C429" s="212"/>
      <c r="D429" s="212"/>
      <c r="E429" s="212"/>
      <c r="F429" s="212"/>
      <c r="G429" s="212"/>
      <c r="H429" s="212"/>
      <c r="J429" s="212"/>
      <c r="K429" s="212"/>
    </row>
    <row r="430" spans="1:11" ht="12.75" customHeight="1">
      <c r="A430" s="212"/>
      <c r="B430" s="212"/>
      <c r="C430" s="212"/>
      <c r="D430" s="212"/>
      <c r="E430" s="212"/>
      <c r="F430" s="212"/>
      <c r="G430" s="212"/>
      <c r="H430" s="212"/>
      <c r="J430" s="212"/>
      <c r="K430" s="212"/>
    </row>
    <row r="431" spans="1:11" ht="12.75" customHeight="1">
      <c r="A431" s="212"/>
      <c r="B431" s="212"/>
      <c r="C431" s="212"/>
      <c r="D431" s="212"/>
      <c r="E431" s="212"/>
      <c r="F431" s="212"/>
      <c r="G431" s="212"/>
      <c r="H431" s="212"/>
      <c r="J431" s="212"/>
      <c r="K431" s="212"/>
    </row>
    <row r="432" spans="1:11" ht="12.75" customHeight="1">
      <c r="A432" s="212"/>
      <c r="B432" s="212"/>
      <c r="C432" s="212"/>
      <c r="D432" s="212"/>
      <c r="E432" s="212"/>
      <c r="F432" s="212"/>
      <c r="G432" s="212"/>
      <c r="H432" s="212"/>
      <c r="J432" s="212"/>
      <c r="K432" s="212"/>
    </row>
    <row r="433" spans="1:11" ht="12.75" customHeight="1">
      <c r="A433" s="212"/>
      <c r="B433" s="212"/>
      <c r="C433" s="212"/>
      <c r="D433" s="212"/>
      <c r="E433" s="212"/>
      <c r="F433" s="212"/>
      <c r="G433" s="212"/>
      <c r="H433" s="212"/>
      <c r="J433" s="212"/>
      <c r="K433" s="212"/>
    </row>
    <row r="434" spans="1:11" ht="12.75" customHeight="1">
      <c r="A434" s="212"/>
      <c r="B434" s="212"/>
      <c r="C434" s="212"/>
      <c r="D434" s="212"/>
      <c r="E434" s="212"/>
      <c r="F434" s="212"/>
      <c r="G434" s="212"/>
      <c r="H434" s="212"/>
      <c r="J434" s="212"/>
      <c r="K434" s="212"/>
    </row>
    <row r="435" spans="1:11" ht="12.75" customHeight="1">
      <c r="A435" s="212"/>
      <c r="B435" s="212"/>
      <c r="C435" s="212"/>
      <c r="D435" s="212"/>
      <c r="E435" s="212"/>
      <c r="F435" s="212"/>
      <c r="G435" s="212"/>
      <c r="H435" s="212"/>
      <c r="J435" s="212"/>
      <c r="K435" s="212"/>
    </row>
    <row r="436" spans="1:11" ht="12.75" customHeight="1">
      <c r="A436" s="212"/>
      <c r="B436" s="212"/>
      <c r="C436" s="212"/>
      <c r="D436" s="212"/>
      <c r="E436" s="212"/>
      <c r="F436" s="212"/>
      <c r="G436" s="212"/>
      <c r="H436" s="212"/>
      <c r="J436" s="212"/>
      <c r="K436" s="212"/>
    </row>
    <row r="437" spans="1:11" ht="12.75" customHeight="1">
      <c r="A437" s="212"/>
      <c r="B437" s="212"/>
      <c r="C437" s="212"/>
      <c r="D437" s="212"/>
      <c r="E437" s="212"/>
      <c r="F437" s="212"/>
      <c r="G437" s="212"/>
      <c r="H437" s="212"/>
      <c r="J437" s="212"/>
      <c r="K437" s="212"/>
    </row>
    <row r="438" spans="1:11" ht="12.75" customHeight="1">
      <c r="A438" s="212"/>
      <c r="B438" s="212"/>
      <c r="C438" s="212"/>
      <c r="D438" s="212"/>
      <c r="E438" s="212"/>
      <c r="F438" s="212"/>
      <c r="G438" s="212"/>
      <c r="H438" s="212"/>
      <c r="J438" s="212"/>
      <c r="K438" s="212"/>
    </row>
    <row r="439" spans="1:11" ht="12.75" customHeight="1">
      <c r="A439" s="212"/>
      <c r="B439" s="212"/>
      <c r="C439" s="212"/>
      <c r="D439" s="212"/>
      <c r="E439" s="212"/>
      <c r="F439" s="212"/>
      <c r="G439" s="212"/>
      <c r="H439" s="212"/>
      <c r="J439" s="212"/>
      <c r="K439" s="212"/>
    </row>
    <row r="440" spans="1:11" ht="12.75" customHeight="1">
      <c r="A440" s="212"/>
      <c r="B440" s="212"/>
      <c r="C440" s="212"/>
      <c r="D440" s="212"/>
      <c r="E440" s="212"/>
      <c r="F440" s="212"/>
      <c r="G440" s="212"/>
      <c r="H440" s="212"/>
      <c r="J440" s="212"/>
      <c r="K440" s="212"/>
    </row>
    <row r="441" spans="1:11" ht="12.75" customHeight="1">
      <c r="A441" s="212"/>
      <c r="B441" s="212"/>
      <c r="C441" s="212"/>
      <c r="D441" s="212"/>
      <c r="E441" s="212"/>
      <c r="F441" s="212"/>
      <c r="G441" s="212"/>
      <c r="H441" s="212"/>
      <c r="J441" s="212"/>
      <c r="K441" s="212"/>
    </row>
    <row r="442" spans="1:11" ht="12.75" customHeight="1">
      <c r="A442" s="212"/>
      <c r="B442" s="212"/>
      <c r="C442" s="212"/>
      <c r="D442" s="212"/>
      <c r="E442" s="212"/>
      <c r="F442" s="212"/>
      <c r="G442" s="212"/>
      <c r="H442" s="212"/>
      <c r="J442" s="212"/>
      <c r="K442" s="212"/>
    </row>
    <row r="443" spans="1:11" ht="12.75" customHeight="1">
      <c r="A443" s="212"/>
      <c r="B443" s="212"/>
      <c r="C443" s="212"/>
      <c r="D443" s="212"/>
      <c r="E443" s="212"/>
      <c r="F443" s="212"/>
      <c r="G443" s="212"/>
      <c r="H443" s="212"/>
      <c r="J443" s="212"/>
      <c r="K443" s="212"/>
    </row>
    <row r="444" spans="1:11" ht="12.75" customHeight="1">
      <c r="A444" s="212"/>
      <c r="B444" s="212"/>
      <c r="C444" s="212"/>
      <c r="D444" s="212"/>
      <c r="E444" s="212"/>
      <c r="F444" s="212"/>
      <c r="G444" s="212"/>
      <c r="H444" s="212"/>
      <c r="J444" s="212"/>
      <c r="K444" s="212"/>
    </row>
    <row r="445" spans="1:11" ht="12.75" customHeight="1">
      <c r="A445" s="212"/>
      <c r="B445" s="212"/>
      <c r="C445" s="212"/>
      <c r="D445" s="212"/>
      <c r="E445" s="212"/>
      <c r="F445" s="212"/>
      <c r="G445" s="212"/>
      <c r="H445" s="212"/>
      <c r="J445" s="212"/>
      <c r="K445" s="212"/>
    </row>
    <row r="446" spans="1:11" ht="12.75" customHeight="1">
      <c r="A446" s="212"/>
      <c r="B446" s="212"/>
      <c r="C446" s="212"/>
      <c r="D446" s="212"/>
      <c r="E446" s="212"/>
      <c r="F446" s="212"/>
      <c r="G446" s="212"/>
      <c r="H446" s="212"/>
      <c r="J446" s="212"/>
      <c r="K446" s="212"/>
    </row>
    <row r="447" spans="1:11" ht="12.75" customHeight="1">
      <c r="A447" s="212"/>
      <c r="B447" s="212"/>
      <c r="C447" s="212"/>
      <c r="D447" s="212"/>
      <c r="E447" s="212"/>
      <c r="F447" s="212"/>
      <c r="G447" s="212"/>
      <c r="H447" s="212"/>
      <c r="J447" s="212"/>
      <c r="K447" s="212"/>
    </row>
    <row r="448" spans="1:11" ht="12.75" customHeight="1">
      <c r="A448" s="212"/>
      <c r="B448" s="212"/>
      <c r="C448" s="212"/>
      <c r="D448" s="212"/>
      <c r="E448" s="212"/>
      <c r="F448" s="212"/>
      <c r="G448" s="212"/>
      <c r="H448" s="212"/>
      <c r="J448" s="212"/>
      <c r="K448" s="212"/>
    </row>
    <row r="449" spans="1:11" ht="12.75" customHeight="1">
      <c r="A449" s="212"/>
      <c r="B449" s="212"/>
      <c r="C449" s="212"/>
      <c r="D449" s="212"/>
      <c r="E449" s="212"/>
      <c r="F449" s="212"/>
      <c r="G449" s="212"/>
      <c r="H449" s="212"/>
      <c r="J449" s="212"/>
      <c r="K449" s="212"/>
    </row>
    <row r="450" spans="1:11" ht="12.75" customHeight="1">
      <c r="A450" s="212"/>
      <c r="B450" s="212"/>
      <c r="C450" s="212"/>
      <c r="D450" s="212"/>
      <c r="E450" s="212"/>
      <c r="F450" s="212"/>
      <c r="G450" s="212"/>
      <c r="H450" s="212"/>
      <c r="J450" s="212"/>
      <c r="K450" s="212"/>
    </row>
    <row r="451" spans="1:11" ht="12.75" customHeight="1">
      <c r="A451" s="212"/>
      <c r="B451" s="212"/>
      <c r="C451" s="212"/>
      <c r="D451" s="212"/>
      <c r="E451" s="212"/>
      <c r="F451" s="212"/>
      <c r="G451" s="212"/>
      <c r="H451" s="212"/>
      <c r="J451" s="212"/>
      <c r="K451" s="212"/>
    </row>
    <row r="452" spans="1:11" ht="12.75" customHeight="1">
      <c r="A452" s="212"/>
      <c r="B452" s="212"/>
      <c r="C452" s="212"/>
      <c r="D452" s="212"/>
      <c r="E452" s="212"/>
      <c r="F452" s="212"/>
      <c r="G452" s="212"/>
      <c r="H452" s="212"/>
      <c r="J452" s="212"/>
      <c r="K452" s="212"/>
    </row>
    <row r="453" spans="1:11" ht="12.75" customHeight="1">
      <c r="A453" s="212"/>
      <c r="B453" s="212"/>
      <c r="C453" s="212"/>
      <c r="D453" s="212"/>
      <c r="E453" s="212"/>
      <c r="F453" s="212"/>
      <c r="G453" s="212"/>
      <c r="H453" s="212"/>
      <c r="J453" s="212"/>
      <c r="K453" s="212"/>
    </row>
    <row r="454" spans="1:11" ht="12.75" customHeight="1">
      <c r="A454" s="212"/>
      <c r="B454" s="212"/>
      <c r="C454" s="212"/>
      <c r="D454" s="212"/>
      <c r="E454" s="212"/>
      <c r="F454" s="212"/>
      <c r="G454" s="212"/>
      <c r="H454" s="212"/>
      <c r="J454" s="212"/>
      <c r="K454" s="212"/>
    </row>
    <row r="455" spans="1:11" ht="12.75" customHeight="1">
      <c r="A455" s="212"/>
      <c r="B455" s="212"/>
      <c r="C455" s="212"/>
      <c r="D455" s="212"/>
      <c r="E455" s="212"/>
      <c r="F455" s="212"/>
      <c r="G455" s="212"/>
      <c r="H455" s="212"/>
      <c r="J455" s="212"/>
      <c r="K455" s="212"/>
    </row>
    <row r="456" spans="1:11" ht="12.75" customHeight="1">
      <c r="A456" s="212"/>
      <c r="B456" s="212"/>
      <c r="C456" s="212"/>
      <c r="D456" s="212"/>
      <c r="E456" s="212"/>
      <c r="F456" s="212"/>
      <c r="G456" s="212"/>
      <c r="H456" s="212"/>
      <c r="J456" s="212"/>
      <c r="K456" s="212"/>
    </row>
    <row r="457" spans="1:11" ht="12.75" customHeight="1">
      <c r="A457" s="212"/>
      <c r="B457" s="212"/>
      <c r="C457" s="212"/>
      <c r="D457" s="212"/>
      <c r="E457" s="212"/>
      <c r="F457" s="212"/>
      <c r="G457" s="212"/>
      <c r="H457" s="212"/>
      <c r="J457" s="212"/>
      <c r="K457" s="212"/>
    </row>
    <row r="458" spans="1:11" ht="12.75" customHeight="1">
      <c r="A458" s="212"/>
      <c r="B458" s="212"/>
      <c r="C458" s="212"/>
      <c r="D458" s="212"/>
      <c r="E458" s="212"/>
      <c r="F458" s="212"/>
      <c r="G458" s="212"/>
      <c r="H458" s="212"/>
      <c r="J458" s="212"/>
      <c r="K458" s="212"/>
    </row>
    <row r="459" spans="1:11" ht="12.75" customHeight="1">
      <c r="A459" s="212"/>
      <c r="B459" s="212"/>
      <c r="C459" s="212"/>
      <c r="D459" s="212"/>
      <c r="E459" s="212"/>
      <c r="F459" s="212"/>
      <c r="G459" s="212"/>
      <c r="H459" s="212"/>
      <c r="J459" s="212"/>
      <c r="K459" s="212"/>
    </row>
    <row r="460" spans="1:11" ht="12.75" customHeight="1">
      <c r="A460" s="212"/>
      <c r="B460" s="212"/>
      <c r="C460" s="212"/>
      <c r="D460" s="212"/>
      <c r="E460" s="212"/>
      <c r="F460" s="212"/>
      <c r="G460" s="212"/>
      <c r="H460" s="212"/>
      <c r="J460" s="212"/>
      <c r="K460" s="212"/>
    </row>
    <row r="461" spans="1:11" ht="12.75" customHeight="1">
      <c r="A461" s="212"/>
      <c r="B461" s="212"/>
      <c r="C461" s="212"/>
      <c r="D461" s="212"/>
      <c r="E461" s="212"/>
      <c r="F461" s="212"/>
      <c r="G461" s="212"/>
      <c r="H461" s="212"/>
      <c r="J461" s="212"/>
      <c r="K461" s="212"/>
    </row>
    <row r="462" spans="1:11" ht="12.75" customHeight="1">
      <c r="A462" s="212"/>
      <c r="B462" s="212"/>
      <c r="C462" s="212"/>
      <c r="D462" s="212"/>
      <c r="E462" s="212"/>
      <c r="F462" s="212"/>
      <c r="G462" s="212"/>
      <c r="H462" s="212"/>
      <c r="J462" s="212"/>
      <c r="K462" s="212"/>
    </row>
    <row r="463" spans="1:11" ht="12.75" customHeight="1">
      <c r="A463" s="212"/>
      <c r="B463" s="212"/>
      <c r="C463" s="212"/>
      <c r="D463" s="212"/>
      <c r="E463" s="212"/>
      <c r="F463" s="212"/>
      <c r="G463" s="212"/>
      <c r="H463" s="212"/>
      <c r="J463" s="212"/>
      <c r="K463" s="212"/>
    </row>
    <row r="464" spans="1:11" ht="12.75" customHeight="1">
      <c r="A464" s="212"/>
      <c r="B464" s="212"/>
      <c r="C464" s="212"/>
      <c r="D464" s="212"/>
      <c r="E464" s="212"/>
      <c r="F464" s="212"/>
      <c r="G464" s="212"/>
      <c r="H464" s="212"/>
      <c r="J464" s="212"/>
      <c r="K464" s="212"/>
    </row>
    <row r="465" spans="1:11" ht="12.75" customHeight="1">
      <c r="A465" s="212"/>
      <c r="B465" s="212"/>
      <c r="C465" s="212"/>
      <c r="D465" s="212"/>
      <c r="E465" s="212"/>
      <c r="F465" s="212"/>
      <c r="G465" s="212"/>
      <c r="H465" s="212"/>
      <c r="J465" s="212"/>
      <c r="K465" s="212"/>
    </row>
    <row r="466" spans="1:11" ht="12.75" customHeight="1">
      <c r="A466" s="212"/>
      <c r="B466" s="212"/>
      <c r="C466" s="212"/>
      <c r="D466" s="212"/>
      <c r="E466" s="212"/>
      <c r="F466" s="212"/>
      <c r="G466" s="212"/>
      <c r="H466" s="212"/>
      <c r="J466" s="212"/>
      <c r="K466" s="212"/>
    </row>
    <row r="467" spans="1:11" ht="12.75" customHeight="1">
      <c r="A467" s="212"/>
      <c r="B467" s="212"/>
      <c r="C467" s="212"/>
      <c r="D467" s="212"/>
      <c r="E467" s="212"/>
      <c r="F467" s="212"/>
      <c r="G467" s="212"/>
      <c r="H467" s="212"/>
      <c r="J467" s="212"/>
      <c r="K467" s="212"/>
    </row>
    <row r="468" spans="1:11" ht="12.75" customHeight="1">
      <c r="A468" s="212"/>
      <c r="B468" s="212"/>
      <c r="C468" s="212"/>
      <c r="D468" s="212"/>
      <c r="E468" s="212"/>
      <c r="F468" s="212"/>
      <c r="G468" s="212"/>
      <c r="H468" s="212"/>
      <c r="J468" s="212"/>
      <c r="K468" s="212"/>
    </row>
    <row r="469" spans="1:11" ht="12.75" customHeight="1">
      <c r="A469" s="212"/>
      <c r="B469" s="212"/>
      <c r="C469" s="212"/>
      <c r="D469" s="212"/>
      <c r="E469" s="212"/>
      <c r="F469" s="212"/>
      <c r="G469" s="212"/>
      <c r="H469" s="212"/>
      <c r="J469" s="212"/>
      <c r="K469" s="212"/>
    </row>
    <row r="470" spans="1:11" ht="12.75" customHeight="1">
      <c r="A470" s="212"/>
      <c r="B470" s="212"/>
      <c r="C470" s="212"/>
      <c r="D470" s="212"/>
      <c r="E470" s="212"/>
      <c r="F470" s="212"/>
      <c r="G470" s="212"/>
      <c r="H470" s="212"/>
      <c r="J470" s="212"/>
      <c r="K470" s="212"/>
    </row>
    <row r="471" spans="1:11" ht="12.75" customHeight="1">
      <c r="A471" s="212"/>
      <c r="B471" s="212"/>
      <c r="C471" s="212"/>
      <c r="D471" s="212"/>
      <c r="E471" s="212"/>
      <c r="F471" s="212"/>
      <c r="G471" s="212"/>
      <c r="H471" s="212"/>
      <c r="J471" s="212"/>
      <c r="K471" s="212"/>
    </row>
    <row r="472" spans="1:11" ht="12.75" customHeight="1">
      <c r="A472" s="212"/>
      <c r="B472" s="212"/>
      <c r="C472" s="212"/>
      <c r="D472" s="212"/>
      <c r="E472" s="212"/>
      <c r="F472" s="212"/>
      <c r="G472" s="212"/>
      <c r="H472" s="212"/>
      <c r="J472" s="212"/>
      <c r="K472" s="212"/>
    </row>
    <row r="473" spans="1:11" ht="12.75" customHeight="1">
      <c r="A473" s="212"/>
      <c r="B473" s="212"/>
      <c r="C473" s="212"/>
      <c r="D473" s="212"/>
      <c r="E473" s="212"/>
      <c r="F473" s="212"/>
      <c r="G473" s="212"/>
      <c r="H473" s="212"/>
      <c r="J473" s="212"/>
      <c r="K473" s="212"/>
    </row>
    <row r="474" spans="1:11" ht="12.75" customHeight="1">
      <c r="A474" s="212"/>
      <c r="B474" s="212"/>
      <c r="C474" s="212"/>
      <c r="D474" s="212"/>
      <c r="E474" s="212"/>
      <c r="F474" s="212"/>
      <c r="G474" s="212"/>
      <c r="H474" s="212"/>
      <c r="J474" s="212"/>
      <c r="K474" s="212"/>
    </row>
    <row r="475" spans="1:11" ht="12.75" customHeight="1">
      <c r="A475" s="212"/>
      <c r="B475" s="212"/>
      <c r="C475" s="212"/>
      <c r="D475" s="212"/>
      <c r="E475" s="212"/>
      <c r="F475" s="212"/>
      <c r="G475" s="212"/>
      <c r="H475" s="212"/>
      <c r="J475" s="212"/>
      <c r="K475" s="212"/>
    </row>
    <row r="476" spans="1:11" ht="12.75" customHeight="1">
      <c r="A476" s="212"/>
      <c r="B476" s="212"/>
      <c r="C476" s="212"/>
      <c r="D476" s="212"/>
      <c r="E476" s="212"/>
      <c r="F476" s="212"/>
      <c r="G476" s="212"/>
      <c r="H476" s="212"/>
      <c r="J476" s="212"/>
      <c r="K476" s="212"/>
    </row>
    <row r="477" spans="1:11" ht="12.75" customHeight="1">
      <c r="A477" s="212"/>
      <c r="B477" s="212"/>
      <c r="C477" s="212"/>
      <c r="D477" s="212"/>
      <c r="E477" s="212"/>
      <c r="F477" s="212"/>
      <c r="G477" s="212"/>
      <c r="H477" s="212"/>
      <c r="J477" s="212"/>
      <c r="K477" s="212"/>
    </row>
    <row r="478" spans="1:11" ht="12.75" customHeight="1">
      <c r="A478" s="212"/>
      <c r="B478" s="212"/>
      <c r="C478" s="212"/>
      <c r="D478" s="212"/>
      <c r="E478" s="212"/>
      <c r="F478" s="212"/>
      <c r="G478" s="212"/>
      <c r="H478" s="212"/>
      <c r="J478" s="212"/>
      <c r="K478" s="212"/>
    </row>
    <row r="479" spans="1:11" ht="12.75" customHeight="1">
      <c r="A479" s="212"/>
      <c r="B479" s="212"/>
      <c r="C479" s="212"/>
      <c r="D479" s="212"/>
      <c r="E479" s="212"/>
      <c r="F479" s="212"/>
      <c r="G479" s="212"/>
      <c r="H479" s="212"/>
      <c r="J479" s="212"/>
      <c r="K479" s="212"/>
    </row>
    <row r="480" spans="1:11" ht="12.75" customHeight="1">
      <c r="A480" s="212"/>
      <c r="B480" s="212"/>
      <c r="C480" s="212"/>
      <c r="D480" s="212"/>
      <c r="E480" s="212"/>
      <c r="F480" s="212"/>
      <c r="G480" s="212"/>
      <c r="H480" s="212"/>
      <c r="J480" s="212"/>
      <c r="K480" s="212"/>
    </row>
    <row r="481" spans="1:11" ht="12.75" customHeight="1">
      <c r="A481" s="212"/>
      <c r="B481" s="212"/>
      <c r="C481" s="212"/>
      <c r="D481" s="212"/>
      <c r="E481" s="212"/>
      <c r="F481" s="212"/>
      <c r="G481" s="212"/>
      <c r="H481" s="212"/>
      <c r="J481" s="212"/>
      <c r="K481" s="212"/>
    </row>
    <row r="482" spans="1:11" ht="12.75" customHeight="1">
      <c r="A482" s="212"/>
      <c r="B482" s="212"/>
      <c r="C482" s="212"/>
      <c r="D482" s="212"/>
      <c r="E482" s="212"/>
      <c r="F482" s="212"/>
      <c r="G482" s="212"/>
      <c r="H482" s="212"/>
      <c r="J482" s="212"/>
      <c r="K482" s="212"/>
    </row>
    <row r="483" spans="1:11" ht="12.75" customHeight="1">
      <c r="A483" s="212"/>
      <c r="B483" s="212"/>
      <c r="C483" s="212"/>
      <c r="D483" s="212"/>
      <c r="E483" s="212"/>
      <c r="F483" s="212"/>
      <c r="G483" s="212"/>
      <c r="H483" s="212"/>
      <c r="J483" s="212"/>
      <c r="K483" s="212"/>
    </row>
    <row r="484" spans="1:11" ht="12.75" customHeight="1">
      <c r="A484" s="212"/>
      <c r="B484" s="212"/>
      <c r="C484" s="212"/>
      <c r="D484" s="212"/>
      <c r="E484" s="212"/>
      <c r="F484" s="212"/>
      <c r="G484" s="212"/>
      <c r="H484" s="212"/>
      <c r="J484" s="212"/>
      <c r="K484" s="212"/>
    </row>
    <row r="485" spans="1:11" ht="12.75" customHeight="1">
      <c r="A485" s="212"/>
      <c r="B485" s="212"/>
      <c r="C485" s="212"/>
      <c r="D485" s="212"/>
      <c r="E485" s="212"/>
      <c r="F485" s="212"/>
      <c r="G485" s="212"/>
      <c r="H485" s="212"/>
      <c r="J485" s="212"/>
      <c r="K485" s="212"/>
    </row>
    <row r="486" spans="1:11" ht="12.75" customHeight="1">
      <c r="A486" s="212"/>
      <c r="B486" s="212"/>
      <c r="C486" s="212"/>
      <c r="D486" s="212"/>
      <c r="E486" s="212"/>
      <c r="F486" s="212"/>
      <c r="G486" s="212"/>
      <c r="H486" s="212"/>
      <c r="J486" s="212"/>
      <c r="K486" s="212"/>
    </row>
    <row r="487" spans="1:11" ht="12.75" customHeight="1">
      <c r="A487" s="212"/>
      <c r="B487" s="212"/>
      <c r="C487" s="212"/>
      <c r="D487" s="212"/>
      <c r="E487" s="212"/>
      <c r="F487" s="212"/>
      <c r="G487" s="212"/>
      <c r="H487" s="212"/>
      <c r="J487" s="212"/>
      <c r="K487" s="212"/>
    </row>
    <row r="488" spans="1:11" ht="12.75" customHeight="1">
      <c r="A488" s="212"/>
      <c r="B488" s="212"/>
      <c r="C488" s="212"/>
      <c r="D488" s="212"/>
      <c r="E488" s="212"/>
      <c r="F488" s="212"/>
      <c r="G488" s="212"/>
      <c r="H488" s="212"/>
      <c r="J488" s="212"/>
      <c r="K488" s="212"/>
    </row>
    <row r="489" spans="1:11" ht="12.75" customHeight="1">
      <c r="A489" s="212"/>
      <c r="B489" s="212"/>
      <c r="C489" s="212"/>
      <c r="D489" s="212"/>
      <c r="E489" s="212"/>
      <c r="F489" s="212"/>
      <c r="G489" s="212"/>
      <c r="H489" s="212"/>
      <c r="J489" s="212"/>
      <c r="K489" s="212"/>
    </row>
    <row r="490" spans="1:11" ht="12.75" customHeight="1">
      <c r="A490" s="212"/>
      <c r="B490" s="212"/>
      <c r="C490" s="212"/>
      <c r="D490" s="212"/>
      <c r="E490" s="212"/>
      <c r="F490" s="212"/>
      <c r="G490" s="212"/>
      <c r="H490" s="212"/>
      <c r="J490" s="212"/>
      <c r="K490" s="212"/>
    </row>
    <row r="491" spans="1:11" ht="12.75" customHeight="1">
      <c r="A491" s="212"/>
      <c r="B491" s="212"/>
      <c r="C491" s="212"/>
      <c r="D491" s="212"/>
      <c r="E491" s="212"/>
      <c r="F491" s="212"/>
      <c r="G491" s="212"/>
      <c r="H491" s="212"/>
      <c r="J491" s="212"/>
      <c r="K491" s="212"/>
    </row>
    <row r="492" spans="1:11" ht="12.75" customHeight="1">
      <c r="A492" s="212"/>
      <c r="B492" s="212"/>
      <c r="C492" s="212"/>
      <c r="D492" s="212"/>
      <c r="E492" s="212"/>
      <c r="F492" s="212"/>
      <c r="G492" s="212"/>
      <c r="H492" s="212"/>
      <c r="J492" s="212"/>
      <c r="K492" s="212"/>
    </row>
    <row r="493" spans="1:11" ht="12.75" customHeight="1">
      <c r="A493" s="212"/>
      <c r="B493" s="212"/>
      <c r="C493" s="212"/>
      <c r="D493" s="212"/>
      <c r="E493" s="212"/>
      <c r="F493" s="212"/>
      <c r="G493" s="212"/>
      <c r="H493" s="212"/>
      <c r="J493" s="212"/>
      <c r="K493" s="212"/>
    </row>
    <row r="494" spans="1:11" ht="12.75" customHeight="1">
      <c r="A494" s="212"/>
      <c r="B494" s="212"/>
      <c r="C494" s="212"/>
      <c r="D494" s="212"/>
      <c r="E494" s="212"/>
      <c r="F494" s="212"/>
      <c r="G494" s="212"/>
      <c r="H494" s="212"/>
      <c r="J494" s="212"/>
      <c r="K494" s="212"/>
    </row>
    <row r="495" spans="1:11" ht="12.75" customHeight="1">
      <c r="A495" s="212"/>
      <c r="B495" s="212"/>
      <c r="C495" s="212"/>
      <c r="D495" s="212"/>
      <c r="E495" s="212"/>
      <c r="F495" s="212"/>
      <c r="G495" s="212"/>
      <c r="H495" s="212"/>
      <c r="J495" s="212"/>
      <c r="K495" s="212"/>
    </row>
    <row r="496" spans="1:11" ht="12.75" customHeight="1">
      <c r="A496" s="212"/>
      <c r="B496" s="212"/>
      <c r="C496" s="212"/>
      <c r="D496" s="212"/>
      <c r="E496" s="212"/>
      <c r="F496" s="212"/>
      <c r="G496" s="212"/>
      <c r="H496" s="212"/>
      <c r="J496" s="212"/>
      <c r="K496" s="212"/>
    </row>
    <row r="497" spans="1:11" ht="12.75" customHeight="1">
      <c r="A497" s="212"/>
      <c r="B497" s="212"/>
      <c r="C497" s="212"/>
      <c r="D497" s="212"/>
      <c r="E497" s="212"/>
      <c r="F497" s="212"/>
      <c r="G497" s="212"/>
      <c r="H497" s="212"/>
      <c r="J497" s="212"/>
      <c r="K497" s="212"/>
    </row>
    <row r="498" spans="1:11" ht="12.75" customHeight="1">
      <c r="A498" s="212"/>
      <c r="B498" s="212"/>
      <c r="C498" s="212"/>
      <c r="D498" s="212"/>
      <c r="E498" s="212"/>
      <c r="F498" s="212"/>
      <c r="G498" s="212"/>
      <c r="H498" s="212"/>
      <c r="J498" s="212"/>
      <c r="K498" s="212"/>
    </row>
    <row r="499" spans="1:11" ht="12.75" customHeight="1">
      <c r="A499" s="212"/>
      <c r="B499" s="212"/>
      <c r="C499" s="212"/>
      <c r="D499" s="212"/>
      <c r="E499" s="212"/>
      <c r="F499" s="212"/>
      <c r="G499" s="212"/>
      <c r="H499" s="212"/>
      <c r="J499" s="212"/>
      <c r="K499" s="212"/>
    </row>
    <row r="500" spans="1:11" ht="12.75" customHeight="1">
      <c r="A500" s="212"/>
      <c r="B500" s="212"/>
      <c r="C500" s="212"/>
      <c r="D500" s="212"/>
      <c r="E500" s="212"/>
      <c r="F500" s="212"/>
      <c r="G500" s="212"/>
      <c r="H500" s="212"/>
      <c r="J500" s="212"/>
      <c r="K500" s="212"/>
    </row>
    <row r="501" spans="1:11" ht="12.75" customHeight="1">
      <c r="A501" s="212"/>
      <c r="B501" s="212"/>
      <c r="C501" s="212"/>
      <c r="D501" s="212"/>
      <c r="E501" s="212"/>
      <c r="F501" s="212"/>
      <c r="G501" s="212"/>
      <c r="H501" s="212"/>
      <c r="J501" s="212"/>
      <c r="K501" s="212"/>
    </row>
    <row r="502" spans="1:11" ht="12.75" customHeight="1">
      <c r="A502" s="212"/>
      <c r="B502" s="212"/>
      <c r="C502" s="212"/>
      <c r="D502" s="212"/>
      <c r="E502" s="212"/>
      <c r="F502" s="212"/>
      <c r="G502" s="212"/>
      <c r="H502" s="212"/>
      <c r="J502" s="212"/>
      <c r="K502" s="212"/>
    </row>
    <row r="503" spans="1:11" ht="12.75" customHeight="1">
      <c r="A503" s="212"/>
      <c r="B503" s="212"/>
      <c r="C503" s="212"/>
      <c r="D503" s="212"/>
      <c r="E503" s="212"/>
      <c r="F503" s="212"/>
      <c r="G503" s="212"/>
      <c r="H503" s="212"/>
      <c r="J503" s="212"/>
      <c r="K503" s="212"/>
    </row>
    <row r="504" spans="1:11" ht="12.75" customHeight="1">
      <c r="A504" s="212"/>
      <c r="B504" s="212"/>
      <c r="C504" s="212"/>
      <c r="D504" s="212"/>
      <c r="E504" s="212"/>
      <c r="F504" s="212"/>
      <c r="G504" s="212"/>
      <c r="H504" s="212"/>
      <c r="J504" s="212"/>
      <c r="K504" s="212"/>
    </row>
    <row r="505" spans="1:11" ht="12.75" customHeight="1">
      <c r="A505" s="212"/>
      <c r="B505" s="212"/>
      <c r="C505" s="212"/>
      <c r="D505" s="212"/>
      <c r="E505" s="212"/>
      <c r="F505" s="212"/>
      <c r="G505" s="212"/>
      <c r="H505" s="212"/>
      <c r="J505" s="212"/>
      <c r="K505" s="212"/>
    </row>
    <row r="506" spans="1:11" ht="12.75" customHeight="1">
      <c r="A506" s="212"/>
      <c r="B506" s="212"/>
      <c r="C506" s="212"/>
      <c r="D506" s="212"/>
      <c r="E506" s="212"/>
      <c r="F506" s="212"/>
      <c r="G506" s="212"/>
      <c r="H506" s="212"/>
      <c r="J506" s="212"/>
      <c r="K506" s="212"/>
    </row>
    <row r="507" spans="1:11" ht="12.75" customHeight="1">
      <c r="A507" s="212"/>
      <c r="B507" s="212"/>
      <c r="C507" s="212"/>
      <c r="D507" s="212"/>
      <c r="E507" s="212"/>
      <c r="F507" s="212"/>
      <c r="G507" s="212"/>
      <c r="H507" s="212"/>
      <c r="J507" s="212"/>
      <c r="K507" s="212"/>
    </row>
    <row r="508" spans="1:11" ht="12.75" customHeight="1">
      <c r="A508" s="212"/>
      <c r="B508" s="212"/>
      <c r="C508" s="212"/>
      <c r="D508" s="212"/>
      <c r="E508" s="212"/>
      <c r="F508" s="212"/>
      <c r="G508" s="212"/>
      <c r="H508" s="212"/>
      <c r="J508" s="212"/>
      <c r="K508" s="212"/>
    </row>
    <row r="509" spans="1:11" ht="12.75" customHeight="1">
      <c r="A509" s="212"/>
      <c r="B509" s="212"/>
      <c r="C509" s="212"/>
      <c r="D509" s="212"/>
      <c r="E509" s="212"/>
      <c r="F509" s="212"/>
      <c r="G509" s="212"/>
      <c r="H509" s="212"/>
      <c r="J509" s="212"/>
      <c r="K509" s="212"/>
    </row>
    <row r="510" spans="1:11" ht="12.75" customHeight="1">
      <c r="A510" s="212"/>
      <c r="B510" s="212"/>
      <c r="C510" s="212"/>
      <c r="D510" s="212"/>
      <c r="E510" s="212"/>
      <c r="F510" s="212"/>
      <c r="G510" s="212"/>
      <c r="H510" s="212"/>
      <c r="J510" s="212"/>
      <c r="K510" s="212"/>
    </row>
    <row r="511" spans="1:11" ht="12.75" customHeight="1">
      <c r="A511" s="212"/>
      <c r="B511" s="212"/>
      <c r="C511" s="212"/>
      <c r="D511" s="212"/>
      <c r="E511" s="212"/>
      <c r="F511" s="212"/>
      <c r="G511" s="212"/>
      <c r="H511" s="212"/>
      <c r="J511" s="212"/>
      <c r="K511" s="212"/>
    </row>
    <row r="512" spans="1:11" ht="12.75" customHeight="1">
      <c r="A512" s="212"/>
      <c r="B512" s="212"/>
      <c r="C512" s="212"/>
      <c r="D512" s="212"/>
      <c r="E512" s="212"/>
      <c r="F512" s="212"/>
      <c r="G512" s="212"/>
      <c r="H512" s="212"/>
      <c r="J512" s="212"/>
      <c r="K512" s="212"/>
    </row>
    <row r="513" spans="1:11" ht="12.75" customHeight="1">
      <c r="A513" s="212"/>
      <c r="B513" s="212"/>
      <c r="C513" s="212"/>
      <c r="D513" s="212"/>
      <c r="E513" s="212"/>
      <c r="F513" s="212"/>
      <c r="G513" s="212"/>
      <c r="H513" s="212"/>
      <c r="J513" s="212"/>
      <c r="K513" s="212"/>
    </row>
    <row r="514" spans="1:11" ht="12.75" customHeight="1">
      <c r="A514" s="212"/>
      <c r="B514" s="212"/>
      <c r="C514" s="212"/>
      <c r="D514" s="212"/>
      <c r="E514" s="212"/>
      <c r="F514" s="212"/>
      <c r="G514" s="212"/>
      <c r="H514" s="212"/>
      <c r="J514" s="212"/>
      <c r="K514" s="212"/>
    </row>
    <row r="515" spans="1:11" ht="12.75" customHeight="1">
      <c r="A515" s="212"/>
      <c r="B515" s="212"/>
      <c r="C515" s="212"/>
      <c r="D515" s="212"/>
      <c r="E515" s="212"/>
      <c r="F515" s="212"/>
      <c r="G515" s="212"/>
      <c r="H515" s="212"/>
      <c r="J515" s="212"/>
      <c r="K515" s="212"/>
    </row>
    <row r="516" spans="1:11" ht="12.75" customHeight="1">
      <c r="A516" s="212"/>
      <c r="B516" s="212"/>
      <c r="C516" s="212"/>
      <c r="D516" s="212"/>
      <c r="E516" s="212"/>
      <c r="F516" s="212"/>
      <c r="G516" s="212"/>
      <c r="H516" s="212"/>
      <c r="J516" s="212"/>
      <c r="K516" s="212"/>
    </row>
    <row r="517" spans="1:11" ht="12.75" customHeight="1">
      <c r="A517" s="212"/>
      <c r="B517" s="212"/>
      <c r="C517" s="212"/>
      <c r="D517" s="212"/>
      <c r="E517" s="212"/>
      <c r="F517" s="212"/>
      <c r="G517" s="212"/>
      <c r="H517" s="212"/>
      <c r="J517" s="212"/>
      <c r="K517" s="212"/>
    </row>
    <row r="518" spans="1:11" ht="12.75" customHeight="1">
      <c r="A518" s="212"/>
      <c r="B518" s="212"/>
      <c r="C518" s="212"/>
      <c r="D518" s="212"/>
      <c r="E518" s="212"/>
      <c r="F518" s="212"/>
      <c r="G518" s="212"/>
      <c r="H518" s="212"/>
      <c r="J518" s="212"/>
      <c r="K518" s="212"/>
    </row>
    <row r="519" spans="1:11" ht="12.75" customHeight="1">
      <c r="A519" s="212"/>
      <c r="B519" s="212"/>
      <c r="C519" s="212"/>
      <c r="D519" s="212"/>
      <c r="E519" s="212"/>
      <c r="F519" s="212"/>
      <c r="G519" s="212"/>
      <c r="H519" s="212"/>
      <c r="J519" s="212"/>
      <c r="K519" s="212"/>
    </row>
    <row r="520" spans="1:11" ht="12.75" customHeight="1">
      <c r="A520" s="212"/>
      <c r="B520" s="212"/>
      <c r="C520" s="212"/>
      <c r="D520" s="212"/>
      <c r="E520" s="212"/>
      <c r="F520" s="212"/>
      <c r="G520" s="212"/>
      <c r="H520" s="212"/>
      <c r="J520" s="212"/>
      <c r="K520" s="212"/>
    </row>
    <row r="521" spans="1:11" ht="12.75" customHeight="1">
      <c r="A521" s="212"/>
      <c r="B521" s="212"/>
      <c r="C521" s="212"/>
      <c r="D521" s="212"/>
      <c r="E521" s="212"/>
      <c r="F521" s="212"/>
      <c r="G521" s="212"/>
      <c r="H521" s="212"/>
      <c r="J521" s="212"/>
      <c r="K521" s="212"/>
    </row>
    <row r="522" spans="1:11" ht="12.75" customHeight="1">
      <c r="A522" s="212"/>
      <c r="B522" s="212"/>
      <c r="C522" s="212"/>
      <c r="D522" s="212"/>
      <c r="E522" s="212"/>
      <c r="F522" s="212"/>
      <c r="G522" s="212"/>
      <c r="H522" s="212"/>
      <c r="J522" s="212"/>
      <c r="K522" s="212"/>
    </row>
    <row r="523" spans="1:11" ht="12.75" customHeight="1">
      <c r="A523" s="212"/>
      <c r="B523" s="212"/>
      <c r="C523" s="212"/>
      <c r="D523" s="212"/>
      <c r="E523" s="212"/>
      <c r="F523" s="212"/>
      <c r="G523" s="212"/>
      <c r="H523" s="212"/>
      <c r="J523" s="212"/>
      <c r="K523" s="212"/>
    </row>
    <row r="524" spans="1:11" ht="12.75" customHeight="1">
      <c r="A524" s="212"/>
      <c r="B524" s="212"/>
      <c r="C524" s="212"/>
      <c r="D524" s="212"/>
      <c r="E524" s="212"/>
      <c r="F524" s="212"/>
      <c r="G524" s="212"/>
      <c r="H524" s="212"/>
      <c r="J524" s="212"/>
      <c r="K524" s="212"/>
    </row>
    <row r="525" spans="1:11" ht="12.75" customHeight="1">
      <c r="A525" s="212"/>
      <c r="B525" s="212"/>
      <c r="C525" s="212"/>
      <c r="D525" s="212"/>
      <c r="E525" s="212"/>
      <c r="F525" s="212"/>
      <c r="G525" s="212"/>
      <c r="H525" s="212"/>
      <c r="J525" s="212"/>
      <c r="K525" s="212"/>
    </row>
    <row r="526" spans="1:11" ht="12.75" customHeight="1">
      <c r="A526" s="212"/>
      <c r="B526" s="212"/>
      <c r="C526" s="212"/>
      <c r="D526" s="212"/>
      <c r="E526" s="212"/>
      <c r="F526" s="212"/>
      <c r="G526" s="212"/>
      <c r="H526" s="212"/>
      <c r="J526" s="212"/>
      <c r="K526" s="212"/>
    </row>
    <row r="527" spans="1:11" ht="12.75" customHeight="1">
      <c r="A527" s="212"/>
      <c r="B527" s="212"/>
      <c r="C527" s="212"/>
      <c r="D527" s="212"/>
      <c r="E527" s="212"/>
      <c r="F527" s="212"/>
      <c r="G527" s="212"/>
      <c r="H527" s="212"/>
      <c r="J527" s="212"/>
      <c r="K527" s="212"/>
    </row>
    <row r="528" spans="1:11" ht="12.75" customHeight="1">
      <c r="A528" s="212"/>
      <c r="B528" s="212"/>
      <c r="C528" s="212"/>
      <c r="D528" s="212"/>
      <c r="E528" s="212"/>
      <c r="F528" s="212"/>
      <c r="G528" s="212"/>
      <c r="H528" s="212"/>
      <c r="J528" s="212"/>
      <c r="K528" s="212"/>
    </row>
    <row r="529" spans="1:11" ht="12.75" customHeight="1">
      <c r="A529" s="212"/>
      <c r="B529" s="212"/>
      <c r="C529" s="212"/>
      <c r="D529" s="212"/>
      <c r="E529" s="212"/>
      <c r="F529" s="212"/>
      <c r="G529" s="212"/>
      <c r="H529" s="212"/>
      <c r="J529" s="212"/>
      <c r="K529" s="212"/>
    </row>
    <row r="530" spans="1:11" ht="12.75" customHeight="1">
      <c r="A530" s="212"/>
      <c r="B530" s="212"/>
      <c r="C530" s="212"/>
      <c r="D530" s="212"/>
      <c r="E530" s="212"/>
      <c r="F530" s="212"/>
      <c r="G530" s="212"/>
      <c r="H530" s="212"/>
      <c r="J530" s="212"/>
      <c r="K530" s="212"/>
    </row>
    <row r="531" spans="1:11" ht="12.75" customHeight="1">
      <c r="A531" s="212"/>
      <c r="B531" s="212"/>
      <c r="C531" s="212"/>
      <c r="D531" s="212"/>
      <c r="E531" s="212"/>
      <c r="F531" s="212"/>
      <c r="G531" s="212"/>
      <c r="H531" s="212"/>
      <c r="J531" s="212"/>
      <c r="K531" s="212"/>
    </row>
    <row r="532" spans="1:11" ht="12.75" customHeight="1">
      <c r="A532" s="212"/>
      <c r="B532" s="212"/>
      <c r="C532" s="212"/>
      <c r="D532" s="212"/>
      <c r="E532" s="212"/>
      <c r="F532" s="212"/>
      <c r="G532" s="212"/>
      <c r="H532" s="212"/>
      <c r="J532" s="212"/>
      <c r="K532" s="212"/>
    </row>
    <row r="533" spans="1:11" ht="12.75" customHeight="1">
      <c r="A533" s="212"/>
      <c r="B533" s="212"/>
      <c r="C533" s="212"/>
      <c r="D533" s="212"/>
      <c r="E533" s="212"/>
      <c r="F533" s="212"/>
      <c r="G533" s="212"/>
      <c r="H533" s="212"/>
      <c r="J533" s="212"/>
      <c r="K533" s="212"/>
    </row>
    <row r="534" spans="1:11" ht="12.75" customHeight="1">
      <c r="A534" s="212"/>
      <c r="B534" s="212"/>
      <c r="C534" s="212"/>
      <c r="D534" s="212"/>
      <c r="E534" s="212"/>
      <c r="F534" s="212"/>
      <c r="G534" s="212"/>
      <c r="H534" s="212"/>
      <c r="J534" s="212"/>
      <c r="K534" s="212"/>
    </row>
    <row r="535" spans="1:11" ht="12.75" customHeight="1">
      <c r="A535" s="212"/>
      <c r="B535" s="212"/>
      <c r="C535" s="212"/>
      <c r="D535" s="212"/>
      <c r="E535" s="212"/>
      <c r="F535" s="212"/>
      <c r="G535" s="212"/>
      <c r="H535" s="212"/>
      <c r="J535" s="212"/>
      <c r="K535" s="212"/>
    </row>
    <row r="536" spans="1:11" ht="12.75" customHeight="1">
      <c r="A536" s="212"/>
      <c r="B536" s="212"/>
      <c r="C536" s="212"/>
      <c r="D536" s="212"/>
      <c r="E536" s="212"/>
      <c r="F536" s="212"/>
      <c r="G536" s="212"/>
      <c r="H536" s="212"/>
      <c r="J536" s="212"/>
      <c r="K536" s="212"/>
    </row>
    <row r="537" spans="1:11" ht="12.75" customHeight="1">
      <c r="A537" s="212"/>
      <c r="B537" s="212"/>
      <c r="C537" s="212"/>
      <c r="D537" s="212"/>
      <c r="E537" s="212"/>
      <c r="F537" s="212"/>
      <c r="G537" s="212"/>
      <c r="H537" s="212"/>
      <c r="J537" s="212"/>
      <c r="K537" s="212"/>
    </row>
    <row r="538" spans="1:11" ht="12.75" customHeight="1">
      <c r="A538" s="212"/>
      <c r="B538" s="212"/>
      <c r="C538" s="212"/>
      <c r="D538" s="212"/>
      <c r="E538" s="212"/>
      <c r="F538" s="212"/>
      <c r="G538" s="212"/>
      <c r="H538" s="212"/>
      <c r="J538" s="212"/>
      <c r="K538" s="212"/>
    </row>
    <row r="539" spans="1:11" ht="12.75" customHeight="1">
      <c r="A539" s="212"/>
      <c r="B539" s="212"/>
      <c r="C539" s="212"/>
      <c r="D539" s="212"/>
      <c r="E539" s="212"/>
      <c r="F539" s="212"/>
      <c r="G539" s="212"/>
      <c r="H539" s="212"/>
      <c r="J539" s="212"/>
      <c r="K539" s="212"/>
    </row>
    <row r="540" spans="1:11" ht="12.75" customHeight="1">
      <c r="A540" s="212"/>
      <c r="B540" s="212"/>
      <c r="C540" s="212"/>
      <c r="D540" s="212"/>
      <c r="E540" s="212"/>
      <c r="F540" s="212"/>
      <c r="G540" s="212"/>
      <c r="H540" s="212"/>
      <c r="J540" s="212"/>
      <c r="K540" s="212"/>
    </row>
    <row r="541" spans="1:11" ht="12.75" customHeight="1">
      <c r="A541" s="212"/>
      <c r="B541" s="212"/>
      <c r="C541" s="212"/>
      <c r="D541" s="212"/>
      <c r="E541" s="212"/>
      <c r="F541" s="212"/>
      <c r="G541" s="212"/>
      <c r="H541" s="212"/>
      <c r="J541" s="212"/>
      <c r="K541" s="212"/>
    </row>
    <row r="542" spans="1:11" ht="12.75" customHeight="1">
      <c r="A542" s="212"/>
      <c r="B542" s="212"/>
      <c r="C542" s="212"/>
      <c r="D542" s="212"/>
      <c r="E542" s="212"/>
      <c r="F542" s="212"/>
      <c r="G542" s="212"/>
      <c r="H542" s="212"/>
      <c r="J542" s="212"/>
      <c r="K542" s="212"/>
    </row>
    <row r="543" spans="1:11" ht="12.75" customHeight="1">
      <c r="A543" s="212"/>
      <c r="B543" s="212"/>
      <c r="C543" s="212"/>
      <c r="D543" s="212"/>
      <c r="E543" s="212"/>
      <c r="F543" s="212"/>
      <c r="G543" s="212"/>
      <c r="H543" s="212"/>
      <c r="J543" s="212"/>
      <c r="K543" s="212"/>
    </row>
    <row r="544" spans="1:11" ht="12.75" customHeight="1">
      <c r="A544" s="212"/>
      <c r="B544" s="212"/>
      <c r="C544" s="212"/>
      <c r="D544" s="212"/>
      <c r="E544" s="212"/>
      <c r="F544" s="212"/>
      <c r="G544" s="212"/>
      <c r="H544" s="212"/>
      <c r="J544" s="212"/>
      <c r="K544" s="212"/>
    </row>
    <row r="545" spans="1:11" ht="12.75" customHeight="1">
      <c r="A545" s="212"/>
      <c r="B545" s="212"/>
      <c r="C545" s="212"/>
      <c r="D545" s="212"/>
      <c r="E545" s="212"/>
      <c r="F545" s="212"/>
      <c r="G545" s="212"/>
      <c r="H545" s="212"/>
      <c r="J545" s="212"/>
      <c r="K545" s="212"/>
    </row>
    <row r="546" spans="1:11" ht="12.75" customHeight="1">
      <c r="A546" s="212"/>
      <c r="B546" s="212"/>
      <c r="C546" s="212"/>
      <c r="D546" s="212"/>
      <c r="E546" s="212"/>
      <c r="F546" s="212"/>
      <c r="G546" s="212"/>
      <c r="H546" s="212"/>
      <c r="J546" s="212"/>
      <c r="K546" s="212"/>
    </row>
    <row r="547" spans="1:11" ht="12.75" customHeight="1">
      <c r="A547" s="212"/>
      <c r="B547" s="212"/>
      <c r="C547" s="212"/>
      <c r="D547" s="212"/>
      <c r="E547" s="212"/>
      <c r="F547" s="212"/>
      <c r="G547" s="212"/>
      <c r="H547" s="212"/>
      <c r="J547" s="212"/>
      <c r="K547" s="212"/>
    </row>
    <row r="548" spans="1:11" ht="12.75" customHeight="1">
      <c r="A548" s="212"/>
      <c r="B548" s="212"/>
      <c r="C548" s="212"/>
      <c r="D548" s="212"/>
      <c r="E548" s="212"/>
      <c r="F548" s="212"/>
      <c r="G548" s="212"/>
      <c r="H548" s="212"/>
      <c r="J548" s="212"/>
      <c r="K548" s="212"/>
    </row>
    <row r="549" spans="1:11" ht="12.75" customHeight="1">
      <c r="A549" s="212"/>
      <c r="B549" s="212"/>
      <c r="C549" s="212"/>
      <c r="D549" s="212"/>
      <c r="E549" s="212"/>
      <c r="F549" s="212"/>
      <c r="G549" s="212"/>
      <c r="H549" s="212"/>
      <c r="J549" s="212"/>
      <c r="K549" s="212"/>
    </row>
    <row r="550" spans="1:11" ht="12.75" customHeight="1">
      <c r="A550" s="212"/>
      <c r="B550" s="212"/>
      <c r="C550" s="212"/>
      <c r="D550" s="212"/>
      <c r="E550" s="212"/>
      <c r="F550" s="212"/>
      <c r="G550" s="212"/>
      <c r="H550" s="212"/>
      <c r="J550" s="212"/>
      <c r="K550" s="212"/>
    </row>
    <row r="551" spans="1:11" ht="12.75" customHeight="1">
      <c r="A551" s="212"/>
      <c r="B551" s="212"/>
      <c r="C551" s="212"/>
      <c r="D551" s="212"/>
      <c r="E551" s="212"/>
      <c r="F551" s="212"/>
      <c r="G551" s="212"/>
      <c r="H551" s="212"/>
      <c r="J551" s="212"/>
      <c r="K551" s="212"/>
    </row>
    <row r="552" spans="1:11" ht="12.75" customHeight="1">
      <c r="A552" s="212"/>
      <c r="B552" s="212"/>
      <c r="C552" s="212"/>
      <c r="D552" s="212"/>
      <c r="E552" s="212"/>
      <c r="F552" s="212"/>
      <c r="G552" s="212"/>
      <c r="H552" s="212"/>
      <c r="J552" s="212"/>
      <c r="K552" s="212"/>
    </row>
    <row r="553" spans="1:11" ht="12.75" customHeight="1">
      <c r="A553" s="212"/>
      <c r="B553" s="212"/>
      <c r="C553" s="212"/>
      <c r="D553" s="212"/>
      <c r="E553" s="212"/>
      <c r="F553" s="212"/>
      <c r="G553" s="212"/>
      <c r="H553" s="212"/>
      <c r="J553" s="212"/>
      <c r="K553" s="212"/>
    </row>
    <row r="554" spans="1:11" ht="12.75" customHeight="1">
      <c r="A554" s="212"/>
      <c r="B554" s="212"/>
      <c r="C554" s="212"/>
      <c r="D554" s="212"/>
      <c r="E554" s="212"/>
      <c r="F554" s="212"/>
      <c r="G554" s="212"/>
      <c r="H554" s="212"/>
      <c r="J554" s="212"/>
      <c r="K554" s="212"/>
    </row>
    <row r="555" spans="1:11" ht="12.75" customHeight="1">
      <c r="A555" s="212"/>
      <c r="B555" s="212"/>
      <c r="C555" s="212"/>
      <c r="D555" s="212"/>
      <c r="E555" s="212"/>
      <c r="F555" s="212"/>
      <c r="G555" s="212"/>
      <c r="H555" s="212"/>
      <c r="J555" s="212"/>
      <c r="K555" s="212"/>
    </row>
    <row r="556" spans="1:11" ht="12.75" customHeight="1">
      <c r="A556" s="212"/>
      <c r="B556" s="212"/>
      <c r="C556" s="212"/>
      <c r="D556" s="212"/>
      <c r="E556" s="212"/>
      <c r="F556" s="212"/>
      <c r="G556" s="212"/>
      <c r="H556" s="212"/>
      <c r="J556" s="212"/>
      <c r="K556" s="212"/>
    </row>
    <row r="557" spans="1:11" ht="12.75" customHeight="1">
      <c r="A557" s="212"/>
      <c r="B557" s="212"/>
      <c r="C557" s="212"/>
      <c r="D557" s="212"/>
      <c r="E557" s="212"/>
      <c r="F557" s="212"/>
      <c r="G557" s="212"/>
      <c r="H557" s="212"/>
      <c r="J557" s="212"/>
      <c r="K557" s="212"/>
    </row>
    <row r="558" spans="1:11" ht="12.75" customHeight="1">
      <c r="A558" s="212"/>
      <c r="B558" s="212"/>
      <c r="C558" s="212"/>
      <c r="D558" s="212"/>
      <c r="E558" s="212"/>
      <c r="F558" s="212"/>
      <c r="G558" s="212"/>
      <c r="H558" s="212"/>
      <c r="J558" s="212"/>
      <c r="K558" s="212"/>
    </row>
    <row r="559" spans="1:11" ht="12.75" customHeight="1">
      <c r="A559" s="212"/>
      <c r="B559" s="212"/>
      <c r="C559" s="212"/>
      <c r="D559" s="212"/>
      <c r="E559" s="212"/>
      <c r="F559" s="212"/>
      <c r="G559" s="212"/>
      <c r="H559" s="212"/>
      <c r="J559" s="212"/>
      <c r="K559" s="212"/>
    </row>
    <row r="560" spans="1:11" ht="12.75" customHeight="1">
      <c r="A560" s="212"/>
      <c r="B560" s="212"/>
      <c r="C560" s="212"/>
      <c r="D560" s="212"/>
      <c r="E560" s="212"/>
      <c r="F560" s="212"/>
      <c r="G560" s="212"/>
      <c r="H560" s="212"/>
      <c r="J560" s="212"/>
      <c r="K560" s="212"/>
    </row>
    <row r="561" spans="1:11" ht="12.75" customHeight="1">
      <c r="A561" s="212"/>
      <c r="B561" s="212"/>
      <c r="C561" s="212"/>
      <c r="D561" s="212"/>
      <c r="E561" s="212"/>
      <c r="F561" s="212"/>
      <c r="G561" s="212"/>
      <c r="H561" s="212"/>
      <c r="J561" s="212"/>
      <c r="K561" s="212"/>
    </row>
    <row r="562" spans="1:11" ht="12.75" customHeight="1">
      <c r="A562" s="212"/>
      <c r="B562" s="212"/>
      <c r="C562" s="212"/>
      <c r="D562" s="212"/>
      <c r="E562" s="212"/>
      <c r="F562" s="212"/>
      <c r="G562" s="212"/>
      <c r="H562" s="212"/>
      <c r="J562" s="212"/>
      <c r="K562" s="212"/>
    </row>
    <row r="563" spans="1:11" ht="12.75" customHeight="1">
      <c r="A563" s="212"/>
      <c r="B563" s="212"/>
      <c r="C563" s="212"/>
      <c r="D563" s="212"/>
      <c r="E563" s="212"/>
      <c r="F563" s="212"/>
      <c r="G563" s="212"/>
      <c r="H563" s="212"/>
      <c r="J563" s="212"/>
      <c r="K563" s="212"/>
    </row>
    <row r="564" spans="1:11" ht="12.75" customHeight="1">
      <c r="A564" s="212"/>
      <c r="B564" s="212"/>
      <c r="C564" s="212"/>
      <c r="D564" s="212"/>
      <c r="E564" s="212"/>
      <c r="F564" s="212"/>
      <c r="G564" s="212"/>
      <c r="H564" s="212"/>
      <c r="J564" s="212"/>
      <c r="K564" s="212"/>
    </row>
    <row r="565" spans="1:11" ht="12.75" customHeight="1">
      <c r="A565" s="212"/>
      <c r="B565" s="212"/>
      <c r="C565" s="212"/>
      <c r="D565" s="212"/>
      <c r="E565" s="212"/>
      <c r="F565" s="212"/>
      <c r="G565" s="212"/>
      <c r="H565" s="212"/>
      <c r="J565" s="212"/>
      <c r="K565" s="212"/>
    </row>
    <row r="566" spans="1:11" ht="12.75" customHeight="1">
      <c r="A566" s="212"/>
      <c r="B566" s="212"/>
      <c r="C566" s="212"/>
      <c r="D566" s="212"/>
      <c r="E566" s="212"/>
      <c r="F566" s="212"/>
      <c r="G566" s="212"/>
      <c r="H566" s="212"/>
      <c r="J566" s="212"/>
      <c r="K566" s="212"/>
    </row>
    <row r="567" spans="1:11" ht="12.75" customHeight="1">
      <c r="A567" s="212"/>
      <c r="B567" s="212"/>
      <c r="C567" s="212"/>
      <c r="D567" s="212"/>
      <c r="E567" s="212"/>
      <c r="F567" s="212"/>
      <c r="G567" s="212"/>
      <c r="H567" s="212"/>
      <c r="J567" s="212"/>
      <c r="K567" s="212"/>
    </row>
    <row r="568" spans="1:11" ht="12.75" customHeight="1">
      <c r="A568" s="212"/>
      <c r="B568" s="212"/>
      <c r="C568" s="212"/>
      <c r="D568" s="212"/>
      <c r="E568" s="212"/>
      <c r="F568" s="212"/>
      <c r="G568" s="212"/>
      <c r="H568" s="212"/>
      <c r="J568" s="212"/>
      <c r="K568" s="212"/>
    </row>
    <row r="569" spans="1:11" ht="12.75" customHeight="1">
      <c r="A569" s="212"/>
      <c r="B569" s="212"/>
      <c r="C569" s="212"/>
      <c r="D569" s="212"/>
      <c r="E569" s="212"/>
      <c r="F569" s="212"/>
      <c r="G569" s="212"/>
      <c r="H569" s="212"/>
      <c r="J569" s="212"/>
      <c r="K569" s="212"/>
    </row>
    <row r="570" spans="1:11" ht="12.75" customHeight="1">
      <c r="A570" s="212"/>
      <c r="B570" s="212"/>
      <c r="C570" s="212"/>
      <c r="D570" s="212"/>
      <c r="E570" s="212"/>
      <c r="F570" s="212"/>
      <c r="G570" s="212"/>
      <c r="H570" s="212"/>
      <c r="J570" s="212"/>
      <c r="K570" s="212"/>
    </row>
    <row r="571" spans="1:11" ht="12.75" customHeight="1">
      <c r="A571" s="212"/>
      <c r="B571" s="212"/>
      <c r="C571" s="212"/>
      <c r="D571" s="212"/>
      <c r="E571" s="212"/>
      <c r="F571" s="212"/>
      <c r="G571" s="212"/>
      <c r="H571" s="212"/>
      <c r="J571" s="212"/>
      <c r="K571" s="212"/>
    </row>
    <row r="572" spans="1:11" ht="12.75" customHeight="1">
      <c r="A572" s="212"/>
      <c r="B572" s="212"/>
      <c r="C572" s="212"/>
      <c r="D572" s="212"/>
      <c r="E572" s="212"/>
      <c r="F572" s="212"/>
      <c r="G572" s="212"/>
      <c r="H572" s="212"/>
      <c r="J572" s="212"/>
      <c r="K572" s="212"/>
    </row>
    <row r="573" spans="1:11" ht="12.75" customHeight="1">
      <c r="A573" s="212"/>
      <c r="B573" s="212"/>
      <c r="C573" s="212"/>
      <c r="D573" s="212"/>
      <c r="E573" s="212"/>
      <c r="F573" s="212"/>
      <c r="G573" s="212"/>
      <c r="H573" s="212"/>
      <c r="J573" s="212"/>
      <c r="K573" s="212"/>
    </row>
    <row r="574" spans="1:11" ht="12.75" customHeight="1">
      <c r="A574" s="212"/>
      <c r="B574" s="212"/>
      <c r="C574" s="212"/>
      <c r="D574" s="212"/>
      <c r="E574" s="212"/>
      <c r="F574" s="212"/>
      <c r="G574" s="212"/>
      <c r="H574" s="212"/>
      <c r="J574" s="212"/>
      <c r="K574" s="212"/>
    </row>
    <row r="575" spans="1:11" ht="12.75" customHeight="1">
      <c r="A575" s="212"/>
      <c r="B575" s="212"/>
      <c r="C575" s="212"/>
      <c r="D575" s="212"/>
      <c r="E575" s="212"/>
      <c r="F575" s="212"/>
      <c r="G575" s="212"/>
      <c r="H575" s="212"/>
      <c r="J575" s="212"/>
      <c r="K575" s="212"/>
    </row>
    <row r="576" spans="1:11" ht="12.75" customHeight="1">
      <c r="A576" s="212"/>
      <c r="B576" s="212"/>
      <c r="C576" s="212"/>
      <c r="D576" s="212"/>
      <c r="E576" s="212"/>
      <c r="F576" s="212"/>
      <c r="G576" s="212"/>
      <c r="H576" s="212"/>
      <c r="J576" s="212"/>
      <c r="K576" s="212"/>
    </row>
    <row r="577" spans="1:11" ht="12.75" customHeight="1">
      <c r="A577" s="212"/>
      <c r="B577" s="212"/>
      <c r="C577" s="212"/>
      <c r="D577" s="212"/>
      <c r="E577" s="212"/>
      <c r="F577" s="212"/>
      <c r="G577" s="212"/>
      <c r="H577" s="212"/>
      <c r="J577" s="212"/>
      <c r="K577" s="212"/>
    </row>
    <row r="578" spans="1:11" ht="12.75" customHeight="1">
      <c r="A578" s="212"/>
      <c r="B578" s="212"/>
      <c r="C578" s="212"/>
      <c r="D578" s="212"/>
      <c r="E578" s="212"/>
      <c r="F578" s="212"/>
      <c r="G578" s="212"/>
      <c r="H578" s="212"/>
      <c r="J578" s="212"/>
      <c r="K578" s="212"/>
    </row>
    <row r="579" spans="1:11" ht="12.75" customHeight="1">
      <c r="A579" s="212"/>
      <c r="B579" s="212"/>
      <c r="C579" s="212"/>
      <c r="D579" s="212"/>
      <c r="E579" s="212"/>
      <c r="F579" s="212"/>
      <c r="G579" s="212"/>
      <c r="H579" s="212"/>
      <c r="J579" s="212"/>
      <c r="K579" s="212"/>
    </row>
    <row r="580" spans="1:11" ht="12.75" customHeight="1">
      <c r="A580" s="212"/>
      <c r="B580" s="212"/>
      <c r="C580" s="212"/>
      <c r="D580" s="212"/>
      <c r="E580" s="212"/>
      <c r="F580" s="212"/>
      <c r="G580" s="212"/>
      <c r="H580" s="212"/>
      <c r="J580" s="212"/>
      <c r="K580" s="212"/>
    </row>
    <row r="581" spans="1:11" ht="12.75" customHeight="1">
      <c r="A581" s="212"/>
      <c r="B581" s="212"/>
      <c r="C581" s="212"/>
      <c r="D581" s="212"/>
      <c r="E581" s="212"/>
      <c r="F581" s="212"/>
      <c r="G581" s="212"/>
      <c r="H581" s="212"/>
      <c r="J581" s="212"/>
      <c r="K581" s="212"/>
    </row>
    <row r="582" spans="1:11" ht="12.75" customHeight="1">
      <c r="A582" s="212"/>
      <c r="B582" s="212"/>
      <c r="C582" s="212"/>
      <c r="D582" s="212"/>
      <c r="E582" s="212"/>
      <c r="F582" s="212"/>
      <c r="G582" s="212"/>
      <c r="H582" s="212"/>
      <c r="J582" s="212"/>
      <c r="K582" s="212"/>
    </row>
    <row r="583" spans="1:11" ht="12.75" customHeight="1">
      <c r="A583" s="212"/>
      <c r="B583" s="212"/>
      <c r="C583" s="212"/>
      <c r="D583" s="212"/>
      <c r="E583" s="212"/>
      <c r="F583" s="212"/>
      <c r="G583" s="212"/>
      <c r="H583" s="212"/>
      <c r="J583" s="212"/>
      <c r="K583" s="212"/>
    </row>
    <row r="584" spans="1:11" ht="12.75" customHeight="1">
      <c r="A584" s="212"/>
      <c r="B584" s="212"/>
      <c r="C584" s="212"/>
      <c r="D584" s="212"/>
      <c r="E584" s="212"/>
      <c r="F584" s="212"/>
      <c r="G584" s="212"/>
      <c r="H584" s="212"/>
      <c r="J584" s="212"/>
      <c r="K584" s="212"/>
    </row>
    <row r="585" spans="1:11" ht="12.75" customHeight="1">
      <c r="A585" s="212"/>
      <c r="B585" s="212"/>
      <c r="C585" s="212"/>
      <c r="D585" s="212"/>
      <c r="E585" s="212"/>
      <c r="F585" s="212"/>
      <c r="G585" s="212"/>
      <c r="H585" s="212"/>
      <c r="J585" s="212"/>
      <c r="K585" s="212"/>
    </row>
    <row r="586" spans="1:11" ht="12.75" customHeight="1">
      <c r="A586" s="212"/>
      <c r="B586" s="212"/>
      <c r="C586" s="212"/>
      <c r="D586" s="212"/>
      <c r="E586" s="212"/>
      <c r="F586" s="212"/>
      <c r="G586" s="212"/>
      <c r="H586" s="212"/>
      <c r="J586" s="212"/>
      <c r="K586" s="212"/>
    </row>
    <row r="587" spans="1:11" ht="12.75" customHeight="1">
      <c r="A587" s="212"/>
      <c r="B587" s="212"/>
      <c r="C587" s="212"/>
      <c r="D587" s="212"/>
      <c r="E587" s="212"/>
      <c r="F587" s="212"/>
      <c r="G587" s="212"/>
      <c r="H587" s="212"/>
      <c r="J587" s="212"/>
      <c r="K587" s="212"/>
    </row>
    <row r="588" spans="1:11" ht="12.75" customHeight="1">
      <c r="A588" s="212"/>
      <c r="B588" s="212"/>
      <c r="C588" s="212"/>
      <c r="D588" s="212"/>
      <c r="E588" s="212"/>
      <c r="F588" s="212"/>
      <c r="G588" s="212"/>
      <c r="H588" s="212"/>
      <c r="J588" s="212"/>
      <c r="K588" s="212"/>
    </row>
    <row r="589" spans="1:11" ht="12.75" customHeight="1">
      <c r="A589" s="212"/>
      <c r="B589" s="212"/>
      <c r="C589" s="212"/>
      <c r="D589" s="212"/>
      <c r="E589" s="212"/>
      <c r="F589" s="212"/>
      <c r="G589" s="212"/>
      <c r="H589" s="212"/>
      <c r="J589" s="212"/>
      <c r="K589" s="212"/>
    </row>
    <row r="590" spans="1:11" ht="12.75" customHeight="1">
      <c r="A590" s="212"/>
      <c r="B590" s="212"/>
      <c r="C590" s="212"/>
      <c r="D590" s="212"/>
      <c r="E590" s="212"/>
      <c r="F590" s="212"/>
      <c r="G590" s="212"/>
      <c r="H590" s="212"/>
      <c r="J590" s="212"/>
      <c r="K590" s="212"/>
    </row>
    <row r="591" spans="1:11" ht="12.75" customHeight="1">
      <c r="A591" s="212"/>
      <c r="B591" s="212"/>
      <c r="C591" s="212"/>
      <c r="D591" s="212"/>
      <c r="E591" s="212"/>
      <c r="F591" s="212"/>
      <c r="G591" s="212"/>
      <c r="H591" s="212"/>
      <c r="J591" s="212"/>
      <c r="K591" s="212"/>
    </row>
    <row r="592" spans="1:11" ht="12.75" customHeight="1">
      <c r="A592" s="212"/>
      <c r="B592" s="212"/>
      <c r="C592" s="212"/>
      <c r="D592" s="212"/>
      <c r="E592" s="212"/>
      <c r="F592" s="212"/>
      <c r="G592" s="212"/>
      <c r="H592" s="212"/>
      <c r="J592" s="212"/>
      <c r="K592" s="212"/>
    </row>
    <row r="593" spans="1:11" ht="12.75" customHeight="1">
      <c r="A593" s="212"/>
      <c r="B593" s="212"/>
      <c r="C593" s="212"/>
      <c r="D593" s="212"/>
      <c r="E593" s="212"/>
      <c r="F593" s="212"/>
      <c r="G593" s="212"/>
      <c r="H593" s="212"/>
      <c r="J593" s="212"/>
      <c r="K593" s="212"/>
    </row>
    <row r="594" spans="1:11" ht="12.75" customHeight="1">
      <c r="A594" s="212"/>
      <c r="B594" s="212"/>
      <c r="C594" s="212"/>
      <c r="D594" s="212"/>
      <c r="E594" s="212"/>
      <c r="F594" s="212"/>
      <c r="G594" s="212"/>
      <c r="H594" s="212"/>
      <c r="J594" s="212"/>
      <c r="K594" s="212"/>
    </row>
    <row r="595" spans="1:11" ht="12.75" customHeight="1">
      <c r="A595" s="212"/>
      <c r="B595" s="212"/>
      <c r="C595" s="212"/>
      <c r="D595" s="212"/>
      <c r="E595" s="212"/>
      <c r="F595" s="212"/>
      <c r="G595" s="212"/>
      <c r="H595" s="212"/>
      <c r="J595" s="212"/>
      <c r="K595" s="212"/>
    </row>
    <row r="596" spans="1:11" ht="12.75" customHeight="1">
      <c r="A596" s="212"/>
      <c r="B596" s="212"/>
      <c r="C596" s="212"/>
      <c r="D596" s="212"/>
      <c r="E596" s="212"/>
      <c r="F596" s="212"/>
      <c r="G596" s="212"/>
      <c r="H596" s="212"/>
      <c r="J596" s="212"/>
      <c r="K596" s="212"/>
    </row>
    <row r="597" spans="1:11" ht="12.75" customHeight="1">
      <c r="A597" s="212"/>
      <c r="B597" s="212"/>
      <c r="C597" s="212"/>
      <c r="D597" s="212"/>
      <c r="E597" s="212"/>
      <c r="F597" s="212"/>
      <c r="G597" s="212"/>
      <c r="H597" s="212"/>
      <c r="J597" s="212"/>
      <c r="K597" s="212"/>
    </row>
    <row r="598" spans="1:11" ht="12.75" customHeight="1">
      <c r="A598" s="212"/>
      <c r="B598" s="212"/>
      <c r="C598" s="212"/>
      <c r="D598" s="212"/>
      <c r="E598" s="212"/>
      <c r="F598" s="212"/>
      <c r="G598" s="212"/>
      <c r="H598" s="212"/>
      <c r="J598" s="212"/>
      <c r="K598" s="212"/>
    </row>
    <row r="599" spans="1:11" ht="12.75" customHeight="1">
      <c r="A599" s="212"/>
      <c r="B599" s="212"/>
      <c r="C599" s="212"/>
      <c r="D599" s="212"/>
      <c r="E599" s="212"/>
      <c r="F599" s="212"/>
      <c r="G599" s="212"/>
      <c r="H599" s="212"/>
      <c r="J599" s="212"/>
      <c r="K599" s="212"/>
    </row>
    <row r="600" spans="1:11" ht="12.75" customHeight="1">
      <c r="A600" s="212"/>
      <c r="B600" s="212"/>
      <c r="C600" s="212"/>
      <c r="D600" s="212"/>
      <c r="E600" s="212"/>
      <c r="F600" s="212"/>
      <c r="G600" s="212"/>
      <c r="H600" s="212"/>
      <c r="J600" s="212"/>
      <c r="K600" s="212"/>
    </row>
    <row r="601" spans="1:11" ht="12.75" customHeight="1">
      <c r="A601" s="212"/>
      <c r="B601" s="212"/>
      <c r="C601" s="212"/>
      <c r="D601" s="212"/>
      <c r="E601" s="212"/>
      <c r="F601" s="212"/>
      <c r="G601" s="212"/>
      <c r="H601" s="212"/>
      <c r="J601" s="212"/>
      <c r="K601" s="212"/>
    </row>
    <row r="602" spans="1:11" ht="12.75" customHeight="1">
      <c r="A602" s="212"/>
      <c r="B602" s="212"/>
      <c r="C602" s="212"/>
      <c r="D602" s="212"/>
      <c r="E602" s="212"/>
      <c r="F602" s="212"/>
      <c r="G602" s="212"/>
      <c r="H602" s="212"/>
      <c r="J602" s="212"/>
      <c r="K602" s="212"/>
    </row>
    <row r="603" spans="1:11" ht="12.75" customHeight="1">
      <c r="A603" s="212"/>
      <c r="B603" s="212"/>
      <c r="C603" s="212"/>
      <c r="D603" s="212"/>
      <c r="E603" s="212"/>
      <c r="F603" s="212"/>
      <c r="G603" s="212"/>
      <c r="H603" s="212"/>
      <c r="J603" s="212"/>
      <c r="K603" s="212"/>
    </row>
    <row r="604" spans="1:11" ht="12.75" customHeight="1">
      <c r="A604" s="212"/>
      <c r="B604" s="212"/>
      <c r="C604" s="212"/>
      <c r="D604" s="212"/>
      <c r="E604" s="212"/>
      <c r="F604" s="212"/>
      <c r="G604" s="212"/>
      <c r="H604" s="212"/>
      <c r="J604" s="212"/>
      <c r="K604" s="212"/>
    </row>
    <row r="605" spans="1:11" ht="12.75" customHeight="1">
      <c r="A605" s="212"/>
      <c r="B605" s="212"/>
      <c r="C605" s="212"/>
      <c r="D605" s="212"/>
      <c r="E605" s="212"/>
      <c r="F605" s="212"/>
      <c r="G605" s="212"/>
      <c r="H605" s="212"/>
      <c r="J605" s="212"/>
      <c r="K605" s="212"/>
    </row>
    <row r="606" spans="1:11" ht="12.75" customHeight="1">
      <c r="A606" s="212"/>
      <c r="B606" s="212"/>
      <c r="C606" s="212"/>
      <c r="D606" s="212"/>
      <c r="E606" s="212"/>
      <c r="F606" s="212"/>
      <c r="G606" s="212"/>
      <c r="H606" s="212"/>
      <c r="J606" s="212"/>
      <c r="K606" s="212"/>
    </row>
    <row r="607" spans="1:11" ht="12.75" customHeight="1">
      <c r="A607" s="212"/>
      <c r="B607" s="212"/>
      <c r="C607" s="212"/>
      <c r="D607" s="212"/>
      <c r="E607" s="212"/>
      <c r="F607" s="212"/>
      <c r="G607" s="212"/>
      <c r="H607" s="212"/>
      <c r="J607" s="212"/>
      <c r="K607" s="212"/>
    </row>
    <row r="608" spans="1:11" ht="12.75" customHeight="1">
      <c r="A608" s="212"/>
      <c r="B608" s="212"/>
      <c r="C608" s="212"/>
      <c r="D608" s="212"/>
      <c r="E608" s="212"/>
      <c r="F608" s="212"/>
      <c r="G608" s="212"/>
      <c r="H608" s="212"/>
      <c r="J608" s="212"/>
      <c r="K608" s="212"/>
    </row>
    <row r="609" spans="1:11" ht="12.75" customHeight="1">
      <c r="A609" s="212"/>
      <c r="B609" s="212"/>
      <c r="C609" s="212"/>
      <c r="D609" s="212"/>
      <c r="E609" s="212"/>
      <c r="F609" s="212"/>
      <c r="G609" s="212"/>
      <c r="H609" s="212"/>
      <c r="J609" s="212"/>
      <c r="K609" s="212"/>
    </row>
    <row r="610" spans="1:11" ht="12.75" customHeight="1">
      <c r="A610" s="212"/>
      <c r="B610" s="212"/>
      <c r="C610" s="212"/>
      <c r="D610" s="212"/>
      <c r="E610" s="212"/>
      <c r="F610" s="212"/>
      <c r="G610" s="212"/>
      <c r="H610" s="212"/>
      <c r="J610" s="212"/>
      <c r="K610" s="212"/>
    </row>
    <row r="611" spans="1:11" ht="12.75" customHeight="1">
      <c r="A611" s="212"/>
      <c r="B611" s="212"/>
      <c r="C611" s="212"/>
      <c r="D611" s="212"/>
      <c r="E611" s="212"/>
      <c r="F611" s="212"/>
      <c r="G611" s="212"/>
      <c r="H611" s="212"/>
      <c r="J611" s="212"/>
      <c r="K611" s="212"/>
    </row>
    <row r="612" spans="1:11" ht="12.75" customHeight="1">
      <c r="A612" s="212"/>
      <c r="B612" s="212"/>
      <c r="C612" s="212"/>
      <c r="D612" s="212"/>
      <c r="E612" s="212"/>
      <c r="F612" s="212"/>
      <c r="G612" s="212"/>
      <c r="H612" s="212"/>
      <c r="J612" s="212"/>
      <c r="K612" s="212"/>
    </row>
    <row r="613" spans="1:11" ht="12.75" customHeight="1">
      <c r="A613" s="212"/>
      <c r="B613" s="212"/>
      <c r="C613" s="212"/>
      <c r="D613" s="212"/>
      <c r="E613" s="212"/>
      <c r="F613" s="212"/>
      <c r="G613" s="212"/>
      <c r="H613" s="212"/>
      <c r="J613" s="212"/>
      <c r="K613" s="212"/>
    </row>
    <row r="614" spans="1:11" ht="12.75" customHeight="1">
      <c r="A614" s="212"/>
      <c r="B614" s="212"/>
      <c r="C614" s="212"/>
      <c r="D614" s="212"/>
      <c r="E614" s="212"/>
      <c r="F614" s="212"/>
      <c r="G614" s="212"/>
      <c r="H614" s="212"/>
      <c r="J614" s="212"/>
      <c r="K614" s="212"/>
    </row>
    <row r="615" spans="1:11" ht="12.75" customHeight="1">
      <c r="A615" s="212"/>
      <c r="B615" s="212"/>
      <c r="C615" s="212"/>
      <c r="D615" s="212"/>
      <c r="E615" s="212"/>
      <c r="F615" s="212"/>
      <c r="G615" s="212"/>
      <c r="H615" s="212"/>
      <c r="J615" s="212"/>
      <c r="K615" s="212"/>
    </row>
    <row r="616" spans="1:11" ht="12.75" customHeight="1">
      <c r="A616" s="212"/>
      <c r="B616" s="212"/>
      <c r="C616" s="212"/>
      <c r="D616" s="212"/>
      <c r="E616" s="212"/>
      <c r="F616" s="212"/>
      <c r="G616" s="212"/>
      <c r="H616" s="212"/>
      <c r="J616" s="212"/>
      <c r="K616" s="212"/>
    </row>
    <row r="617" spans="1:11" ht="12.75" customHeight="1">
      <c r="A617" s="212"/>
      <c r="B617" s="212"/>
      <c r="C617" s="212"/>
      <c r="D617" s="212"/>
      <c r="E617" s="212"/>
      <c r="F617" s="212"/>
      <c r="G617" s="212"/>
      <c r="H617" s="212"/>
      <c r="J617" s="212"/>
      <c r="K617" s="212"/>
    </row>
    <row r="618" spans="1:11" ht="12.75" customHeight="1">
      <c r="A618" s="212"/>
      <c r="B618" s="212"/>
      <c r="C618" s="212"/>
      <c r="D618" s="212"/>
      <c r="E618" s="212"/>
      <c r="F618" s="212"/>
      <c r="G618" s="212"/>
      <c r="H618" s="212"/>
      <c r="J618" s="212"/>
      <c r="K618" s="212"/>
    </row>
    <row r="619" spans="1:11" ht="12.75" customHeight="1">
      <c r="A619" s="212"/>
      <c r="B619" s="212"/>
      <c r="C619" s="212"/>
      <c r="D619" s="212"/>
      <c r="E619" s="212"/>
      <c r="F619" s="212"/>
      <c r="G619" s="212"/>
      <c r="H619" s="212"/>
      <c r="J619" s="212"/>
      <c r="K619" s="212"/>
    </row>
    <row r="620" spans="1:11" ht="12.75" customHeight="1">
      <c r="A620" s="212"/>
      <c r="B620" s="212"/>
      <c r="C620" s="212"/>
      <c r="D620" s="212"/>
      <c r="E620" s="212"/>
      <c r="F620" s="212"/>
      <c r="G620" s="212"/>
      <c r="H620" s="212"/>
      <c r="J620" s="212"/>
      <c r="K620" s="212"/>
    </row>
    <row r="621" spans="1:11" ht="12.75" customHeight="1">
      <c r="A621" s="212"/>
      <c r="B621" s="212"/>
      <c r="C621" s="212"/>
      <c r="D621" s="212"/>
      <c r="E621" s="212"/>
      <c r="F621" s="212"/>
      <c r="G621" s="212"/>
      <c r="H621" s="212"/>
      <c r="J621" s="212"/>
      <c r="K621" s="212"/>
    </row>
    <row r="622" spans="1:11" ht="12.75" customHeight="1">
      <c r="A622" s="212"/>
      <c r="B622" s="212"/>
      <c r="C622" s="212"/>
      <c r="D622" s="212"/>
      <c r="E622" s="212"/>
      <c r="F622" s="212"/>
      <c r="G622" s="212"/>
      <c r="H622" s="212"/>
      <c r="J622" s="212"/>
      <c r="K622" s="212"/>
    </row>
    <row r="623" spans="1:11" ht="12.75" customHeight="1">
      <c r="A623" s="212"/>
      <c r="B623" s="212"/>
      <c r="C623" s="212"/>
      <c r="D623" s="212"/>
      <c r="E623" s="212"/>
      <c r="F623" s="212"/>
      <c r="G623" s="212"/>
      <c r="H623" s="212"/>
      <c r="J623" s="212"/>
      <c r="K623" s="212"/>
    </row>
    <row r="624" spans="1:11" ht="12.75" customHeight="1">
      <c r="A624" s="212"/>
      <c r="B624" s="212"/>
      <c r="C624" s="212"/>
      <c r="D624" s="212"/>
      <c r="E624" s="212"/>
      <c r="F624" s="212"/>
      <c r="G624" s="212"/>
      <c r="H624" s="212"/>
      <c r="J624" s="212"/>
      <c r="K624" s="212"/>
    </row>
    <row r="625" spans="1:11" ht="12.75" customHeight="1">
      <c r="A625" s="212"/>
      <c r="B625" s="212"/>
      <c r="C625" s="212"/>
      <c r="D625" s="212"/>
      <c r="E625" s="212"/>
      <c r="F625" s="212"/>
      <c r="G625" s="212"/>
      <c r="H625" s="212"/>
      <c r="J625" s="212"/>
      <c r="K625" s="212"/>
    </row>
    <row r="626" spans="1:11" ht="12.75" customHeight="1">
      <c r="A626" s="212"/>
      <c r="B626" s="212"/>
      <c r="C626" s="212"/>
      <c r="D626" s="212"/>
      <c r="E626" s="212"/>
      <c r="F626" s="212"/>
      <c r="G626" s="212"/>
      <c r="H626" s="212"/>
      <c r="J626" s="212"/>
      <c r="K626" s="212"/>
    </row>
    <row r="627" spans="1:11" ht="12.75" customHeight="1">
      <c r="A627" s="212"/>
      <c r="B627" s="212"/>
      <c r="C627" s="212"/>
      <c r="D627" s="212"/>
      <c r="E627" s="212"/>
      <c r="F627" s="212"/>
      <c r="G627" s="212"/>
      <c r="H627" s="212"/>
      <c r="J627" s="212"/>
      <c r="K627" s="212"/>
    </row>
    <row r="628" spans="1:11" ht="12.75" customHeight="1">
      <c r="A628" s="212"/>
      <c r="B628" s="212"/>
      <c r="C628" s="212"/>
      <c r="D628" s="212"/>
      <c r="E628" s="212"/>
      <c r="F628" s="212"/>
      <c r="G628" s="212"/>
      <c r="H628" s="212"/>
      <c r="J628" s="212"/>
      <c r="K628" s="212"/>
    </row>
    <row r="629" spans="1:11" ht="12.75" customHeight="1">
      <c r="A629" s="212"/>
      <c r="B629" s="212"/>
      <c r="C629" s="212"/>
      <c r="D629" s="212"/>
      <c r="E629" s="212"/>
      <c r="F629" s="212"/>
      <c r="G629" s="212"/>
      <c r="H629" s="212"/>
      <c r="J629" s="212"/>
      <c r="K629" s="212"/>
    </row>
    <row r="630" spans="1:11" ht="12.75" customHeight="1">
      <c r="A630" s="212"/>
      <c r="B630" s="212"/>
      <c r="C630" s="212"/>
      <c r="D630" s="212"/>
      <c r="E630" s="212"/>
      <c r="F630" s="212"/>
      <c r="G630" s="212"/>
      <c r="H630" s="212"/>
      <c r="J630" s="212"/>
      <c r="K630" s="212"/>
    </row>
    <row r="631" spans="1:11" ht="12.75" customHeight="1">
      <c r="A631" s="212"/>
      <c r="B631" s="212"/>
      <c r="C631" s="212"/>
      <c r="D631" s="212"/>
      <c r="E631" s="212"/>
      <c r="F631" s="212"/>
      <c r="G631" s="212"/>
      <c r="H631" s="212"/>
      <c r="J631" s="212"/>
      <c r="K631" s="212"/>
    </row>
    <row r="632" spans="1:11" ht="12.75" customHeight="1">
      <c r="A632" s="212"/>
      <c r="B632" s="212"/>
      <c r="C632" s="212"/>
      <c r="D632" s="212"/>
      <c r="E632" s="212"/>
      <c r="F632" s="212"/>
      <c r="G632" s="212"/>
      <c r="H632" s="212"/>
      <c r="J632" s="212"/>
      <c r="K632" s="212"/>
    </row>
    <row r="633" spans="1:11" ht="12.75" customHeight="1">
      <c r="A633" s="212"/>
      <c r="B633" s="212"/>
      <c r="C633" s="212"/>
      <c r="D633" s="212"/>
      <c r="E633" s="212"/>
      <c r="F633" s="212"/>
      <c r="G633" s="212"/>
      <c r="H633" s="212"/>
      <c r="J633" s="212"/>
      <c r="K633" s="212"/>
    </row>
    <row r="634" spans="1:11" ht="12.75" customHeight="1">
      <c r="A634" s="212"/>
      <c r="B634" s="212"/>
      <c r="C634" s="212"/>
      <c r="D634" s="212"/>
      <c r="E634" s="212"/>
      <c r="F634" s="212"/>
      <c r="G634" s="212"/>
      <c r="H634" s="212"/>
      <c r="J634" s="212"/>
      <c r="K634" s="212"/>
    </row>
    <row r="635" spans="1:11" ht="12.75" customHeight="1">
      <c r="A635" s="212"/>
      <c r="B635" s="212"/>
      <c r="C635" s="212"/>
      <c r="D635" s="212"/>
      <c r="E635" s="212"/>
      <c r="F635" s="212"/>
      <c r="G635" s="212"/>
      <c r="H635" s="212"/>
      <c r="J635" s="212"/>
      <c r="K635" s="212"/>
    </row>
    <row r="636" spans="1:11" ht="12.75" customHeight="1">
      <c r="A636" s="212"/>
      <c r="B636" s="212"/>
      <c r="C636" s="212"/>
      <c r="D636" s="212"/>
      <c r="E636" s="212"/>
      <c r="F636" s="212"/>
      <c r="G636" s="212"/>
      <c r="H636" s="212"/>
      <c r="J636" s="212"/>
      <c r="K636" s="212"/>
    </row>
    <row r="637" spans="1:11" ht="12.75" customHeight="1">
      <c r="A637" s="212"/>
      <c r="B637" s="212"/>
      <c r="C637" s="212"/>
      <c r="D637" s="212"/>
      <c r="E637" s="212"/>
      <c r="F637" s="212"/>
      <c r="G637" s="212"/>
      <c r="H637" s="212"/>
      <c r="J637" s="212"/>
      <c r="K637" s="212"/>
    </row>
    <row r="638" spans="1:11" ht="12.75" customHeight="1">
      <c r="A638" s="212"/>
      <c r="B638" s="212"/>
      <c r="C638" s="212"/>
      <c r="D638" s="212"/>
      <c r="E638" s="212"/>
      <c r="F638" s="212"/>
      <c r="G638" s="212"/>
      <c r="H638" s="212"/>
      <c r="J638" s="212"/>
      <c r="K638" s="212"/>
    </row>
    <row r="639" spans="1:11" ht="12.75" customHeight="1">
      <c r="A639" s="212"/>
      <c r="B639" s="212"/>
      <c r="C639" s="212"/>
      <c r="D639" s="212"/>
      <c r="E639" s="212"/>
      <c r="F639" s="212"/>
      <c r="G639" s="212"/>
      <c r="H639" s="212"/>
      <c r="J639" s="212"/>
      <c r="K639" s="212"/>
    </row>
    <row r="640" spans="1:11" ht="12.75" customHeight="1">
      <c r="A640" s="212"/>
      <c r="B640" s="212"/>
      <c r="C640" s="212"/>
      <c r="D640" s="212"/>
      <c r="E640" s="212"/>
      <c r="F640" s="212"/>
      <c r="G640" s="212"/>
      <c r="H640" s="212"/>
      <c r="J640" s="212"/>
      <c r="K640" s="212"/>
    </row>
    <row r="641" spans="1:11" ht="12.75" customHeight="1">
      <c r="A641" s="212"/>
      <c r="B641" s="212"/>
      <c r="C641" s="212"/>
      <c r="D641" s="212"/>
      <c r="E641" s="212"/>
      <c r="F641" s="212"/>
      <c r="G641" s="212"/>
      <c r="H641" s="212"/>
      <c r="J641" s="212"/>
      <c r="K641" s="212"/>
    </row>
    <row r="642" spans="1:11" ht="12.75" customHeight="1">
      <c r="A642" s="212"/>
      <c r="B642" s="212"/>
      <c r="C642" s="212"/>
      <c r="D642" s="212"/>
      <c r="E642" s="212"/>
      <c r="F642" s="212"/>
      <c r="G642" s="212"/>
      <c r="H642" s="212"/>
      <c r="J642" s="212"/>
      <c r="K642" s="212"/>
    </row>
    <row r="643" spans="1:11" ht="12.75" customHeight="1">
      <c r="A643" s="212"/>
      <c r="B643" s="212"/>
      <c r="C643" s="212"/>
      <c r="D643" s="212"/>
      <c r="E643" s="212"/>
      <c r="F643" s="212"/>
      <c r="G643" s="212"/>
      <c r="H643" s="212"/>
      <c r="J643" s="212"/>
      <c r="K643" s="212"/>
    </row>
    <row r="644" spans="1:11" ht="12.75" customHeight="1">
      <c r="A644" s="212"/>
      <c r="B644" s="212"/>
      <c r="C644" s="212"/>
      <c r="D644" s="212"/>
      <c r="E644" s="212"/>
      <c r="F644" s="212"/>
      <c r="G644" s="212"/>
      <c r="H644" s="212"/>
      <c r="J644" s="212"/>
      <c r="K644" s="212"/>
    </row>
    <row r="645" spans="1:11" ht="12.75" customHeight="1">
      <c r="A645" s="212"/>
      <c r="B645" s="212"/>
      <c r="C645" s="212"/>
      <c r="D645" s="212"/>
      <c r="E645" s="212"/>
      <c r="F645" s="212"/>
      <c r="G645" s="212"/>
      <c r="H645" s="212"/>
      <c r="J645" s="212"/>
      <c r="K645" s="212"/>
    </row>
    <row r="646" spans="1:11" ht="12.75" customHeight="1">
      <c r="A646" s="212"/>
      <c r="B646" s="212"/>
      <c r="C646" s="212"/>
      <c r="D646" s="212"/>
      <c r="E646" s="212"/>
      <c r="F646" s="212"/>
      <c r="G646" s="212"/>
      <c r="H646" s="212"/>
      <c r="J646" s="212"/>
      <c r="K646" s="212"/>
    </row>
    <row r="647" spans="1:11" ht="12.75" customHeight="1">
      <c r="A647" s="212"/>
      <c r="B647" s="212"/>
      <c r="C647" s="212"/>
      <c r="D647" s="212"/>
      <c r="E647" s="212"/>
      <c r="F647" s="212"/>
      <c r="G647" s="212"/>
      <c r="H647" s="212"/>
      <c r="J647" s="212"/>
      <c r="K647" s="212"/>
    </row>
    <row r="648" spans="1:11" ht="12.75" customHeight="1">
      <c r="A648" s="212"/>
      <c r="B648" s="212"/>
      <c r="C648" s="212"/>
      <c r="D648" s="212"/>
      <c r="E648" s="212"/>
      <c r="F648" s="212"/>
      <c r="G648" s="212"/>
      <c r="H648" s="212"/>
      <c r="J648" s="212"/>
      <c r="K648" s="212"/>
    </row>
    <row r="649" spans="1:11" ht="12.75" customHeight="1">
      <c r="A649" s="212"/>
      <c r="B649" s="212"/>
      <c r="C649" s="212"/>
      <c r="D649" s="212"/>
      <c r="E649" s="212"/>
      <c r="F649" s="212"/>
      <c r="G649" s="212"/>
      <c r="H649" s="212"/>
      <c r="J649" s="212"/>
      <c r="K649" s="212"/>
    </row>
    <row r="650" spans="1:11" ht="12.75" customHeight="1">
      <c r="A650" s="212"/>
      <c r="B650" s="212"/>
      <c r="C650" s="212"/>
      <c r="D650" s="212"/>
      <c r="E650" s="212"/>
      <c r="F650" s="212"/>
      <c r="G650" s="212"/>
      <c r="H650" s="212"/>
      <c r="J650" s="212"/>
      <c r="K650" s="212"/>
    </row>
    <row r="651" spans="1:11" ht="12.75" customHeight="1">
      <c r="A651" s="212"/>
      <c r="B651" s="212"/>
      <c r="C651" s="212"/>
      <c r="D651" s="212"/>
      <c r="E651" s="212"/>
      <c r="F651" s="212"/>
      <c r="G651" s="212"/>
      <c r="H651" s="212"/>
      <c r="J651" s="212"/>
      <c r="K651" s="212"/>
    </row>
    <row r="652" spans="1:11" ht="12.75" customHeight="1">
      <c r="A652" s="212"/>
      <c r="B652" s="212"/>
      <c r="C652" s="212"/>
      <c r="D652" s="212"/>
      <c r="E652" s="212"/>
      <c r="F652" s="212"/>
      <c r="G652" s="212"/>
      <c r="H652" s="212"/>
      <c r="J652" s="212"/>
      <c r="K652" s="212"/>
    </row>
    <row r="653" spans="1:11" ht="12.75" customHeight="1">
      <c r="A653" s="212"/>
      <c r="B653" s="212"/>
      <c r="C653" s="212"/>
      <c r="D653" s="212"/>
      <c r="E653" s="212"/>
      <c r="F653" s="212"/>
      <c r="G653" s="212"/>
      <c r="H653" s="212"/>
      <c r="J653" s="212"/>
      <c r="K653" s="212"/>
    </row>
    <row r="654" spans="1:11" ht="12.75" customHeight="1">
      <c r="A654" s="212"/>
      <c r="B654" s="212"/>
      <c r="C654" s="212"/>
      <c r="D654" s="212"/>
      <c r="E654" s="212"/>
      <c r="F654" s="212"/>
      <c r="G654" s="212"/>
      <c r="H654" s="212"/>
      <c r="J654" s="212"/>
      <c r="K654" s="212"/>
    </row>
    <row r="655" spans="1:11" ht="12.75" customHeight="1">
      <c r="A655" s="212"/>
      <c r="B655" s="212"/>
      <c r="C655" s="212"/>
      <c r="D655" s="212"/>
      <c r="E655" s="212"/>
      <c r="F655" s="212"/>
      <c r="G655" s="212"/>
      <c r="H655" s="212"/>
      <c r="J655" s="212"/>
      <c r="K655" s="212"/>
    </row>
    <row r="656" spans="1:11" ht="12.75" customHeight="1">
      <c r="A656" s="212"/>
      <c r="B656" s="212"/>
      <c r="C656" s="212"/>
      <c r="D656" s="212"/>
      <c r="E656" s="212"/>
      <c r="F656" s="212"/>
      <c r="G656" s="212"/>
      <c r="H656" s="212"/>
      <c r="J656" s="212"/>
      <c r="K656" s="212"/>
    </row>
    <row r="657" spans="1:11" ht="12.75" customHeight="1">
      <c r="A657" s="212"/>
      <c r="B657" s="212"/>
      <c r="C657" s="212"/>
      <c r="D657" s="212"/>
      <c r="E657" s="212"/>
      <c r="F657" s="212"/>
      <c r="G657" s="212"/>
      <c r="H657" s="212"/>
      <c r="J657" s="212"/>
      <c r="K657" s="212"/>
    </row>
    <row r="658" spans="1:11" ht="12.75" customHeight="1">
      <c r="A658" s="212"/>
      <c r="B658" s="212"/>
      <c r="C658" s="212"/>
      <c r="D658" s="212"/>
      <c r="E658" s="212"/>
      <c r="F658" s="212"/>
      <c r="G658" s="212"/>
      <c r="H658" s="212"/>
      <c r="J658" s="212"/>
      <c r="K658" s="212"/>
    </row>
    <row r="659" spans="1:11" ht="12.75" customHeight="1">
      <c r="A659" s="212"/>
      <c r="B659" s="212"/>
      <c r="C659" s="212"/>
      <c r="D659" s="212"/>
      <c r="E659" s="212"/>
      <c r="F659" s="212"/>
      <c r="G659" s="212"/>
      <c r="H659" s="212"/>
      <c r="J659" s="212"/>
      <c r="K659" s="212"/>
    </row>
    <row r="660" spans="1:11" ht="12.75" customHeight="1">
      <c r="A660" s="212"/>
      <c r="B660" s="212"/>
      <c r="C660" s="212"/>
      <c r="D660" s="212"/>
      <c r="E660" s="212"/>
      <c r="F660" s="212"/>
      <c r="G660" s="212"/>
      <c r="H660" s="212"/>
      <c r="J660" s="212"/>
      <c r="K660" s="212"/>
    </row>
    <row r="661" spans="1:11" ht="12.75" customHeight="1">
      <c r="A661" s="212"/>
      <c r="B661" s="212"/>
      <c r="C661" s="212"/>
      <c r="D661" s="212"/>
      <c r="E661" s="212"/>
      <c r="F661" s="212"/>
      <c r="G661" s="212"/>
      <c r="H661" s="212"/>
      <c r="J661" s="212"/>
      <c r="K661" s="212"/>
    </row>
    <row r="662" spans="1:11" ht="12.75" customHeight="1">
      <c r="A662" s="212"/>
      <c r="B662" s="212"/>
      <c r="C662" s="212"/>
      <c r="D662" s="212"/>
      <c r="E662" s="212"/>
      <c r="F662" s="212"/>
      <c r="G662" s="212"/>
      <c r="H662" s="212"/>
      <c r="J662" s="212"/>
      <c r="K662" s="212"/>
    </row>
    <row r="663" spans="1:11" ht="12.75" customHeight="1">
      <c r="A663" s="212"/>
      <c r="B663" s="212"/>
      <c r="C663" s="212"/>
      <c r="D663" s="212"/>
      <c r="E663" s="212"/>
      <c r="F663" s="212"/>
      <c r="G663" s="212"/>
      <c r="H663" s="212"/>
      <c r="J663" s="212"/>
      <c r="K663" s="212"/>
    </row>
    <row r="664" spans="1:11" ht="12.75" customHeight="1">
      <c r="A664" s="212"/>
      <c r="B664" s="212"/>
      <c r="C664" s="212"/>
      <c r="D664" s="212"/>
      <c r="E664" s="212"/>
      <c r="F664" s="212"/>
      <c r="G664" s="212"/>
      <c r="H664" s="212"/>
      <c r="J664" s="212"/>
      <c r="K664" s="212"/>
    </row>
    <row r="665" spans="1:11" ht="12.75" customHeight="1">
      <c r="A665" s="212"/>
      <c r="B665" s="212"/>
      <c r="C665" s="212"/>
      <c r="D665" s="212"/>
      <c r="E665" s="212"/>
      <c r="F665" s="212"/>
      <c r="G665" s="212"/>
      <c r="H665" s="212"/>
      <c r="J665" s="212"/>
      <c r="K665" s="212"/>
    </row>
    <row r="666" spans="1:11" ht="12.75" customHeight="1">
      <c r="A666" s="212"/>
      <c r="B666" s="212"/>
      <c r="C666" s="212"/>
      <c r="D666" s="212"/>
      <c r="E666" s="212"/>
      <c r="F666" s="212"/>
      <c r="G666" s="212"/>
      <c r="H666" s="212"/>
      <c r="J666" s="212"/>
      <c r="K666" s="212"/>
    </row>
    <row r="667" spans="1:11" ht="12.75" customHeight="1">
      <c r="A667" s="212"/>
      <c r="B667" s="212"/>
      <c r="C667" s="212"/>
      <c r="D667" s="212"/>
      <c r="E667" s="212"/>
      <c r="F667" s="212"/>
      <c r="G667" s="212"/>
      <c r="H667" s="212"/>
      <c r="J667" s="212"/>
      <c r="K667" s="212"/>
    </row>
    <row r="668" spans="1:11" ht="12.75" customHeight="1">
      <c r="A668" s="212"/>
      <c r="B668" s="212"/>
      <c r="C668" s="212"/>
      <c r="D668" s="212"/>
      <c r="E668" s="212"/>
      <c r="F668" s="212"/>
      <c r="G668" s="212"/>
      <c r="H668" s="212"/>
      <c r="J668" s="212"/>
      <c r="K668" s="212"/>
    </row>
    <row r="669" spans="1:11" ht="12.75" customHeight="1">
      <c r="A669" s="212"/>
      <c r="B669" s="212"/>
      <c r="C669" s="212"/>
      <c r="D669" s="212"/>
      <c r="E669" s="212"/>
      <c r="F669" s="212"/>
      <c r="G669" s="212"/>
      <c r="H669" s="212"/>
      <c r="J669" s="212"/>
      <c r="K669" s="212"/>
    </row>
    <row r="670" spans="1:11" ht="12.75" customHeight="1">
      <c r="A670" s="212"/>
      <c r="B670" s="212"/>
      <c r="C670" s="212"/>
      <c r="D670" s="212"/>
      <c r="E670" s="212"/>
      <c r="F670" s="212"/>
      <c r="G670" s="212"/>
      <c r="H670" s="212"/>
      <c r="J670" s="212"/>
      <c r="K670" s="212"/>
    </row>
    <row r="671" spans="1:11" ht="12.75" customHeight="1">
      <c r="A671" s="212"/>
      <c r="B671" s="212"/>
      <c r="C671" s="212"/>
      <c r="D671" s="212"/>
      <c r="E671" s="212"/>
      <c r="F671" s="212"/>
      <c r="G671" s="212"/>
      <c r="H671" s="212"/>
      <c r="J671" s="212"/>
      <c r="K671" s="212"/>
    </row>
    <row r="672" spans="1:11" ht="12.75" customHeight="1">
      <c r="A672" s="212"/>
      <c r="B672" s="212"/>
      <c r="C672" s="212"/>
      <c r="D672" s="212"/>
      <c r="E672" s="212"/>
      <c r="F672" s="212"/>
      <c r="G672" s="212"/>
      <c r="H672" s="212"/>
      <c r="J672" s="212"/>
      <c r="K672" s="212"/>
    </row>
    <row r="673" spans="1:11" ht="12.75" customHeight="1">
      <c r="A673" s="212"/>
      <c r="B673" s="212"/>
      <c r="C673" s="212"/>
      <c r="D673" s="212"/>
      <c r="E673" s="212"/>
      <c r="F673" s="212"/>
      <c r="G673" s="212"/>
      <c r="H673" s="212"/>
      <c r="J673" s="212"/>
      <c r="K673" s="212"/>
    </row>
    <row r="674" spans="1:11" ht="12.75" customHeight="1">
      <c r="A674" s="212"/>
      <c r="B674" s="212"/>
      <c r="C674" s="212"/>
      <c r="D674" s="212"/>
      <c r="E674" s="212"/>
      <c r="F674" s="212"/>
      <c r="G674" s="212"/>
      <c r="H674" s="212"/>
      <c r="J674" s="212"/>
      <c r="K674" s="212"/>
    </row>
    <row r="675" spans="1:11" ht="12.75" customHeight="1">
      <c r="A675" s="212"/>
      <c r="B675" s="212"/>
      <c r="C675" s="212"/>
      <c r="D675" s="212"/>
      <c r="E675" s="212"/>
      <c r="F675" s="212"/>
      <c r="G675" s="212"/>
      <c r="H675" s="212"/>
      <c r="J675" s="212"/>
      <c r="K675" s="212"/>
    </row>
    <row r="676" spans="1:11" ht="12.75" customHeight="1">
      <c r="A676" s="212"/>
      <c r="B676" s="212"/>
      <c r="C676" s="212"/>
      <c r="D676" s="212"/>
      <c r="E676" s="212"/>
      <c r="F676" s="212"/>
      <c r="G676" s="212"/>
      <c r="H676" s="212"/>
      <c r="J676" s="212"/>
      <c r="K676" s="212"/>
    </row>
    <row r="677" spans="1:11" ht="12.75" customHeight="1">
      <c r="A677" s="212"/>
      <c r="B677" s="212"/>
      <c r="C677" s="212"/>
      <c r="D677" s="212"/>
      <c r="E677" s="212"/>
      <c r="F677" s="212"/>
      <c r="G677" s="212"/>
      <c r="H677" s="212"/>
      <c r="J677" s="212"/>
      <c r="K677" s="212"/>
    </row>
    <row r="678" spans="1:11" ht="12.75" customHeight="1">
      <c r="A678" s="212"/>
      <c r="B678" s="212"/>
      <c r="C678" s="212"/>
      <c r="D678" s="212"/>
      <c r="E678" s="212"/>
      <c r="F678" s="212"/>
      <c r="G678" s="212"/>
      <c r="H678" s="212"/>
      <c r="J678" s="212"/>
      <c r="K678" s="212"/>
    </row>
    <row r="679" spans="1:11" ht="12.75" customHeight="1">
      <c r="A679" s="212"/>
      <c r="B679" s="212"/>
      <c r="C679" s="212"/>
      <c r="D679" s="212"/>
      <c r="E679" s="212"/>
      <c r="F679" s="212"/>
      <c r="G679" s="212"/>
      <c r="H679" s="212"/>
      <c r="J679" s="212"/>
      <c r="K679" s="212"/>
    </row>
    <row r="680" spans="1:11" ht="12.75" customHeight="1">
      <c r="A680" s="212"/>
      <c r="B680" s="212"/>
      <c r="C680" s="212"/>
      <c r="D680" s="212"/>
      <c r="E680" s="212"/>
      <c r="F680" s="212"/>
      <c r="G680" s="212"/>
      <c r="H680" s="212"/>
      <c r="J680" s="212"/>
      <c r="K680" s="212"/>
    </row>
    <row r="681" spans="1:11" ht="12.75" customHeight="1">
      <c r="A681" s="212"/>
      <c r="B681" s="212"/>
      <c r="C681" s="212"/>
      <c r="D681" s="212"/>
      <c r="E681" s="212"/>
      <c r="F681" s="212"/>
      <c r="G681" s="212"/>
      <c r="H681" s="212"/>
      <c r="J681" s="212"/>
      <c r="K681" s="212"/>
    </row>
    <row r="682" spans="1:11" ht="12.75" customHeight="1">
      <c r="A682" s="212"/>
      <c r="B682" s="212"/>
      <c r="C682" s="212"/>
      <c r="D682" s="212"/>
      <c r="E682" s="212"/>
      <c r="F682" s="212"/>
      <c r="G682" s="212"/>
      <c r="H682" s="212"/>
      <c r="J682" s="212"/>
      <c r="K682" s="212"/>
    </row>
    <row r="683" spans="1:11" ht="12.75" customHeight="1">
      <c r="A683" s="212"/>
      <c r="B683" s="212"/>
      <c r="C683" s="212"/>
      <c r="D683" s="212"/>
      <c r="E683" s="212"/>
      <c r="F683" s="212"/>
      <c r="G683" s="212"/>
      <c r="H683" s="212"/>
      <c r="J683" s="212"/>
      <c r="K683" s="212"/>
    </row>
    <row r="684" spans="1:11" ht="12.75" customHeight="1">
      <c r="A684" s="212"/>
      <c r="B684" s="212"/>
      <c r="C684" s="212"/>
      <c r="D684" s="212"/>
      <c r="E684" s="212"/>
      <c r="F684" s="212"/>
      <c r="G684" s="212"/>
      <c r="H684" s="212"/>
      <c r="J684" s="212"/>
      <c r="K684" s="212"/>
    </row>
    <row r="685" spans="1:11" ht="12.75" customHeight="1">
      <c r="A685" s="212"/>
      <c r="B685" s="212"/>
      <c r="C685" s="212"/>
      <c r="D685" s="212"/>
      <c r="E685" s="212"/>
      <c r="F685" s="212"/>
      <c r="G685" s="212"/>
      <c r="H685" s="212"/>
      <c r="J685" s="212"/>
      <c r="K685" s="212"/>
    </row>
    <row r="686" spans="1:11" ht="12.75" customHeight="1">
      <c r="A686" s="212"/>
      <c r="B686" s="212"/>
      <c r="C686" s="212"/>
      <c r="D686" s="212"/>
      <c r="E686" s="212"/>
      <c r="F686" s="212"/>
      <c r="G686" s="212"/>
      <c r="H686" s="212"/>
      <c r="J686" s="212"/>
      <c r="K686" s="212"/>
    </row>
    <row r="687" spans="1:11" ht="12.75" customHeight="1">
      <c r="A687" s="212"/>
      <c r="B687" s="212"/>
      <c r="C687" s="212"/>
      <c r="D687" s="212"/>
      <c r="E687" s="212"/>
      <c r="F687" s="212"/>
      <c r="G687" s="212"/>
      <c r="H687" s="212"/>
      <c r="J687" s="212"/>
      <c r="K687" s="212"/>
    </row>
    <row r="688" spans="1:11" ht="12.75" customHeight="1">
      <c r="A688" s="212"/>
      <c r="B688" s="212"/>
      <c r="C688" s="212"/>
      <c r="D688" s="212"/>
      <c r="E688" s="212"/>
      <c r="F688" s="212"/>
      <c r="G688" s="212"/>
      <c r="H688" s="212"/>
      <c r="J688" s="212"/>
      <c r="K688" s="212"/>
    </row>
    <row r="689" spans="1:11" ht="12.75" customHeight="1">
      <c r="A689" s="212"/>
      <c r="B689" s="212"/>
      <c r="C689" s="212"/>
      <c r="D689" s="212"/>
      <c r="E689" s="212"/>
      <c r="F689" s="212"/>
      <c r="G689" s="212"/>
      <c r="H689" s="212"/>
      <c r="J689" s="212"/>
      <c r="K689" s="212"/>
    </row>
    <row r="690" spans="1:11" ht="12.75" customHeight="1">
      <c r="A690" s="212"/>
      <c r="B690" s="212"/>
      <c r="C690" s="212"/>
      <c r="D690" s="212"/>
      <c r="E690" s="212"/>
      <c r="F690" s="212"/>
      <c r="G690" s="212"/>
      <c r="H690" s="212"/>
      <c r="J690" s="212"/>
      <c r="K690" s="212"/>
    </row>
    <row r="691" spans="1:11" ht="12.75" customHeight="1">
      <c r="A691" s="212"/>
      <c r="B691" s="212"/>
      <c r="C691" s="212"/>
      <c r="D691" s="212"/>
      <c r="E691" s="212"/>
      <c r="F691" s="212"/>
      <c r="G691" s="212"/>
      <c r="H691" s="212"/>
      <c r="J691" s="212"/>
      <c r="K691" s="212"/>
    </row>
    <row r="692" spans="1:11" ht="12.75" customHeight="1">
      <c r="A692" s="212"/>
      <c r="B692" s="212"/>
      <c r="C692" s="212"/>
      <c r="D692" s="212"/>
      <c r="E692" s="212"/>
      <c r="F692" s="212"/>
      <c r="G692" s="212"/>
      <c r="H692" s="212"/>
      <c r="J692" s="212"/>
      <c r="K692" s="212"/>
    </row>
    <row r="693" spans="1:11" ht="12.75" customHeight="1">
      <c r="A693" s="212"/>
      <c r="B693" s="212"/>
      <c r="C693" s="212"/>
      <c r="D693" s="212"/>
      <c r="E693" s="212"/>
      <c r="F693" s="212"/>
      <c r="G693" s="212"/>
      <c r="H693" s="212"/>
      <c r="J693" s="212"/>
      <c r="K693" s="212"/>
    </row>
    <row r="694" spans="1:11" ht="12.75" customHeight="1">
      <c r="A694" s="212"/>
      <c r="B694" s="212"/>
      <c r="C694" s="212"/>
      <c r="D694" s="212"/>
      <c r="E694" s="212"/>
      <c r="F694" s="212"/>
      <c r="G694" s="212"/>
      <c r="H694" s="212"/>
      <c r="J694" s="212"/>
      <c r="K694" s="212"/>
    </row>
    <row r="695" spans="1:11" ht="12.75" customHeight="1">
      <c r="A695" s="212"/>
      <c r="B695" s="212"/>
      <c r="C695" s="212"/>
      <c r="D695" s="212"/>
      <c r="E695" s="212"/>
      <c r="F695" s="212"/>
      <c r="G695" s="212"/>
      <c r="H695" s="212"/>
      <c r="J695" s="212"/>
      <c r="K695" s="212"/>
    </row>
    <row r="696" spans="1:11" ht="12.75" customHeight="1">
      <c r="A696" s="212"/>
      <c r="B696" s="212"/>
      <c r="C696" s="212"/>
      <c r="D696" s="212"/>
      <c r="E696" s="212"/>
      <c r="F696" s="212"/>
      <c r="G696" s="212"/>
      <c r="H696" s="212"/>
      <c r="J696" s="212"/>
      <c r="K696" s="212"/>
    </row>
    <row r="697" spans="1:11" ht="12.75" customHeight="1">
      <c r="A697" s="212"/>
      <c r="B697" s="212"/>
      <c r="C697" s="212"/>
      <c r="D697" s="212"/>
      <c r="E697" s="212"/>
      <c r="F697" s="212"/>
      <c r="G697" s="212"/>
      <c r="H697" s="212"/>
      <c r="J697" s="212"/>
      <c r="K697" s="212"/>
    </row>
    <row r="698" spans="1:11" ht="12.75" customHeight="1">
      <c r="A698" s="212"/>
      <c r="B698" s="212"/>
      <c r="C698" s="212"/>
      <c r="D698" s="212"/>
      <c r="E698" s="212"/>
      <c r="F698" s="212"/>
      <c r="G698" s="212"/>
      <c r="H698" s="212"/>
      <c r="J698" s="212"/>
      <c r="K698" s="212"/>
    </row>
    <row r="699" spans="1:11" ht="12.75" customHeight="1">
      <c r="A699" s="212"/>
      <c r="B699" s="212"/>
      <c r="C699" s="212"/>
      <c r="D699" s="212"/>
      <c r="E699" s="212"/>
      <c r="F699" s="212"/>
      <c r="G699" s="212"/>
      <c r="H699" s="212"/>
      <c r="J699" s="212"/>
      <c r="K699" s="212"/>
    </row>
    <row r="700" spans="1:11" ht="12.75" customHeight="1">
      <c r="A700" s="212"/>
      <c r="B700" s="212"/>
      <c r="C700" s="212"/>
      <c r="D700" s="212"/>
      <c r="E700" s="212"/>
      <c r="F700" s="212"/>
      <c r="G700" s="212"/>
      <c r="H700" s="212"/>
      <c r="J700" s="212"/>
      <c r="K700" s="212"/>
    </row>
    <row r="701" spans="1:11" ht="12.75" customHeight="1">
      <c r="A701" s="212"/>
      <c r="B701" s="212"/>
      <c r="C701" s="212"/>
      <c r="D701" s="212"/>
      <c r="E701" s="212"/>
      <c r="F701" s="212"/>
      <c r="G701" s="212"/>
      <c r="H701" s="212"/>
      <c r="J701" s="212"/>
      <c r="K701" s="212"/>
    </row>
    <row r="702" spans="1:11" ht="12.75" customHeight="1">
      <c r="A702" s="212"/>
      <c r="B702" s="212"/>
      <c r="C702" s="212"/>
      <c r="D702" s="212"/>
      <c r="E702" s="212"/>
      <c r="F702" s="212"/>
      <c r="G702" s="212"/>
      <c r="H702" s="212"/>
      <c r="J702" s="212"/>
      <c r="K702" s="212"/>
    </row>
    <row r="703" spans="1:11" ht="12.75" customHeight="1">
      <c r="A703" s="212"/>
      <c r="B703" s="212"/>
      <c r="C703" s="212"/>
      <c r="D703" s="212"/>
      <c r="E703" s="212"/>
      <c r="F703" s="212"/>
      <c r="G703" s="212"/>
      <c r="H703" s="212"/>
      <c r="J703" s="212"/>
      <c r="K703" s="212"/>
    </row>
    <row r="704" spans="1:11" ht="12.75" customHeight="1">
      <c r="A704" s="212"/>
      <c r="B704" s="212"/>
      <c r="C704" s="212"/>
      <c r="D704" s="212"/>
      <c r="E704" s="212"/>
      <c r="F704" s="212"/>
      <c r="G704" s="212"/>
      <c r="H704" s="212"/>
      <c r="J704" s="212"/>
      <c r="K704" s="212"/>
    </row>
    <row r="705" spans="1:11" ht="12.75" customHeight="1">
      <c r="A705" s="212"/>
      <c r="B705" s="212"/>
      <c r="C705" s="212"/>
      <c r="D705" s="212"/>
      <c r="E705" s="212"/>
      <c r="F705" s="212"/>
      <c r="G705" s="212"/>
      <c r="H705" s="212"/>
      <c r="J705" s="212"/>
      <c r="K705" s="212"/>
    </row>
    <row r="706" spans="1:11" ht="12.75" customHeight="1">
      <c r="A706" s="212"/>
      <c r="B706" s="212"/>
      <c r="C706" s="212"/>
      <c r="D706" s="212"/>
      <c r="E706" s="212"/>
      <c r="F706" s="212"/>
      <c r="G706" s="212"/>
      <c r="H706" s="212"/>
      <c r="J706" s="212"/>
      <c r="K706" s="212"/>
    </row>
    <row r="707" spans="1:11" ht="12.75" customHeight="1">
      <c r="A707" s="212"/>
      <c r="B707" s="212"/>
      <c r="C707" s="212"/>
      <c r="D707" s="212"/>
      <c r="E707" s="212"/>
      <c r="F707" s="212"/>
      <c r="G707" s="212"/>
      <c r="H707" s="212"/>
      <c r="J707" s="212"/>
      <c r="K707" s="212"/>
    </row>
    <row r="708" spans="1:11" ht="12.75" customHeight="1">
      <c r="A708" s="212"/>
      <c r="B708" s="212"/>
      <c r="C708" s="212"/>
      <c r="D708" s="212"/>
      <c r="E708" s="212"/>
      <c r="F708" s="212"/>
      <c r="G708" s="212"/>
      <c r="H708" s="212"/>
      <c r="J708" s="212"/>
      <c r="K708" s="212"/>
    </row>
    <row r="709" spans="1:11" ht="12.75" customHeight="1">
      <c r="A709" s="212"/>
      <c r="B709" s="212"/>
      <c r="C709" s="212"/>
      <c r="D709" s="212"/>
      <c r="E709" s="212"/>
      <c r="F709" s="212"/>
      <c r="G709" s="212"/>
      <c r="H709" s="212"/>
      <c r="J709" s="212"/>
      <c r="K709" s="212"/>
    </row>
    <row r="710" spans="1:11" ht="12.75" customHeight="1">
      <c r="A710" s="212"/>
      <c r="B710" s="212"/>
      <c r="C710" s="212"/>
      <c r="D710" s="212"/>
      <c r="E710" s="212"/>
      <c r="F710" s="212"/>
      <c r="G710" s="212"/>
      <c r="H710" s="212"/>
      <c r="J710" s="212"/>
      <c r="K710" s="212"/>
    </row>
    <row r="711" spans="1:11" ht="12.75" customHeight="1">
      <c r="A711" s="212"/>
      <c r="B711" s="212"/>
      <c r="C711" s="212"/>
      <c r="D711" s="212"/>
      <c r="E711" s="212"/>
      <c r="F711" s="212"/>
      <c r="G711" s="212"/>
      <c r="H711" s="212"/>
      <c r="J711" s="212"/>
      <c r="K711" s="212"/>
    </row>
    <row r="712" spans="1:11" ht="12.75" customHeight="1">
      <c r="A712" s="212"/>
      <c r="B712" s="212"/>
      <c r="C712" s="212"/>
      <c r="D712" s="212"/>
      <c r="E712" s="212"/>
      <c r="F712" s="212"/>
      <c r="G712" s="212"/>
      <c r="H712" s="212"/>
      <c r="J712" s="212"/>
      <c r="K712" s="212"/>
    </row>
    <row r="713" spans="1:11" ht="12.75" customHeight="1">
      <c r="A713" s="212"/>
      <c r="B713" s="212"/>
      <c r="C713" s="212"/>
      <c r="D713" s="212"/>
      <c r="E713" s="212"/>
      <c r="F713" s="212"/>
      <c r="G713" s="212"/>
      <c r="H713" s="212"/>
      <c r="J713" s="212"/>
      <c r="K713" s="212"/>
    </row>
    <row r="714" spans="1:11" ht="12.75" customHeight="1">
      <c r="A714" s="212"/>
      <c r="B714" s="212"/>
      <c r="C714" s="212"/>
      <c r="D714" s="212"/>
      <c r="E714" s="212"/>
      <c r="F714" s="212"/>
      <c r="G714" s="212"/>
      <c r="H714" s="212"/>
      <c r="J714" s="212"/>
      <c r="K714" s="212"/>
    </row>
    <row r="715" spans="1:11" ht="12.75" customHeight="1">
      <c r="A715" s="212"/>
      <c r="B715" s="212"/>
      <c r="C715" s="212"/>
      <c r="D715" s="212"/>
      <c r="E715" s="212"/>
      <c r="F715" s="212"/>
      <c r="G715" s="212"/>
      <c r="H715" s="212"/>
      <c r="J715" s="212"/>
      <c r="K715" s="212"/>
    </row>
    <row r="716" spans="1:11" ht="12.75" customHeight="1">
      <c r="A716" s="212"/>
      <c r="B716" s="212"/>
      <c r="C716" s="212"/>
      <c r="D716" s="212"/>
      <c r="E716" s="212"/>
      <c r="F716" s="212"/>
      <c r="G716" s="212"/>
      <c r="H716" s="212"/>
      <c r="J716" s="212"/>
      <c r="K716" s="212"/>
    </row>
    <row r="717" spans="1:11" ht="12.75" customHeight="1">
      <c r="A717" s="212"/>
      <c r="B717" s="212"/>
      <c r="C717" s="212"/>
      <c r="D717" s="212"/>
      <c r="E717" s="212"/>
      <c r="F717" s="212"/>
      <c r="G717" s="212"/>
      <c r="H717" s="212"/>
      <c r="J717" s="212"/>
      <c r="K717" s="212"/>
    </row>
    <row r="718" spans="1:11" ht="12.75" customHeight="1">
      <c r="A718" s="212"/>
      <c r="B718" s="212"/>
      <c r="C718" s="212"/>
      <c r="D718" s="212"/>
      <c r="E718" s="212"/>
      <c r="F718" s="212"/>
      <c r="G718" s="212"/>
      <c r="H718" s="212"/>
      <c r="J718" s="212"/>
      <c r="K718" s="212"/>
    </row>
    <row r="719" spans="1:11" ht="12.75" customHeight="1">
      <c r="A719" s="212"/>
      <c r="B719" s="212"/>
      <c r="C719" s="212"/>
      <c r="D719" s="212"/>
      <c r="E719" s="212"/>
      <c r="F719" s="212"/>
      <c r="G719" s="212"/>
      <c r="H719" s="212"/>
      <c r="J719" s="212"/>
      <c r="K719" s="212"/>
    </row>
    <row r="720" spans="1:11" ht="12.75" customHeight="1">
      <c r="A720" s="212"/>
      <c r="B720" s="212"/>
      <c r="C720" s="212"/>
      <c r="D720" s="212"/>
      <c r="E720" s="212"/>
      <c r="F720" s="212"/>
      <c r="G720" s="212"/>
      <c r="H720" s="212"/>
      <c r="J720" s="212"/>
      <c r="K720" s="212"/>
    </row>
    <row r="721" spans="1:11" ht="12.75" customHeight="1">
      <c r="A721" s="212"/>
      <c r="B721" s="212"/>
      <c r="C721" s="212"/>
      <c r="D721" s="212"/>
      <c r="E721" s="212"/>
      <c r="F721" s="212"/>
      <c r="G721" s="212"/>
      <c r="H721" s="212"/>
      <c r="J721" s="212"/>
      <c r="K721" s="212"/>
    </row>
    <row r="722" spans="1:11" ht="12.75" customHeight="1">
      <c r="A722" s="212"/>
      <c r="B722" s="212"/>
      <c r="C722" s="212"/>
      <c r="D722" s="212"/>
      <c r="E722" s="212"/>
      <c r="F722" s="212"/>
      <c r="G722" s="212"/>
      <c r="H722" s="212"/>
      <c r="J722" s="212"/>
      <c r="K722" s="212"/>
    </row>
    <row r="723" spans="1:11" ht="12.75" customHeight="1">
      <c r="A723" s="212"/>
      <c r="B723" s="212"/>
      <c r="C723" s="212"/>
      <c r="D723" s="212"/>
      <c r="E723" s="212"/>
      <c r="F723" s="212"/>
      <c r="G723" s="212"/>
      <c r="H723" s="212"/>
      <c r="J723" s="212"/>
      <c r="K723" s="212"/>
    </row>
    <row r="724" spans="1:11" ht="12.75" customHeight="1">
      <c r="A724" s="212"/>
      <c r="B724" s="212"/>
      <c r="C724" s="212"/>
      <c r="D724" s="212"/>
      <c r="E724" s="212"/>
      <c r="F724" s="212"/>
      <c r="G724" s="212"/>
      <c r="H724" s="212"/>
      <c r="J724" s="212"/>
      <c r="K724" s="212"/>
    </row>
    <row r="725" spans="1:11" ht="12.75" customHeight="1">
      <c r="A725" s="212"/>
      <c r="B725" s="212"/>
      <c r="C725" s="212"/>
      <c r="D725" s="212"/>
      <c r="E725" s="212"/>
      <c r="F725" s="212"/>
      <c r="G725" s="212"/>
      <c r="H725" s="212"/>
      <c r="J725" s="212"/>
      <c r="K725" s="212"/>
    </row>
    <row r="726" spans="1:11" ht="12.75" customHeight="1">
      <c r="A726" s="212"/>
      <c r="B726" s="212"/>
      <c r="C726" s="212"/>
      <c r="D726" s="212"/>
      <c r="E726" s="212"/>
      <c r="F726" s="212"/>
      <c r="G726" s="212"/>
      <c r="H726" s="212"/>
      <c r="J726" s="212"/>
      <c r="K726" s="212"/>
    </row>
    <row r="727" spans="1:11" ht="12.75" customHeight="1">
      <c r="A727" s="212"/>
      <c r="B727" s="212"/>
      <c r="C727" s="212"/>
      <c r="D727" s="212"/>
      <c r="E727" s="212"/>
      <c r="F727" s="212"/>
      <c r="G727" s="212"/>
      <c r="H727" s="212"/>
      <c r="J727" s="212"/>
      <c r="K727" s="212"/>
    </row>
    <row r="728" spans="1:11" ht="12.75" customHeight="1">
      <c r="A728" s="212"/>
      <c r="B728" s="212"/>
      <c r="C728" s="212"/>
      <c r="D728" s="212"/>
      <c r="E728" s="212"/>
      <c r="F728" s="212"/>
      <c r="G728" s="212"/>
      <c r="H728" s="212"/>
      <c r="J728" s="212"/>
      <c r="K728" s="212"/>
    </row>
    <row r="729" spans="1:11" ht="12.75" customHeight="1">
      <c r="A729" s="212"/>
      <c r="B729" s="212"/>
      <c r="C729" s="212"/>
      <c r="D729" s="212"/>
      <c r="E729" s="212"/>
      <c r="F729" s="212"/>
      <c r="G729" s="212"/>
      <c r="H729" s="212"/>
      <c r="J729" s="212"/>
      <c r="K729" s="212"/>
    </row>
    <row r="730" spans="1:11" ht="12.75" customHeight="1">
      <c r="A730" s="212"/>
      <c r="B730" s="212"/>
      <c r="C730" s="212"/>
      <c r="D730" s="212"/>
      <c r="E730" s="212"/>
      <c r="F730" s="212"/>
      <c r="G730" s="212"/>
      <c r="H730" s="212"/>
      <c r="J730" s="212"/>
      <c r="K730" s="212"/>
    </row>
    <row r="731" spans="1:11" ht="12.75" customHeight="1">
      <c r="A731" s="212"/>
      <c r="B731" s="212"/>
      <c r="C731" s="212"/>
      <c r="D731" s="212"/>
      <c r="E731" s="212"/>
      <c r="F731" s="212"/>
      <c r="G731" s="212"/>
      <c r="H731" s="212"/>
      <c r="J731" s="212"/>
      <c r="K731" s="212"/>
    </row>
    <row r="732" spans="1:11" ht="12.75" customHeight="1">
      <c r="A732" s="212"/>
      <c r="B732" s="212"/>
      <c r="C732" s="212"/>
      <c r="D732" s="212"/>
      <c r="E732" s="212"/>
      <c r="F732" s="212"/>
      <c r="G732" s="212"/>
      <c r="H732" s="212"/>
      <c r="J732" s="212"/>
      <c r="K732" s="212"/>
    </row>
    <row r="733" spans="1:11" ht="12.75" customHeight="1">
      <c r="A733" s="212"/>
      <c r="B733" s="212"/>
      <c r="C733" s="212"/>
      <c r="D733" s="212"/>
      <c r="E733" s="212"/>
      <c r="F733" s="212"/>
      <c r="G733" s="212"/>
      <c r="H733" s="212"/>
      <c r="J733" s="212"/>
      <c r="K733" s="212"/>
    </row>
    <row r="734" spans="1:11" ht="12.75" customHeight="1">
      <c r="A734" s="212"/>
      <c r="B734" s="212"/>
      <c r="C734" s="212"/>
      <c r="D734" s="212"/>
      <c r="E734" s="212"/>
      <c r="F734" s="212"/>
      <c r="G734" s="212"/>
      <c r="H734" s="212"/>
      <c r="J734" s="212"/>
      <c r="K734" s="212"/>
    </row>
    <row r="735" spans="1:11" ht="12.75" customHeight="1">
      <c r="A735" s="212"/>
      <c r="B735" s="212"/>
      <c r="C735" s="212"/>
      <c r="D735" s="212"/>
      <c r="E735" s="212"/>
      <c r="F735" s="212"/>
      <c r="G735" s="212"/>
      <c r="H735" s="212"/>
      <c r="J735" s="212"/>
      <c r="K735" s="212"/>
    </row>
    <row r="736" spans="1:11" ht="12.75" customHeight="1">
      <c r="A736" s="212"/>
      <c r="B736" s="212"/>
      <c r="C736" s="212"/>
      <c r="D736" s="212"/>
      <c r="E736" s="212"/>
      <c r="F736" s="212"/>
      <c r="G736" s="212"/>
      <c r="H736" s="212"/>
      <c r="J736" s="212"/>
      <c r="K736" s="212"/>
    </row>
    <row r="737" spans="1:11" ht="12.75" customHeight="1">
      <c r="A737" s="212"/>
      <c r="B737" s="212"/>
      <c r="C737" s="212"/>
      <c r="D737" s="212"/>
      <c r="E737" s="212"/>
      <c r="F737" s="212"/>
      <c r="G737" s="212"/>
      <c r="H737" s="212"/>
      <c r="J737" s="212"/>
      <c r="K737" s="212"/>
    </row>
    <row r="738" spans="1:11" ht="12.75" customHeight="1">
      <c r="A738" s="212"/>
      <c r="B738" s="212"/>
      <c r="C738" s="212"/>
      <c r="D738" s="212"/>
      <c r="E738" s="212"/>
      <c r="F738" s="212"/>
      <c r="G738" s="212"/>
      <c r="H738" s="212"/>
      <c r="J738" s="212"/>
      <c r="K738" s="212"/>
    </row>
    <row r="739" spans="1:11" ht="12.75" customHeight="1">
      <c r="A739" s="212"/>
      <c r="B739" s="212"/>
      <c r="C739" s="212"/>
      <c r="D739" s="212"/>
      <c r="E739" s="212"/>
      <c r="F739" s="212"/>
      <c r="G739" s="212"/>
      <c r="H739" s="212"/>
      <c r="J739" s="212"/>
      <c r="K739" s="212"/>
    </row>
    <row r="740" spans="1:11" ht="12.75" customHeight="1">
      <c r="A740" s="212"/>
      <c r="B740" s="212"/>
      <c r="C740" s="212"/>
      <c r="D740" s="212"/>
      <c r="E740" s="212"/>
      <c r="F740" s="212"/>
      <c r="G740" s="212"/>
      <c r="H740" s="212"/>
      <c r="J740" s="212"/>
      <c r="K740" s="212"/>
    </row>
    <row r="741" spans="1:11" ht="12.75" customHeight="1">
      <c r="A741" s="212"/>
      <c r="B741" s="212"/>
      <c r="C741" s="212"/>
      <c r="D741" s="212"/>
      <c r="E741" s="212"/>
      <c r="F741" s="212"/>
      <c r="G741" s="212"/>
      <c r="H741" s="212"/>
      <c r="J741" s="212"/>
      <c r="K741" s="212"/>
    </row>
    <row r="742" spans="1:11" ht="12.75" customHeight="1">
      <c r="A742" s="212"/>
      <c r="B742" s="212"/>
      <c r="C742" s="212"/>
      <c r="D742" s="212"/>
      <c r="E742" s="212"/>
      <c r="F742" s="212"/>
      <c r="G742" s="212"/>
      <c r="H742" s="212"/>
      <c r="J742" s="212"/>
      <c r="K742" s="212"/>
    </row>
    <row r="743" spans="1:11" ht="12.75" customHeight="1">
      <c r="A743" s="212"/>
      <c r="B743" s="212"/>
      <c r="C743" s="212"/>
      <c r="D743" s="212"/>
      <c r="E743" s="212"/>
      <c r="F743" s="212"/>
      <c r="G743" s="212"/>
      <c r="H743" s="212"/>
      <c r="J743" s="212"/>
      <c r="K743" s="212"/>
    </row>
    <row r="744" spans="1:11" ht="12.75" customHeight="1">
      <c r="A744" s="212"/>
      <c r="B744" s="212"/>
      <c r="C744" s="212"/>
      <c r="D744" s="212"/>
      <c r="E744" s="212"/>
      <c r="F744" s="212"/>
      <c r="G744" s="212"/>
      <c r="H744" s="212"/>
      <c r="J744" s="212"/>
      <c r="K744" s="212"/>
    </row>
    <row r="745" spans="1:11" ht="12.75" customHeight="1">
      <c r="A745" s="212"/>
      <c r="B745" s="212"/>
      <c r="C745" s="212"/>
      <c r="D745" s="212"/>
      <c r="E745" s="212"/>
      <c r="F745" s="212"/>
      <c r="G745" s="212"/>
      <c r="H745" s="212"/>
      <c r="J745" s="212"/>
      <c r="K745" s="212"/>
    </row>
    <row r="746" spans="1:11" ht="12.75" customHeight="1">
      <c r="A746" s="212"/>
      <c r="B746" s="212"/>
      <c r="C746" s="212"/>
      <c r="D746" s="212"/>
      <c r="E746" s="212"/>
      <c r="F746" s="212"/>
      <c r="G746" s="212"/>
      <c r="H746" s="212"/>
      <c r="J746" s="212"/>
      <c r="K746" s="212"/>
    </row>
    <row r="747" spans="1:11" ht="12.75" customHeight="1">
      <c r="A747" s="212"/>
      <c r="B747" s="212"/>
      <c r="C747" s="212"/>
      <c r="D747" s="212"/>
      <c r="E747" s="212"/>
      <c r="F747" s="212"/>
      <c r="G747" s="212"/>
      <c r="H747" s="212"/>
      <c r="J747" s="212"/>
      <c r="K747" s="212"/>
    </row>
    <row r="748" spans="1:11" ht="12.75" customHeight="1">
      <c r="A748" s="212"/>
      <c r="B748" s="212"/>
      <c r="C748" s="212"/>
      <c r="D748" s="212"/>
      <c r="E748" s="212"/>
      <c r="F748" s="212"/>
      <c r="G748" s="212"/>
      <c r="H748" s="212"/>
      <c r="J748" s="212"/>
      <c r="K748" s="212"/>
    </row>
    <row r="749" spans="1:11" ht="12.75" customHeight="1">
      <c r="A749" s="212"/>
      <c r="B749" s="212"/>
      <c r="C749" s="212"/>
      <c r="D749" s="212"/>
      <c r="E749" s="212"/>
      <c r="F749" s="212"/>
      <c r="G749" s="212"/>
      <c r="H749" s="212"/>
      <c r="J749" s="212"/>
      <c r="K749" s="212"/>
    </row>
    <row r="750" spans="1:11" ht="12.75" customHeight="1">
      <c r="A750" s="212"/>
      <c r="B750" s="212"/>
      <c r="C750" s="212"/>
      <c r="D750" s="212"/>
      <c r="E750" s="212"/>
      <c r="F750" s="212"/>
      <c r="G750" s="212"/>
      <c r="H750" s="212"/>
      <c r="J750" s="212"/>
      <c r="K750" s="212"/>
    </row>
    <row r="751" spans="1:11" ht="12.75" customHeight="1">
      <c r="A751" s="212"/>
      <c r="B751" s="212"/>
      <c r="C751" s="212"/>
      <c r="D751" s="212"/>
      <c r="E751" s="212"/>
      <c r="F751" s="212"/>
      <c r="G751" s="212"/>
      <c r="H751" s="212"/>
      <c r="J751" s="212"/>
      <c r="K751" s="212"/>
    </row>
    <row r="752" spans="1:11" ht="12.75" customHeight="1">
      <c r="A752" s="212"/>
      <c r="B752" s="212"/>
      <c r="C752" s="212"/>
      <c r="D752" s="212"/>
      <c r="E752" s="212"/>
      <c r="F752" s="212"/>
      <c r="G752" s="212"/>
      <c r="H752" s="212"/>
      <c r="J752" s="212"/>
      <c r="K752" s="212"/>
    </row>
    <row r="753" spans="1:11" ht="12.75" customHeight="1">
      <c r="A753" s="212"/>
      <c r="B753" s="212"/>
      <c r="C753" s="212"/>
      <c r="D753" s="212"/>
      <c r="E753" s="212"/>
      <c r="F753" s="212"/>
      <c r="G753" s="212"/>
      <c r="H753" s="212"/>
      <c r="J753" s="212"/>
      <c r="K753" s="212"/>
    </row>
    <row r="754" spans="1:11" ht="12.75" customHeight="1">
      <c r="A754" s="212"/>
      <c r="B754" s="212"/>
      <c r="C754" s="212"/>
      <c r="D754" s="212"/>
      <c r="E754" s="212"/>
      <c r="F754" s="212"/>
      <c r="G754" s="212"/>
      <c r="H754" s="212"/>
      <c r="J754" s="212"/>
      <c r="K754" s="212"/>
    </row>
    <row r="755" spans="1:11" ht="12.75" customHeight="1">
      <c r="A755" s="212"/>
      <c r="B755" s="212"/>
      <c r="C755" s="212"/>
      <c r="D755" s="212"/>
      <c r="E755" s="212"/>
      <c r="F755" s="212"/>
      <c r="G755" s="212"/>
      <c r="H755" s="212"/>
      <c r="J755" s="212"/>
      <c r="K755" s="212"/>
    </row>
    <row r="756" spans="1:11" ht="12.75" customHeight="1">
      <c r="A756" s="212"/>
      <c r="B756" s="212"/>
      <c r="C756" s="212"/>
      <c r="D756" s="212"/>
      <c r="E756" s="212"/>
      <c r="F756" s="212"/>
      <c r="G756" s="212"/>
      <c r="H756" s="212"/>
      <c r="J756" s="212"/>
      <c r="K756" s="212"/>
    </row>
    <row r="757" spans="1:11" ht="12.75" customHeight="1">
      <c r="A757" s="212"/>
      <c r="B757" s="212"/>
      <c r="C757" s="212"/>
      <c r="D757" s="212"/>
      <c r="E757" s="212"/>
      <c r="F757" s="212"/>
      <c r="G757" s="212"/>
      <c r="H757" s="212"/>
      <c r="J757" s="212"/>
      <c r="K757" s="212"/>
    </row>
    <row r="758" spans="1:11" ht="12.75" customHeight="1">
      <c r="A758" s="212"/>
      <c r="B758" s="212"/>
      <c r="C758" s="212"/>
      <c r="D758" s="212"/>
      <c r="E758" s="212"/>
      <c r="F758" s="212"/>
      <c r="G758" s="212"/>
      <c r="H758" s="212"/>
      <c r="J758" s="212"/>
      <c r="K758" s="212"/>
    </row>
    <row r="759" spans="1:11" ht="12.75" customHeight="1">
      <c r="A759" s="212"/>
      <c r="B759" s="212"/>
      <c r="C759" s="212"/>
      <c r="D759" s="212"/>
      <c r="E759" s="212"/>
      <c r="F759" s="212"/>
      <c r="G759" s="212"/>
      <c r="H759" s="212"/>
      <c r="J759" s="212"/>
      <c r="K759" s="212"/>
    </row>
    <row r="760" spans="1:11" ht="12.75" customHeight="1">
      <c r="A760" s="212"/>
      <c r="B760" s="212"/>
      <c r="C760" s="212"/>
      <c r="D760" s="212"/>
      <c r="E760" s="212"/>
      <c r="F760" s="212"/>
      <c r="G760" s="212"/>
      <c r="H760" s="212"/>
      <c r="J760" s="212"/>
      <c r="K760" s="212"/>
    </row>
    <row r="761" spans="1:11" ht="12.75" customHeight="1">
      <c r="A761" s="212"/>
      <c r="B761" s="212"/>
      <c r="C761" s="212"/>
      <c r="D761" s="212"/>
      <c r="E761" s="212"/>
      <c r="F761" s="212"/>
      <c r="G761" s="212"/>
      <c r="H761" s="212"/>
      <c r="J761" s="212"/>
      <c r="K761" s="212"/>
    </row>
    <row r="762" spans="1:11" ht="12.75" customHeight="1">
      <c r="A762" s="212"/>
      <c r="B762" s="212"/>
      <c r="C762" s="212"/>
      <c r="D762" s="212"/>
      <c r="E762" s="212"/>
      <c r="F762" s="212"/>
      <c r="G762" s="212"/>
      <c r="H762" s="212"/>
      <c r="J762" s="212"/>
      <c r="K762" s="212"/>
    </row>
    <row r="763" spans="1:11" ht="12.75" customHeight="1">
      <c r="A763" s="212"/>
      <c r="B763" s="212"/>
      <c r="C763" s="212"/>
      <c r="D763" s="212"/>
      <c r="E763" s="212"/>
      <c r="F763" s="212"/>
      <c r="G763" s="212"/>
      <c r="H763" s="212"/>
      <c r="J763" s="212"/>
      <c r="K763" s="212"/>
    </row>
    <row r="764" spans="1:11" ht="12.75" customHeight="1">
      <c r="A764" s="212"/>
      <c r="B764" s="212"/>
      <c r="C764" s="212"/>
      <c r="D764" s="212"/>
      <c r="E764" s="212"/>
      <c r="F764" s="212"/>
      <c r="G764" s="212"/>
      <c r="H764" s="212"/>
      <c r="J764" s="212"/>
      <c r="K764" s="212"/>
    </row>
    <row r="765" spans="1:11" ht="12.75" customHeight="1">
      <c r="A765" s="212"/>
      <c r="B765" s="212"/>
      <c r="C765" s="212"/>
      <c r="D765" s="212"/>
      <c r="E765" s="212"/>
      <c r="F765" s="212"/>
      <c r="G765" s="212"/>
      <c r="H765" s="212"/>
      <c r="J765" s="212"/>
      <c r="K765" s="212"/>
    </row>
    <row r="766" spans="1:11" ht="12.75" customHeight="1">
      <c r="A766" s="212"/>
      <c r="B766" s="212"/>
      <c r="C766" s="212"/>
      <c r="D766" s="212"/>
      <c r="E766" s="212"/>
      <c r="F766" s="212"/>
      <c r="G766" s="212"/>
      <c r="H766" s="212"/>
      <c r="J766" s="212"/>
      <c r="K766" s="212"/>
    </row>
    <row r="767" spans="1:11" ht="12.75" customHeight="1">
      <c r="A767" s="212"/>
      <c r="B767" s="212"/>
      <c r="C767" s="212"/>
      <c r="D767" s="212"/>
      <c r="E767" s="212"/>
      <c r="F767" s="212"/>
      <c r="G767" s="212"/>
      <c r="H767" s="212"/>
      <c r="J767" s="212"/>
      <c r="K767" s="212"/>
    </row>
    <row r="768" spans="1:11" ht="12.75" customHeight="1">
      <c r="A768" s="212"/>
      <c r="B768" s="212"/>
      <c r="C768" s="212"/>
      <c r="D768" s="212"/>
      <c r="E768" s="212"/>
      <c r="F768" s="212"/>
      <c r="G768" s="212"/>
      <c r="H768" s="212"/>
      <c r="J768" s="212"/>
      <c r="K768" s="212"/>
    </row>
    <row r="769" spans="1:11" ht="12.75" customHeight="1">
      <c r="A769" s="212"/>
      <c r="B769" s="212"/>
      <c r="C769" s="212"/>
      <c r="D769" s="212"/>
      <c r="E769" s="212"/>
      <c r="F769" s="212"/>
      <c r="G769" s="212"/>
      <c r="H769" s="212"/>
      <c r="J769" s="212"/>
      <c r="K769" s="212"/>
    </row>
    <row r="770" spans="1:11" ht="12.75" customHeight="1">
      <c r="A770" s="212"/>
      <c r="B770" s="212"/>
      <c r="C770" s="212"/>
      <c r="D770" s="212"/>
      <c r="E770" s="212"/>
      <c r="F770" s="212"/>
      <c r="G770" s="212"/>
      <c r="H770" s="212"/>
      <c r="J770" s="212"/>
      <c r="K770" s="212"/>
    </row>
    <row r="771" spans="1:11" ht="12.75" customHeight="1">
      <c r="A771" s="212"/>
      <c r="B771" s="212"/>
      <c r="C771" s="212"/>
      <c r="D771" s="212"/>
      <c r="E771" s="212"/>
      <c r="F771" s="212"/>
      <c r="G771" s="212"/>
      <c r="H771" s="212"/>
      <c r="J771" s="212"/>
      <c r="K771" s="212"/>
    </row>
    <row r="772" spans="1:11" ht="12.75" customHeight="1">
      <c r="A772" s="212"/>
      <c r="B772" s="212"/>
      <c r="C772" s="212"/>
      <c r="D772" s="212"/>
      <c r="E772" s="212"/>
      <c r="F772" s="212"/>
      <c r="G772" s="212"/>
      <c r="H772" s="212"/>
      <c r="J772" s="212"/>
      <c r="K772" s="212"/>
    </row>
    <row r="773" spans="1:11" ht="12.75" customHeight="1">
      <c r="A773" s="212"/>
      <c r="B773" s="212"/>
      <c r="C773" s="212"/>
      <c r="D773" s="212"/>
      <c r="E773" s="212"/>
      <c r="F773" s="212"/>
      <c r="G773" s="212"/>
      <c r="H773" s="212"/>
      <c r="J773" s="212"/>
      <c r="K773" s="212"/>
    </row>
    <row r="774" spans="1:11" ht="12.75" customHeight="1">
      <c r="A774" s="212"/>
      <c r="B774" s="212"/>
      <c r="C774" s="212"/>
      <c r="D774" s="212"/>
      <c r="E774" s="212"/>
      <c r="F774" s="212"/>
      <c r="G774" s="212"/>
      <c r="H774" s="212"/>
      <c r="J774" s="212"/>
      <c r="K774" s="212"/>
    </row>
    <row r="775" spans="1:11" ht="12.75" customHeight="1">
      <c r="A775" s="212"/>
      <c r="B775" s="212"/>
      <c r="C775" s="212"/>
      <c r="D775" s="212"/>
      <c r="E775" s="212"/>
      <c r="F775" s="212"/>
      <c r="G775" s="212"/>
      <c r="H775" s="212"/>
      <c r="J775" s="212"/>
      <c r="K775" s="212"/>
    </row>
    <row r="776" spans="1:11" ht="12.75" customHeight="1">
      <c r="A776" s="212"/>
      <c r="B776" s="212"/>
      <c r="C776" s="212"/>
      <c r="D776" s="212"/>
      <c r="E776" s="212"/>
      <c r="F776" s="212"/>
      <c r="G776" s="212"/>
      <c r="H776" s="212"/>
      <c r="J776" s="212"/>
      <c r="K776" s="212"/>
    </row>
    <row r="777" spans="1:11" ht="12.75" customHeight="1">
      <c r="A777" s="212"/>
      <c r="B777" s="212"/>
      <c r="C777" s="212"/>
      <c r="D777" s="212"/>
      <c r="E777" s="212"/>
      <c r="F777" s="212"/>
      <c r="G777" s="212"/>
      <c r="H777" s="212"/>
      <c r="J777" s="212"/>
      <c r="K777" s="212"/>
    </row>
    <row r="778" spans="1:11" ht="12.75" customHeight="1">
      <c r="A778" s="212"/>
      <c r="B778" s="212"/>
      <c r="C778" s="212"/>
      <c r="D778" s="212"/>
      <c r="E778" s="212"/>
      <c r="F778" s="212"/>
      <c r="G778" s="212"/>
      <c r="H778" s="212"/>
      <c r="J778" s="212"/>
      <c r="K778" s="212"/>
    </row>
    <row r="779" spans="1:11" ht="12.75" customHeight="1">
      <c r="A779" s="212"/>
      <c r="B779" s="212"/>
      <c r="C779" s="212"/>
      <c r="D779" s="212"/>
      <c r="E779" s="212"/>
      <c r="F779" s="212"/>
      <c r="G779" s="212"/>
      <c r="H779" s="212"/>
      <c r="J779" s="212"/>
      <c r="K779" s="212"/>
    </row>
    <row r="780" spans="1:11" ht="12.75" customHeight="1">
      <c r="A780" s="212"/>
      <c r="B780" s="212"/>
      <c r="C780" s="212"/>
      <c r="D780" s="212"/>
      <c r="E780" s="212"/>
      <c r="F780" s="212"/>
      <c r="G780" s="212"/>
      <c r="H780" s="212"/>
      <c r="J780" s="212"/>
      <c r="K780" s="212"/>
    </row>
    <row r="781" spans="1:11" ht="12.75" customHeight="1">
      <c r="A781" s="212"/>
      <c r="B781" s="212"/>
      <c r="C781" s="212"/>
      <c r="D781" s="212"/>
      <c r="E781" s="212"/>
      <c r="F781" s="212"/>
      <c r="G781" s="212"/>
      <c r="H781" s="212"/>
      <c r="J781" s="212"/>
      <c r="K781" s="212"/>
    </row>
    <row r="782" spans="1:11" ht="12.75" customHeight="1">
      <c r="A782" s="212"/>
      <c r="B782" s="212"/>
      <c r="C782" s="212"/>
      <c r="D782" s="212"/>
      <c r="E782" s="212"/>
      <c r="F782" s="212"/>
      <c r="G782" s="212"/>
      <c r="H782" s="212"/>
      <c r="J782" s="212"/>
      <c r="K782" s="212"/>
    </row>
    <row r="783" spans="1:11" ht="12.75" customHeight="1">
      <c r="A783" s="212"/>
      <c r="B783" s="212"/>
      <c r="C783" s="212"/>
      <c r="D783" s="212"/>
      <c r="E783" s="212"/>
      <c r="F783" s="212"/>
      <c r="G783" s="212"/>
      <c r="H783" s="212"/>
      <c r="J783" s="212"/>
      <c r="K783" s="212"/>
    </row>
    <row r="784" spans="1:11" ht="12.75" customHeight="1">
      <c r="A784" s="212"/>
      <c r="B784" s="212"/>
      <c r="C784" s="212"/>
      <c r="D784" s="212"/>
      <c r="E784" s="212"/>
      <c r="F784" s="212"/>
      <c r="G784" s="212"/>
      <c r="H784" s="212"/>
      <c r="J784" s="212"/>
      <c r="K784" s="212"/>
    </row>
    <row r="785" spans="1:11" ht="12.75" customHeight="1">
      <c r="A785" s="212"/>
      <c r="B785" s="212"/>
      <c r="C785" s="212"/>
      <c r="D785" s="212"/>
      <c r="E785" s="212"/>
      <c r="F785" s="212"/>
      <c r="G785" s="212"/>
      <c r="H785" s="212"/>
      <c r="J785" s="212"/>
      <c r="K785" s="212"/>
    </row>
    <row r="786" spans="1:11" ht="12.75" customHeight="1">
      <c r="A786" s="212"/>
      <c r="B786" s="212"/>
      <c r="C786" s="212"/>
      <c r="D786" s="212"/>
      <c r="E786" s="212"/>
      <c r="F786" s="212"/>
      <c r="G786" s="212"/>
      <c r="H786" s="212"/>
      <c r="J786" s="212"/>
      <c r="K786" s="212"/>
    </row>
    <row r="787" spans="1:11" ht="12.75" customHeight="1">
      <c r="A787" s="212"/>
      <c r="B787" s="212"/>
      <c r="C787" s="212"/>
      <c r="D787" s="212"/>
      <c r="E787" s="212"/>
      <c r="F787" s="212"/>
      <c r="G787" s="212"/>
      <c r="H787" s="212"/>
      <c r="J787" s="212"/>
      <c r="K787" s="212"/>
    </row>
    <row r="788" spans="1:11" ht="12.75" customHeight="1">
      <c r="A788" s="212"/>
      <c r="B788" s="212"/>
      <c r="C788" s="212"/>
      <c r="D788" s="212"/>
      <c r="E788" s="212"/>
      <c r="F788" s="212"/>
      <c r="G788" s="212"/>
      <c r="H788" s="212"/>
      <c r="J788" s="212"/>
      <c r="K788" s="212"/>
    </row>
    <row r="789" spans="1:11" ht="12.75" customHeight="1">
      <c r="A789" s="212"/>
      <c r="B789" s="212"/>
      <c r="C789" s="212"/>
      <c r="D789" s="212"/>
      <c r="E789" s="212"/>
      <c r="F789" s="212"/>
      <c r="G789" s="212"/>
      <c r="H789" s="212"/>
      <c r="J789" s="212"/>
      <c r="K789" s="212"/>
    </row>
    <row r="790" spans="1:11" ht="12.75" customHeight="1">
      <c r="A790" s="212"/>
      <c r="B790" s="212"/>
      <c r="C790" s="212"/>
      <c r="D790" s="212"/>
      <c r="E790" s="212"/>
      <c r="F790" s="212"/>
      <c r="G790" s="212"/>
      <c r="H790" s="212"/>
      <c r="J790" s="212"/>
      <c r="K790" s="212"/>
    </row>
    <row r="791" spans="1:11" ht="12.75" customHeight="1">
      <c r="A791" s="212"/>
      <c r="B791" s="212"/>
      <c r="C791" s="212"/>
      <c r="D791" s="212"/>
      <c r="E791" s="212"/>
      <c r="F791" s="212"/>
      <c r="G791" s="212"/>
      <c r="H791" s="212"/>
      <c r="J791" s="212"/>
      <c r="K791" s="212"/>
    </row>
    <row r="792" spans="1:11" ht="12.75" customHeight="1">
      <c r="A792" s="212"/>
      <c r="B792" s="212"/>
      <c r="C792" s="212"/>
      <c r="D792" s="212"/>
      <c r="E792" s="212"/>
      <c r="F792" s="212"/>
      <c r="G792" s="212"/>
      <c r="H792" s="212"/>
      <c r="J792" s="212"/>
      <c r="K792" s="212"/>
    </row>
    <row r="793" spans="1:11" ht="12.75" customHeight="1">
      <c r="A793" s="212"/>
      <c r="B793" s="212"/>
      <c r="C793" s="212"/>
      <c r="D793" s="212"/>
      <c r="E793" s="212"/>
      <c r="F793" s="212"/>
      <c r="G793" s="212"/>
      <c r="H793" s="212"/>
      <c r="J793" s="212"/>
      <c r="K793" s="212"/>
    </row>
    <row r="794" spans="1:11" ht="12.75" customHeight="1">
      <c r="A794" s="212"/>
      <c r="B794" s="212"/>
      <c r="C794" s="212"/>
      <c r="D794" s="212"/>
      <c r="E794" s="212"/>
      <c r="F794" s="212"/>
      <c r="G794" s="212"/>
      <c r="H794" s="212"/>
      <c r="J794" s="212"/>
      <c r="K794" s="212"/>
    </row>
    <row r="795" spans="1:11" ht="12.75" customHeight="1">
      <c r="A795" s="212"/>
      <c r="B795" s="212"/>
      <c r="C795" s="212"/>
      <c r="D795" s="212"/>
      <c r="E795" s="212"/>
      <c r="F795" s="212"/>
      <c r="G795" s="212"/>
      <c r="H795" s="212"/>
      <c r="J795" s="212"/>
      <c r="K795" s="212"/>
    </row>
    <row r="796" spans="1:11" ht="12.75" customHeight="1">
      <c r="A796" s="212"/>
      <c r="B796" s="212"/>
      <c r="C796" s="212"/>
      <c r="D796" s="212"/>
      <c r="E796" s="212"/>
      <c r="F796" s="212"/>
      <c r="G796" s="212"/>
      <c r="H796" s="212"/>
      <c r="J796" s="212"/>
      <c r="K796" s="212"/>
    </row>
    <row r="797" spans="1:11" ht="12.75" customHeight="1">
      <c r="A797" s="212"/>
      <c r="B797" s="212"/>
      <c r="C797" s="212"/>
      <c r="D797" s="212"/>
      <c r="E797" s="212"/>
      <c r="F797" s="212"/>
      <c r="G797" s="212"/>
      <c r="H797" s="212"/>
      <c r="J797" s="212"/>
      <c r="K797" s="212"/>
    </row>
    <row r="798" spans="1:11" ht="12.75" customHeight="1">
      <c r="A798" s="212"/>
      <c r="B798" s="212"/>
      <c r="C798" s="212"/>
      <c r="D798" s="212"/>
      <c r="E798" s="212"/>
      <c r="F798" s="212"/>
      <c r="G798" s="212"/>
      <c r="H798" s="212"/>
      <c r="J798" s="212"/>
      <c r="K798" s="212"/>
    </row>
    <row r="799" spans="1:11" ht="12.75" customHeight="1">
      <c r="A799" s="212"/>
      <c r="B799" s="212"/>
      <c r="C799" s="212"/>
      <c r="D799" s="212"/>
      <c r="E799" s="212"/>
      <c r="F799" s="212"/>
      <c r="G799" s="212"/>
      <c r="H799" s="212"/>
      <c r="J799" s="212"/>
      <c r="K799" s="212"/>
    </row>
    <row r="800" spans="1:11" ht="12.75" customHeight="1">
      <c r="A800" s="212"/>
      <c r="B800" s="212"/>
      <c r="C800" s="212"/>
      <c r="D800" s="212"/>
      <c r="E800" s="212"/>
      <c r="F800" s="212"/>
      <c r="G800" s="212"/>
      <c r="H800" s="212"/>
      <c r="J800" s="212"/>
      <c r="K800" s="212"/>
    </row>
    <row r="801" spans="1:11" ht="12.75" customHeight="1">
      <c r="A801" s="212"/>
      <c r="B801" s="212"/>
      <c r="C801" s="212"/>
      <c r="D801" s="212"/>
      <c r="E801" s="212"/>
      <c r="F801" s="212"/>
      <c r="G801" s="212"/>
      <c r="H801" s="212"/>
      <c r="J801" s="212"/>
      <c r="K801" s="212"/>
    </row>
    <row r="802" spans="1:11" ht="12.75" customHeight="1">
      <c r="A802" s="212"/>
      <c r="B802" s="212"/>
      <c r="C802" s="212"/>
      <c r="D802" s="212"/>
      <c r="E802" s="212"/>
      <c r="F802" s="212"/>
      <c r="G802" s="212"/>
      <c r="H802" s="212"/>
      <c r="J802" s="212"/>
      <c r="K802" s="212"/>
    </row>
    <row r="803" spans="1:11" ht="12.75" customHeight="1">
      <c r="A803" s="212"/>
      <c r="B803" s="212"/>
      <c r="C803" s="212"/>
      <c r="D803" s="212"/>
      <c r="E803" s="212"/>
      <c r="F803" s="212"/>
      <c r="G803" s="212"/>
      <c r="H803" s="212"/>
      <c r="J803" s="212"/>
      <c r="K803" s="212"/>
    </row>
    <row r="804" spans="1:11" ht="12.75" customHeight="1">
      <c r="A804" s="212"/>
      <c r="B804" s="212"/>
      <c r="C804" s="212"/>
      <c r="D804" s="212"/>
      <c r="E804" s="212"/>
      <c r="F804" s="212"/>
      <c r="G804" s="212"/>
      <c r="H804" s="212"/>
      <c r="J804" s="212"/>
      <c r="K804" s="212"/>
    </row>
    <row r="805" spans="1:11" ht="12.75" customHeight="1">
      <c r="A805" s="212"/>
      <c r="B805" s="212"/>
      <c r="C805" s="212"/>
      <c r="D805" s="212"/>
      <c r="E805" s="212"/>
      <c r="F805" s="212"/>
      <c r="G805" s="212"/>
      <c r="H805" s="212"/>
      <c r="J805" s="212"/>
      <c r="K805" s="212"/>
    </row>
    <row r="806" spans="1:11" ht="12.75" customHeight="1">
      <c r="A806" s="212"/>
      <c r="B806" s="212"/>
      <c r="C806" s="212"/>
      <c r="D806" s="212"/>
      <c r="E806" s="212"/>
      <c r="F806" s="212"/>
      <c r="G806" s="212"/>
      <c r="H806" s="212"/>
      <c r="J806" s="212"/>
      <c r="K806" s="212"/>
    </row>
    <row r="807" spans="1:11" ht="12.75" customHeight="1">
      <c r="A807" s="212"/>
      <c r="B807" s="212"/>
      <c r="C807" s="212"/>
      <c r="D807" s="212"/>
      <c r="E807" s="212"/>
      <c r="F807" s="212"/>
      <c r="G807" s="212"/>
      <c r="H807" s="212"/>
      <c r="J807" s="212"/>
      <c r="K807" s="212"/>
    </row>
    <row r="808" spans="1:11" ht="12.75" customHeight="1">
      <c r="A808" s="212"/>
      <c r="B808" s="212"/>
      <c r="C808" s="212"/>
      <c r="D808" s="212"/>
      <c r="E808" s="212"/>
      <c r="F808" s="212"/>
      <c r="G808" s="212"/>
      <c r="H808" s="212"/>
      <c r="J808" s="212"/>
      <c r="K808" s="212"/>
    </row>
    <row r="809" spans="1:11" ht="12.75" customHeight="1">
      <c r="A809" s="212"/>
      <c r="B809" s="212"/>
      <c r="C809" s="212"/>
      <c r="D809" s="212"/>
      <c r="E809" s="212"/>
      <c r="F809" s="212"/>
      <c r="G809" s="212"/>
      <c r="H809" s="212"/>
      <c r="J809" s="212"/>
      <c r="K809" s="212"/>
    </row>
    <row r="810" spans="1:11" ht="12.75" customHeight="1">
      <c r="A810" s="212"/>
      <c r="B810" s="212"/>
      <c r="C810" s="212"/>
      <c r="D810" s="212"/>
      <c r="E810" s="212"/>
      <c r="F810" s="212"/>
      <c r="G810" s="212"/>
      <c r="H810" s="212"/>
      <c r="J810" s="212"/>
      <c r="K810" s="212"/>
    </row>
    <row r="811" spans="1:11" ht="12.75" customHeight="1">
      <c r="A811" s="212"/>
      <c r="B811" s="212"/>
      <c r="C811" s="212"/>
      <c r="D811" s="212"/>
      <c r="E811" s="212"/>
      <c r="F811" s="212"/>
      <c r="G811" s="212"/>
      <c r="H811" s="212"/>
      <c r="J811" s="212"/>
      <c r="K811" s="212"/>
    </row>
    <row r="812" spans="1:11" ht="12.75" customHeight="1">
      <c r="A812" s="212"/>
      <c r="B812" s="212"/>
      <c r="C812" s="212"/>
      <c r="D812" s="212"/>
      <c r="E812" s="212"/>
      <c r="F812" s="212"/>
      <c r="G812" s="212"/>
      <c r="H812" s="212"/>
      <c r="J812" s="212"/>
      <c r="K812" s="212"/>
    </row>
    <row r="813" spans="1:11" ht="12.75" customHeight="1">
      <c r="A813" s="212"/>
      <c r="B813" s="212"/>
      <c r="C813" s="212"/>
      <c r="D813" s="212"/>
      <c r="E813" s="212"/>
      <c r="F813" s="212"/>
      <c r="G813" s="212"/>
      <c r="H813" s="212"/>
      <c r="J813" s="212"/>
      <c r="K813" s="212"/>
    </row>
    <row r="814" spans="1:11" ht="12.75" customHeight="1">
      <c r="A814" s="212"/>
      <c r="B814" s="212"/>
      <c r="C814" s="212"/>
      <c r="D814" s="212"/>
      <c r="E814" s="212"/>
      <c r="F814" s="212"/>
      <c r="G814" s="212"/>
      <c r="H814" s="212"/>
      <c r="J814" s="212"/>
      <c r="K814" s="212"/>
    </row>
    <row r="815" spans="1:11" ht="12.75" customHeight="1">
      <c r="A815" s="212"/>
      <c r="B815" s="212"/>
      <c r="C815" s="212"/>
      <c r="D815" s="212"/>
      <c r="E815" s="212"/>
      <c r="F815" s="212"/>
      <c r="G815" s="212"/>
      <c r="H815" s="212"/>
      <c r="J815" s="212"/>
      <c r="K815" s="212"/>
    </row>
    <row r="816" spans="1:11" ht="12.75" customHeight="1">
      <c r="A816" s="212"/>
      <c r="B816" s="212"/>
      <c r="C816" s="212"/>
      <c r="D816" s="212"/>
      <c r="E816" s="212"/>
      <c r="F816" s="212"/>
      <c r="G816" s="212"/>
      <c r="H816" s="212"/>
      <c r="J816" s="212"/>
      <c r="K816" s="212"/>
    </row>
    <row r="817" spans="1:11" ht="12.75" customHeight="1">
      <c r="A817" s="212"/>
      <c r="B817" s="212"/>
      <c r="C817" s="212"/>
      <c r="D817" s="212"/>
      <c r="E817" s="212"/>
      <c r="F817" s="212"/>
      <c r="G817" s="212"/>
      <c r="H817" s="212"/>
      <c r="J817" s="212"/>
      <c r="K817" s="212"/>
    </row>
    <row r="818" spans="1:11" ht="12.75" customHeight="1">
      <c r="A818" s="212"/>
      <c r="B818" s="212"/>
      <c r="C818" s="212"/>
      <c r="D818" s="212"/>
      <c r="E818" s="212"/>
      <c r="F818" s="212"/>
      <c r="G818" s="212"/>
      <c r="H818" s="212"/>
      <c r="J818" s="212"/>
      <c r="K818" s="212"/>
    </row>
    <row r="819" spans="1:11" ht="12.75" customHeight="1">
      <c r="A819" s="212"/>
      <c r="B819" s="212"/>
      <c r="C819" s="212"/>
      <c r="D819" s="212"/>
      <c r="E819" s="212"/>
      <c r="F819" s="212"/>
      <c r="G819" s="212"/>
      <c r="H819" s="212"/>
      <c r="J819" s="212"/>
      <c r="K819" s="212"/>
    </row>
    <row r="820" spans="1:11" ht="12.75" customHeight="1">
      <c r="A820" s="212"/>
      <c r="B820" s="212"/>
      <c r="C820" s="212"/>
      <c r="D820" s="212"/>
      <c r="E820" s="212"/>
      <c r="F820" s="212"/>
      <c r="G820" s="212"/>
      <c r="H820" s="212"/>
      <c r="J820" s="212"/>
      <c r="K820" s="212"/>
    </row>
    <row r="821" spans="1:11" ht="12.75" customHeight="1">
      <c r="A821" s="212"/>
      <c r="B821" s="212"/>
      <c r="C821" s="212"/>
      <c r="D821" s="212"/>
      <c r="E821" s="212"/>
      <c r="F821" s="212"/>
      <c r="G821" s="212"/>
      <c r="H821" s="212"/>
      <c r="J821" s="212"/>
      <c r="K821" s="212"/>
    </row>
    <row r="822" spans="1:11" ht="12.75" customHeight="1">
      <c r="A822" s="212"/>
      <c r="B822" s="212"/>
      <c r="C822" s="212"/>
      <c r="D822" s="212"/>
      <c r="E822" s="212"/>
      <c r="F822" s="212"/>
      <c r="G822" s="212"/>
      <c r="H822" s="212"/>
      <c r="J822" s="212"/>
      <c r="K822" s="212"/>
    </row>
    <row r="823" spans="1:11" ht="12.75" customHeight="1">
      <c r="A823" s="212"/>
      <c r="B823" s="212"/>
      <c r="C823" s="212"/>
      <c r="D823" s="212"/>
      <c r="E823" s="212"/>
      <c r="F823" s="212"/>
      <c r="G823" s="212"/>
      <c r="H823" s="212"/>
      <c r="J823" s="212"/>
      <c r="K823" s="212"/>
    </row>
    <row r="824" spans="1:11" ht="12.75" customHeight="1">
      <c r="A824" s="212"/>
      <c r="B824" s="212"/>
      <c r="C824" s="212"/>
      <c r="D824" s="212"/>
      <c r="E824" s="212"/>
      <c r="F824" s="212"/>
      <c r="G824" s="212"/>
      <c r="H824" s="212"/>
      <c r="J824" s="212"/>
      <c r="K824" s="212"/>
    </row>
    <row r="825" spans="1:11" ht="12.75" customHeight="1">
      <c r="A825" s="212"/>
      <c r="B825" s="212"/>
      <c r="C825" s="212"/>
      <c r="D825" s="212"/>
      <c r="E825" s="212"/>
      <c r="F825" s="212"/>
      <c r="G825" s="212"/>
      <c r="H825" s="212"/>
      <c r="J825" s="212"/>
      <c r="K825" s="212"/>
    </row>
    <row r="826" spans="1:11" ht="12.75" customHeight="1">
      <c r="A826" s="212"/>
      <c r="B826" s="212"/>
      <c r="C826" s="212"/>
      <c r="D826" s="212"/>
      <c r="E826" s="212"/>
      <c r="F826" s="212"/>
      <c r="G826" s="212"/>
      <c r="H826" s="212"/>
      <c r="J826" s="212"/>
      <c r="K826" s="212"/>
    </row>
    <row r="827" spans="1:11" ht="12.75" customHeight="1">
      <c r="A827" s="212"/>
      <c r="B827" s="212"/>
      <c r="C827" s="212"/>
      <c r="D827" s="212"/>
      <c r="E827" s="212"/>
      <c r="F827" s="212"/>
      <c r="G827" s="212"/>
      <c r="H827" s="212"/>
      <c r="J827" s="212"/>
      <c r="K827" s="212"/>
    </row>
    <row r="828" spans="1:11" ht="12.75" customHeight="1">
      <c r="A828" s="212"/>
      <c r="B828" s="212"/>
      <c r="C828" s="212"/>
      <c r="D828" s="212"/>
      <c r="E828" s="212"/>
      <c r="F828" s="212"/>
      <c r="G828" s="212"/>
      <c r="H828" s="212"/>
      <c r="J828" s="212"/>
      <c r="K828" s="212"/>
    </row>
    <row r="829" spans="1:11" ht="12.75" customHeight="1">
      <c r="A829" s="212"/>
      <c r="B829" s="212"/>
      <c r="C829" s="212"/>
      <c r="D829" s="212"/>
      <c r="E829" s="212"/>
      <c r="F829" s="212"/>
      <c r="G829" s="212"/>
      <c r="H829" s="212"/>
      <c r="J829" s="212"/>
      <c r="K829" s="212"/>
    </row>
    <row r="830" spans="1:11" ht="12.75" customHeight="1">
      <c r="A830" s="212"/>
      <c r="B830" s="212"/>
      <c r="C830" s="212"/>
      <c r="D830" s="212"/>
      <c r="E830" s="212"/>
      <c r="F830" s="212"/>
      <c r="G830" s="212"/>
      <c r="H830" s="212"/>
      <c r="J830" s="212"/>
      <c r="K830" s="212"/>
    </row>
    <row r="831" spans="1:11" ht="12.75" customHeight="1">
      <c r="A831" s="212"/>
      <c r="B831" s="212"/>
      <c r="C831" s="212"/>
      <c r="D831" s="212"/>
      <c r="E831" s="212"/>
      <c r="F831" s="212"/>
      <c r="G831" s="212"/>
      <c r="H831" s="212"/>
      <c r="J831" s="212"/>
      <c r="K831" s="212"/>
    </row>
    <row r="832" spans="1:11" ht="12.75" customHeight="1">
      <c r="A832" s="212"/>
      <c r="B832" s="212"/>
      <c r="C832" s="212"/>
      <c r="D832" s="212"/>
      <c r="E832" s="212"/>
      <c r="F832" s="212"/>
      <c r="G832" s="212"/>
      <c r="H832" s="212"/>
      <c r="J832" s="212"/>
      <c r="K832" s="212"/>
    </row>
    <row r="833" spans="1:11" ht="12.75" customHeight="1">
      <c r="A833" s="212"/>
      <c r="B833" s="212"/>
      <c r="C833" s="212"/>
      <c r="D833" s="212"/>
      <c r="E833" s="212"/>
      <c r="F833" s="212"/>
      <c r="G833" s="212"/>
      <c r="H833" s="212"/>
      <c r="J833" s="212"/>
      <c r="K833" s="212"/>
    </row>
    <row r="834" spans="1:11" ht="12.75" customHeight="1">
      <c r="A834" s="212"/>
      <c r="B834" s="212"/>
      <c r="C834" s="212"/>
      <c r="D834" s="212"/>
      <c r="E834" s="212"/>
      <c r="F834" s="212"/>
      <c r="G834" s="212"/>
      <c r="H834" s="212"/>
      <c r="J834" s="212"/>
      <c r="K834" s="212"/>
    </row>
    <row r="835" spans="1:11" ht="12.75" customHeight="1">
      <c r="A835" s="212"/>
      <c r="B835" s="212"/>
      <c r="C835" s="212"/>
      <c r="D835" s="212"/>
      <c r="E835" s="212"/>
      <c r="F835" s="212"/>
      <c r="G835" s="212"/>
      <c r="H835" s="212"/>
      <c r="J835" s="212"/>
      <c r="K835" s="212"/>
    </row>
    <row r="836" spans="1:11" ht="12.75" customHeight="1">
      <c r="A836" s="212"/>
      <c r="B836" s="212"/>
      <c r="C836" s="212"/>
      <c r="D836" s="212"/>
      <c r="E836" s="212"/>
      <c r="F836" s="212"/>
      <c r="G836" s="212"/>
      <c r="H836" s="212"/>
      <c r="J836" s="212"/>
      <c r="K836" s="212"/>
    </row>
    <row r="837" spans="1:11" ht="12.75" customHeight="1">
      <c r="A837" s="212"/>
      <c r="B837" s="212"/>
      <c r="C837" s="212"/>
      <c r="D837" s="212"/>
      <c r="E837" s="212"/>
      <c r="F837" s="212"/>
      <c r="G837" s="212"/>
      <c r="H837" s="212"/>
      <c r="J837" s="212"/>
      <c r="K837" s="212"/>
    </row>
    <row r="838" spans="1:11" ht="12.75" customHeight="1">
      <c r="A838" s="212"/>
      <c r="B838" s="212"/>
      <c r="C838" s="212"/>
      <c r="D838" s="212"/>
      <c r="E838" s="212"/>
      <c r="F838" s="212"/>
      <c r="G838" s="212"/>
      <c r="H838" s="212"/>
      <c r="J838" s="212"/>
      <c r="K838" s="212"/>
    </row>
    <row r="839" spans="1:11" ht="12.75" customHeight="1">
      <c r="A839" s="212"/>
      <c r="B839" s="212"/>
      <c r="C839" s="212"/>
      <c r="D839" s="212"/>
      <c r="E839" s="212"/>
      <c r="F839" s="212"/>
      <c r="G839" s="212"/>
      <c r="H839" s="212"/>
      <c r="J839" s="212"/>
      <c r="K839" s="212"/>
    </row>
    <row r="840" spans="1:11" ht="12.75" customHeight="1">
      <c r="A840" s="212"/>
      <c r="B840" s="212"/>
      <c r="C840" s="212"/>
      <c r="D840" s="212"/>
      <c r="E840" s="212"/>
      <c r="F840" s="212"/>
      <c r="G840" s="212"/>
      <c r="H840" s="212"/>
      <c r="J840" s="212"/>
      <c r="K840" s="212"/>
    </row>
    <row r="841" spans="1:11" ht="12.75" customHeight="1">
      <c r="A841" s="212"/>
      <c r="B841" s="212"/>
      <c r="C841" s="212"/>
      <c r="D841" s="212"/>
      <c r="E841" s="212"/>
      <c r="F841" s="212"/>
      <c r="G841" s="212"/>
      <c r="H841" s="212"/>
      <c r="J841" s="212"/>
      <c r="K841" s="212"/>
    </row>
    <row r="842" spans="1:11" ht="12.75" customHeight="1">
      <c r="A842" s="212"/>
      <c r="B842" s="212"/>
      <c r="C842" s="212"/>
      <c r="D842" s="212"/>
      <c r="E842" s="212"/>
      <c r="F842" s="212"/>
      <c r="G842" s="212"/>
      <c r="H842" s="212"/>
      <c r="J842" s="212"/>
      <c r="K842" s="212"/>
    </row>
    <row r="843" spans="1:11" ht="12.75" customHeight="1">
      <c r="A843" s="212"/>
      <c r="B843" s="212"/>
      <c r="C843" s="212"/>
      <c r="D843" s="212"/>
      <c r="E843" s="212"/>
      <c r="F843" s="212"/>
      <c r="G843" s="212"/>
      <c r="H843" s="212"/>
      <c r="J843" s="212"/>
      <c r="K843" s="212"/>
    </row>
    <row r="844" spans="1:11" ht="12.75" customHeight="1">
      <c r="A844" s="212"/>
      <c r="B844" s="212"/>
      <c r="C844" s="212"/>
      <c r="D844" s="212"/>
      <c r="E844" s="212"/>
      <c r="F844" s="212"/>
      <c r="G844" s="212"/>
      <c r="H844" s="212"/>
      <c r="J844" s="212"/>
      <c r="K844" s="212"/>
    </row>
    <row r="845" spans="1:11" ht="12.75" customHeight="1">
      <c r="A845" s="212"/>
      <c r="B845" s="212"/>
      <c r="C845" s="212"/>
      <c r="D845" s="212"/>
      <c r="E845" s="212"/>
      <c r="F845" s="212"/>
      <c r="G845" s="212"/>
      <c r="H845" s="212"/>
      <c r="J845" s="212"/>
      <c r="K845" s="212"/>
    </row>
    <row r="846" spans="1:11" ht="12.75" customHeight="1">
      <c r="A846" s="212"/>
      <c r="B846" s="212"/>
      <c r="C846" s="212"/>
      <c r="D846" s="212"/>
      <c r="E846" s="212"/>
      <c r="F846" s="212"/>
      <c r="G846" s="212"/>
      <c r="H846" s="212"/>
      <c r="J846" s="212"/>
      <c r="K846" s="212"/>
    </row>
    <row r="847" spans="1:11" ht="12.75" customHeight="1">
      <c r="A847" s="212"/>
      <c r="B847" s="212"/>
      <c r="C847" s="212"/>
      <c r="D847" s="212"/>
      <c r="E847" s="212"/>
      <c r="F847" s="212"/>
      <c r="G847" s="212"/>
      <c r="H847" s="212"/>
      <c r="J847" s="212"/>
      <c r="K847" s="212"/>
    </row>
    <row r="848" spans="1:11" ht="12.75" customHeight="1">
      <c r="A848" s="212"/>
      <c r="B848" s="212"/>
      <c r="C848" s="212"/>
      <c r="D848" s="212"/>
      <c r="E848" s="212"/>
      <c r="F848" s="212"/>
      <c r="G848" s="212"/>
      <c r="H848" s="212"/>
      <c r="J848" s="212"/>
      <c r="K848" s="212"/>
    </row>
    <row r="849" spans="1:11" ht="12.75" customHeight="1">
      <c r="A849" s="212"/>
      <c r="B849" s="212"/>
      <c r="C849" s="212"/>
      <c r="D849" s="212"/>
      <c r="E849" s="212"/>
      <c r="F849" s="212"/>
      <c r="G849" s="212"/>
      <c r="H849" s="212"/>
      <c r="J849" s="212"/>
      <c r="K849" s="212"/>
    </row>
    <row r="850" spans="1:11" ht="12.75" customHeight="1">
      <c r="A850" s="212"/>
      <c r="B850" s="212"/>
      <c r="C850" s="212"/>
      <c r="D850" s="212"/>
      <c r="E850" s="212"/>
      <c r="F850" s="212"/>
      <c r="G850" s="212"/>
      <c r="H850" s="212"/>
      <c r="J850" s="212"/>
      <c r="K850" s="212"/>
    </row>
    <row r="851" spans="1:11" ht="12.75" customHeight="1">
      <c r="A851" s="212"/>
      <c r="B851" s="212"/>
      <c r="C851" s="212"/>
      <c r="D851" s="212"/>
      <c r="E851" s="212"/>
      <c r="F851" s="212"/>
      <c r="G851" s="212"/>
      <c r="H851" s="212"/>
      <c r="J851" s="212"/>
      <c r="K851" s="212"/>
    </row>
    <row r="852" spans="1:11" ht="12.75" customHeight="1">
      <c r="A852" s="212"/>
      <c r="B852" s="212"/>
      <c r="C852" s="212"/>
      <c r="D852" s="212"/>
      <c r="E852" s="212"/>
      <c r="F852" s="212"/>
      <c r="G852" s="212"/>
      <c r="H852" s="212"/>
      <c r="J852" s="212"/>
      <c r="K852" s="212"/>
    </row>
    <row r="853" spans="1:11" ht="12.75" customHeight="1">
      <c r="A853" s="212"/>
      <c r="B853" s="212"/>
      <c r="C853" s="212"/>
      <c r="D853" s="212"/>
      <c r="E853" s="212"/>
      <c r="F853" s="212"/>
      <c r="G853" s="212"/>
      <c r="H853" s="212"/>
      <c r="J853" s="212"/>
      <c r="K853" s="212"/>
    </row>
    <row r="854" spans="1:11" ht="12.75" customHeight="1">
      <c r="A854" s="212"/>
      <c r="B854" s="212"/>
      <c r="C854" s="212"/>
      <c r="D854" s="212"/>
      <c r="E854" s="212"/>
      <c r="F854" s="212"/>
      <c r="G854" s="212"/>
      <c r="H854" s="212"/>
      <c r="J854" s="212"/>
      <c r="K854" s="212"/>
    </row>
    <row r="855" spans="1:11" ht="12.75" customHeight="1">
      <c r="A855" s="212"/>
      <c r="B855" s="212"/>
      <c r="C855" s="212"/>
      <c r="D855" s="212"/>
      <c r="E855" s="212"/>
      <c r="F855" s="212"/>
      <c r="G855" s="212"/>
      <c r="H855" s="212"/>
      <c r="J855" s="212"/>
      <c r="K855" s="212"/>
    </row>
    <row r="856" spans="1:11" ht="12.75" customHeight="1">
      <c r="A856" s="212"/>
      <c r="B856" s="212"/>
      <c r="C856" s="212"/>
      <c r="D856" s="212"/>
      <c r="E856" s="212"/>
      <c r="F856" s="212"/>
      <c r="G856" s="212"/>
      <c r="H856" s="212"/>
      <c r="J856" s="212"/>
      <c r="K856" s="212"/>
    </row>
    <row r="857" spans="1:11" ht="12.75" customHeight="1">
      <c r="A857" s="212"/>
      <c r="B857" s="212"/>
      <c r="C857" s="212"/>
      <c r="D857" s="212"/>
      <c r="E857" s="212"/>
      <c r="F857" s="212"/>
      <c r="G857" s="212"/>
      <c r="H857" s="212"/>
      <c r="J857" s="212"/>
      <c r="K857" s="212"/>
    </row>
    <row r="858" spans="1:11" ht="12.75" customHeight="1">
      <c r="A858" s="212"/>
      <c r="B858" s="212"/>
      <c r="C858" s="212"/>
      <c r="D858" s="212"/>
      <c r="E858" s="212"/>
      <c r="F858" s="212"/>
      <c r="G858" s="212"/>
      <c r="H858" s="212"/>
      <c r="J858" s="212"/>
      <c r="K858" s="212"/>
    </row>
    <row r="859" spans="1:11" ht="12.75" customHeight="1">
      <c r="A859" s="212"/>
      <c r="B859" s="212"/>
      <c r="C859" s="212"/>
      <c r="D859" s="212"/>
      <c r="E859" s="212"/>
      <c r="F859" s="212"/>
      <c r="G859" s="212"/>
      <c r="H859" s="212"/>
      <c r="J859" s="212"/>
      <c r="K859" s="212"/>
    </row>
    <row r="860" spans="1:11" ht="12.75" customHeight="1">
      <c r="A860" s="212"/>
      <c r="B860" s="212"/>
      <c r="C860" s="212"/>
      <c r="D860" s="212"/>
      <c r="E860" s="212"/>
      <c r="F860" s="212"/>
      <c r="G860" s="212"/>
      <c r="H860" s="212"/>
      <c r="J860" s="212"/>
      <c r="K860" s="212"/>
    </row>
    <row r="861" spans="1:11" ht="12.75" customHeight="1">
      <c r="A861" s="212"/>
      <c r="B861" s="212"/>
      <c r="C861" s="212"/>
      <c r="D861" s="212"/>
      <c r="E861" s="212"/>
      <c r="F861" s="212"/>
      <c r="G861" s="212"/>
      <c r="H861" s="212"/>
      <c r="J861" s="212"/>
      <c r="K861" s="212"/>
    </row>
    <row r="862" spans="1:11" ht="12.75" customHeight="1">
      <c r="A862" s="212"/>
      <c r="B862" s="212"/>
      <c r="C862" s="212"/>
      <c r="D862" s="212"/>
      <c r="E862" s="212"/>
      <c r="F862" s="212"/>
      <c r="G862" s="212"/>
      <c r="H862" s="212"/>
      <c r="J862" s="212"/>
      <c r="K862" s="212"/>
    </row>
    <row r="863" spans="1:11" ht="12.75" customHeight="1">
      <c r="A863" s="212"/>
      <c r="B863" s="212"/>
      <c r="C863" s="212"/>
      <c r="D863" s="212"/>
      <c r="E863" s="212"/>
      <c r="F863" s="212"/>
      <c r="G863" s="212"/>
      <c r="H863" s="212"/>
      <c r="J863" s="212"/>
      <c r="K863" s="212"/>
    </row>
    <row r="864" spans="1:11" ht="12.75" customHeight="1">
      <c r="A864" s="212"/>
      <c r="B864" s="212"/>
      <c r="C864" s="212"/>
      <c r="D864" s="212"/>
      <c r="E864" s="212"/>
      <c r="F864" s="212"/>
      <c r="G864" s="212"/>
      <c r="H864" s="212"/>
      <c r="J864" s="212"/>
      <c r="K864" s="212"/>
    </row>
    <row r="865" spans="1:11" ht="12.75" customHeight="1">
      <c r="A865" s="212"/>
      <c r="B865" s="212"/>
      <c r="C865" s="212"/>
      <c r="D865" s="212"/>
      <c r="E865" s="212"/>
      <c r="F865" s="212"/>
      <c r="G865" s="212"/>
      <c r="H865" s="212"/>
      <c r="J865" s="212"/>
      <c r="K865" s="212"/>
    </row>
    <row r="866" spans="1:11" ht="12.75" customHeight="1">
      <c r="A866" s="212"/>
      <c r="B866" s="212"/>
      <c r="C866" s="212"/>
      <c r="D866" s="212"/>
      <c r="E866" s="212"/>
      <c r="F866" s="212"/>
      <c r="G866" s="212"/>
      <c r="H866" s="212"/>
      <c r="J866" s="212"/>
      <c r="K866" s="212"/>
    </row>
    <row r="867" spans="1:11" ht="12.75" customHeight="1">
      <c r="A867" s="212"/>
      <c r="B867" s="212"/>
      <c r="C867" s="212"/>
      <c r="D867" s="212"/>
      <c r="E867" s="212"/>
      <c r="F867" s="212"/>
      <c r="G867" s="212"/>
      <c r="H867" s="212"/>
      <c r="J867" s="212"/>
      <c r="K867" s="212"/>
    </row>
    <row r="868" spans="1:11" ht="12.75" customHeight="1">
      <c r="A868" s="212"/>
      <c r="B868" s="212"/>
      <c r="C868" s="212"/>
      <c r="D868" s="212"/>
      <c r="E868" s="212"/>
      <c r="F868" s="212"/>
      <c r="G868" s="212"/>
      <c r="H868" s="212"/>
      <c r="J868" s="212"/>
      <c r="K868" s="212"/>
    </row>
    <row r="869" spans="1:11" ht="12.75" customHeight="1">
      <c r="A869" s="212"/>
      <c r="B869" s="212"/>
      <c r="C869" s="212"/>
      <c r="D869" s="212"/>
      <c r="E869" s="212"/>
      <c r="F869" s="212"/>
      <c r="G869" s="212"/>
      <c r="H869" s="212"/>
      <c r="J869" s="212"/>
      <c r="K869" s="212"/>
    </row>
    <row r="870" spans="1:11" ht="12.75" customHeight="1">
      <c r="A870" s="212"/>
      <c r="B870" s="212"/>
      <c r="C870" s="212"/>
      <c r="D870" s="212"/>
      <c r="E870" s="212"/>
      <c r="F870" s="212"/>
      <c r="G870" s="212"/>
      <c r="H870" s="212"/>
      <c r="J870" s="212"/>
      <c r="K870" s="212"/>
    </row>
    <row r="871" spans="1:11" ht="12.75" customHeight="1">
      <c r="A871" s="212"/>
      <c r="B871" s="212"/>
      <c r="C871" s="212"/>
      <c r="D871" s="212"/>
      <c r="E871" s="212"/>
      <c r="F871" s="212"/>
      <c r="G871" s="212"/>
      <c r="H871" s="212"/>
      <c r="J871" s="212"/>
      <c r="K871" s="212"/>
    </row>
    <row r="872" spans="1:11" ht="12.75" customHeight="1">
      <c r="A872" s="212"/>
      <c r="B872" s="212"/>
      <c r="C872" s="212"/>
      <c r="D872" s="212"/>
      <c r="E872" s="212"/>
      <c r="F872" s="212"/>
      <c r="G872" s="212"/>
      <c r="H872" s="212"/>
      <c r="J872" s="212"/>
      <c r="K872" s="212"/>
    </row>
    <row r="873" spans="1:11" ht="12.75" customHeight="1">
      <c r="A873" s="212"/>
      <c r="B873" s="212"/>
      <c r="C873" s="212"/>
      <c r="D873" s="212"/>
      <c r="E873" s="212"/>
      <c r="F873" s="212"/>
      <c r="G873" s="212"/>
      <c r="H873" s="212"/>
      <c r="J873" s="212"/>
      <c r="K873" s="212"/>
    </row>
    <row r="874" spans="1:11" ht="12.75" customHeight="1">
      <c r="A874" s="212"/>
      <c r="B874" s="212"/>
      <c r="C874" s="212"/>
      <c r="D874" s="212"/>
      <c r="E874" s="212"/>
      <c r="F874" s="212"/>
      <c r="G874" s="212"/>
      <c r="H874" s="212"/>
      <c r="J874" s="212"/>
      <c r="K874" s="212"/>
    </row>
    <row r="875" spans="1:11" ht="12.75" customHeight="1">
      <c r="A875" s="212"/>
      <c r="B875" s="212"/>
      <c r="C875" s="212"/>
      <c r="D875" s="212"/>
      <c r="E875" s="212"/>
      <c r="F875" s="212"/>
      <c r="G875" s="212"/>
      <c r="H875" s="212"/>
      <c r="J875" s="212"/>
      <c r="K875" s="212"/>
    </row>
    <row r="876" spans="1:11" ht="12.75" customHeight="1">
      <c r="A876" s="212"/>
      <c r="B876" s="212"/>
      <c r="C876" s="212"/>
      <c r="D876" s="212"/>
      <c r="E876" s="212"/>
      <c r="F876" s="212"/>
      <c r="G876" s="212"/>
      <c r="H876" s="212"/>
      <c r="J876" s="212"/>
      <c r="K876" s="212"/>
    </row>
    <row r="877" spans="1:11" ht="12.75" customHeight="1">
      <c r="A877" s="212"/>
      <c r="B877" s="212"/>
      <c r="C877" s="212"/>
      <c r="D877" s="212"/>
      <c r="E877" s="212"/>
      <c r="F877" s="212"/>
      <c r="G877" s="212"/>
      <c r="H877" s="212"/>
      <c r="J877" s="212"/>
      <c r="K877" s="212"/>
    </row>
    <row r="878" spans="1:11" ht="12.75" customHeight="1">
      <c r="A878" s="212"/>
      <c r="B878" s="212"/>
      <c r="C878" s="212"/>
      <c r="D878" s="212"/>
      <c r="E878" s="212"/>
      <c r="F878" s="212"/>
      <c r="G878" s="212"/>
      <c r="H878" s="212"/>
      <c r="J878" s="212"/>
      <c r="K878" s="212"/>
    </row>
    <row r="879" spans="1:11" ht="12.75" customHeight="1">
      <c r="A879" s="212"/>
      <c r="B879" s="212"/>
      <c r="C879" s="212"/>
      <c r="D879" s="212"/>
      <c r="E879" s="212"/>
      <c r="F879" s="212"/>
      <c r="G879" s="212"/>
      <c r="H879" s="212"/>
      <c r="J879" s="212"/>
      <c r="K879" s="212"/>
    </row>
    <row r="880" spans="1:11" ht="12.75" customHeight="1">
      <c r="A880" s="212"/>
      <c r="B880" s="212"/>
      <c r="C880" s="212"/>
      <c r="D880" s="212"/>
      <c r="E880" s="212"/>
      <c r="F880" s="212"/>
      <c r="G880" s="212"/>
      <c r="H880" s="212"/>
      <c r="J880" s="212"/>
      <c r="K880" s="212"/>
    </row>
    <row r="881" spans="1:11" ht="12.75" customHeight="1">
      <c r="A881" s="212"/>
      <c r="B881" s="212"/>
      <c r="C881" s="212"/>
      <c r="D881" s="212"/>
      <c r="E881" s="212"/>
      <c r="F881" s="212"/>
      <c r="G881" s="212"/>
      <c r="H881" s="212"/>
      <c r="J881" s="212"/>
      <c r="K881" s="212"/>
    </row>
    <row r="882" spans="1:11" ht="12.75" customHeight="1">
      <c r="A882" s="212"/>
      <c r="B882" s="212"/>
      <c r="C882" s="212"/>
      <c r="D882" s="212"/>
      <c r="E882" s="212"/>
      <c r="F882" s="212"/>
      <c r="G882" s="212"/>
      <c r="H882" s="212"/>
      <c r="J882" s="212"/>
      <c r="K882" s="212"/>
    </row>
    <row r="883" spans="1:11" ht="12.75" customHeight="1">
      <c r="A883" s="212"/>
      <c r="B883" s="212"/>
      <c r="C883" s="212"/>
      <c r="D883" s="212"/>
      <c r="E883" s="212"/>
      <c r="F883" s="212"/>
      <c r="G883" s="212"/>
      <c r="H883" s="212"/>
      <c r="J883" s="212"/>
      <c r="K883" s="212"/>
    </row>
    <row r="884" spans="1:11" ht="12.75" customHeight="1">
      <c r="A884" s="212"/>
      <c r="B884" s="212"/>
      <c r="C884" s="212"/>
      <c r="D884" s="212"/>
      <c r="E884" s="212"/>
      <c r="F884" s="212"/>
      <c r="G884" s="212"/>
      <c r="H884" s="212"/>
      <c r="J884" s="212"/>
      <c r="K884" s="212"/>
    </row>
    <row r="885" spans="1:11" ht="12.75" customHeight="1">
      <c r="A885" s="212"/>
      <c r="B885" s="212"/>
      <c r="C885" s="212"/>
      <c r="D885" s="212"/>
      <c r="E885" s="212"/>
      <c r="F885" s="212"/>
      <c r="G885" s="212"/>
      <c r="H885" s="212"/>
      <c r="J885" s="212"/>
      <c r="K885" s="212"/>
    </row>
    <row r="886" spans="1:11" ht="12.75" customHeight="1">
      <c r="A886" s="212"/>
      <c r="B886" s="212"/>
      <c r="C886" s="212"/>
      <c r="D886" s="212"/>
      <c r="E886" s="212"/>
      <c r="F886" s="212"/>
      <c r="G886" s="212"/>
      <c r="H886" s="212"/>
      <c r="J886" s="212"/>
      <c r="K886" s="212"/>
    </row>
    <row r="887" spans="1:11" ht="12.75" customHeight="1">
      <c r="A887" s="212"/>
      <c r="B887" s="212"/>
      <c r="C887" s="212"/>
      <c r="D887" s="212"/>
      <c r="E887" s="212"/>
      <c r="F887" s="212"/>
      <c r="G887" s="212"/>
      <c r="H887" s="212"/>
      <c r="J887" s="212"/>
      <c r="K887" s="212"/>
    </row>
    <row r="888" spans="1:11" ht="12.75" customHeight="1">
      <c r="A888" s="212"/>
      <c r="B888" s="212"/>
      <c r="C888" s="212"/>
      <c r="D888" s="212"/>
      <c r="E888" s="212"/>
      <c r="F888" s="212"/>
      <c r="G888" s="212"/>
      <c r="H888" s="212"/>
      <c r="J888" s="212"/>
      <c r="K888" s="212"/>
    </row>
    <row r="889" spans="1:11" ht="12.75" customHeight="1">
      <c r="A889" s="212"/>
      <c r="B889" s="212"/>
      <c r="C889" s="212"/>
      <c r="D889" s="212"/>
      <c r="E889" s="212"/>
      <c r="F889" s="212"/>
      <c r="G889" s="212"/>
      <c r="H889" s="212"/>
      <c r="J889" s="212"/>
      <c r="K889" s="212"/>
    </row>
    <row r="890" spans="1:11" ht="12.75" customHeight="1">
      <c r="A890" s="212"/>
      <c r="B890" s="212"/>
      <c r="C890" s="212"/>
      <c r="D890" s="212"/>
      <c r="E890" s="212"/>
      <c r="F890" s="212"/>
      <c r="G890" s="212"/>
      <c r="H890" s="212"/>
      <c r="J890" s="212"/>
      <c r="K890" s="212"/>
    </row>
    <row r="891" spans="1:11" ht="12.75" customHeight="1">
      <c r="A891" s="212"/>
      <c r="B891" s="212"/>
      <c r="C891" s="212"/>
      <c r="D891" s="212"/>
      <c r="E891" s="212"/>
      <c r="F891" s="212"/>
      <c r="G891" s="212"/>
      <c r="H891" s="212"/>
      <c r="J891" s="212"/>
      <c r="K891" s="212"/>
    </row>
    <row r="892" spans="1:11" ht="12.75" customHeight="1">
      <c r="A892" s="212"/>
      <c r="B892" s="212"/>
      <c r="C892" s="212"/>
      <c r="D892" s="212"/>
      <c r="E892" s="212"/>
      <c r="F892" s="212"/>
      <c r="G892" s="212"/>
      <c r="H892" s="212"/>
      <c r="J892" s="212"/>
      <c r="K892" s="212"/>
    </row>
    <row r="893" spans="1:11" ht="12.75" customHeight="1">
      <c r="A893" s="212"/>
      <c r="B893" s="212"/>
      <c r="C893" s="212"/>
      <c r="D893" s="212"/>
      <c r="E893" s="212"/>
      <c r="F893" s="212"/>
      <c r="G893" s="212"/>
      <c r="H893" s="212"/>
      <c r="J893" s="212"/>
      <c r="K893" s="212"/>
    </row>
    <row r="894" spans="1:11" ht="12.75" customHeight="1">
      <c r="A894" s="212"/>
      <c r="B894" s="212"/>
      <c r="C894" s="212"/>
      <c r="D894" s="212"/>
      <c r="E894" s="212"/>
      <c r="F894" s="212"/>
      <c r="G894" s="212"/>
      <c r="H894" s="212"/>
      <c r="J894" s="212"/>
      <c r="K894" s="212"/>
    </row>
    <row r="895" spans="1:11" ht="12.75" customHeight="1">
      <c r="A895" s="212"/>
      <c r="B895" s="212"/>
      <c r="C895" s="212"/>
      <c r="D895" s="212"/>
      <c r="E895" s="212"/>
      <c r="F895" s="212"/>
      <c r="G895" s="212"/>
      <c r="H895" s="212"/>
      <c r="J895" s="212"/>
      <c r="K895" s="212"/>
    </row>
    <row r="896" spans="1:11" ht="12.75" customHeight="1">
      <c r="A896" s="212"/>
      <c r="B896" s="212"/>
      <c r="C896" s="212"/>
      <c r="D896" s="212"/>
      <c r="E896" s="212"/>
      <c r="F896" s="212"/>
      <c r="G896" s="212"/>
      <c r="H896" s="212"/>
      <c r="J896" s="212"/>
      <c r="K896" s="212"/>
    </row>
    <row r="897" spans="1:11" ht="12.75" customHeight="1">
      <c r="A897" s="212"/>
      <c r="B897" s="212"/>
      <c r="C897" s="212"/>
      <c r="D897" s="212"/>
      <c r="E897" s="212"/>
      <c r="F897" s="212"/>
      <c r="G897" s="212"/>
      <c r="H897" s="212"/>
      <c r="J897" s="212"/>
      <c r="K897" s="212"/>
    </row>
    <row r="898" spans="1:11" ht="12.75" customHeight="1">
      <c r="A898" s="212"/>
      <c r="B898" s="212"/>
      <c r="C898" s="212"/>
      <c r="D898" s="212"/>
      <c r="E898" s="212"/>
      <c r="F898" s="212"/>
      <c r="G898" s="212"/>
      <c r="H898" s="212"/>
      <c r="J898" s="212"/>
      <c r="K898" s="212"/>
    </row>
    <row r="899" spans="1:11" ht="12.75" customHeight="1">
      <c r="A899" s="212"/>
      <c r="B899" s="212"/>
      <c r="C899" s="212"/>
      <c r="D899" s="212"/>
      <c r="E899" s="212"/>
      <c r="F899" s="212"/>
      <c r="G899" s="212"/>
      <c r="H899" s="212"/>
      <c r="J899" s="212"/>
      <c r="K899" s="212"/>
    </row>
    <row r="900" spans="1:11" ht="12.75" customHeight="1">
      <c r="A900" s="212"/>
      <c r="B900" s="212"/>
      <c r="C900" s="212"/>
      <c r="D900" s="212"/>
      <c r="E900" s="212"/>
      <c r="F900" s="212"/>
      <c r="G900" s="212"/>
      <c r="H900" s="212"/>
      <c r="J900" s="212"/>
      <c r="K900" s="212"/>
    </row>
    <row r="901" spans="1:11" ht="12.75" customHeight="1">
      <c r="A901" s="212"/>
      <c r="B901" s="212"/>
      <c r="C901" s="212"/>
      <c r="D901" s="212"/>
      <c r="E901" s="212"/>
      <c r="F901" s="212"/>
      <c r="G901" s="212"/>
      <c r="H901" s="212"/>
      <c r="J901" s="212"/>
      <c r="K901" s="212"/>
    </row>
    <row r="902" spans="1:11" ht="12.75" customHeight="1">
      <c r="A902" s="212"/>
      <c r="B902" s="212"/>
      <c r="C902" s="212"/>
      <c r="D902" s="212"/>
      <c r="E902" s="212"/>
      <c r="F902" s="212"/>
      <c r="G902" s="212"/>
      <c r="H902" s="212"/>
      <c r="J902" s="212"/>
      <c r="K902" s="212"/>
    </row>
    <row r="903" spans="1:11" ht="12.75" customHeight="1">
      <c r="A903" s="212"/>
      <c r="B903" s="212"/>
      <c r="C903" s="212"/>
      <c r="D903" s="212"/>
      <c r="E903" s="212"/>
      <c r="F903" s="212"/>
      <c r="G903" s="212"/>
      <c r="H903" s="212"/>
      <c r="J903" s="212"/>
      <c r="K903" s="212"/>
    </row>
    <row r="904" spans="1:11" ht="12.75" customHeight="1">
      <c r="A904" s="212"/>
      <c r="B904" s="212"/>
      <c r="C904" s="212"/>
      <c r="D904" s="212"/>
      <c r="E904" s="212"/>
      <c r="F904" s="212"/>
      <c r="G904" s="212"/>
      <c r="H904" s="212"/>
      <c r="J904" s="212"/>
      <c r="K904" s="212"/>
    </row>
    <row r="905" spans="1:11" ht="12.75" customHeight="1">
      <c r="A905" s="212"/>
      <c r="B905" s="212"/>
      <c r="C905" s="212"/>
      <c r="D905" s="212"/>
      <c r="E905" s="212"/>
      <c r="F905" s="212"/>
      <c r="G905" s="212"/>
      <c r="H905" s="212"/>
      <c r="J905" s="212"/>
      <c r="K905" s="212"/>
    </row>
    <row r="906" spans="1:11" ht="12.75" customHeight="1">
      <c r="A906" s="212"/>
      <c r="B906" s="212"/>
      <c r="C906" s="212"/>
      <c r="D906" s="212"/>
      <c r="E906" s="212"/>
      <c r="F906" s="212"/>
      <c r="G906" s="212"/>
      <c r="H906" s="212"/>
      <c r="J906" s="212"/>
      <c r="K906" s="212"/>
    </row>
    <row r="907" spans="1:11" ht="12.75" customHeight="1">
      <c r="A907" s="212"/>
      <c r="B907" s="212"/>
      <c r="C907" s="212"/>
      <c r="D907" s="212"/>
      <c r="E907" s="212"/>
      <c r="F907" s="212"/>
      <c r="G907" s="212"/>
      <c r="H907" s="212"/>
      <c r="J907" s="212"/>
      <c r="K907" s="212"/>
    </row>
    <row r="908" spans="1:11" ht="12.75" customHeight="1">
      <c r="A908" s="212"/>
      <c r="B908" s="212"/>
      <c r="C908" s="212"/>
      <c r="D908" s="212"/>
      <c r="E908" s="212"/>
      <c r="F908" s="212"/>
      <c r="G908" s="212"/>
      <c r="H908" s="212"/>
      <c r="J908" s="212"/>
      <c r="K908" s="212"/>
    </row>
    <row r="909" spans="1:11" ht="12.75" customHeight="1">
      <c r="A909" s="212"/>
      <c r="B909" s="212"/>
      <c r="C909" s="212"/>
      <c r="D909" s="212"/>
      <c r="E909" s="212"/>
      <c r="F909" s="212"/>
      <c r="G909" s="212"/>
      <c r="H909" s="212"/>
      <c r="J909" s="212"/>
      <c r="K909" s="212"/>
    </row>
    <row r="910" spans="1:11" ht="12.75" customHeight="1">
      <c r="A910" s="212"/>
      <c r="B910" s="212"/>
      <c r="C910" s="212"/>
      <c r="D910" s="212"/>
      <c r="E910" s="212"/>
      <c r="F910" s="212"/>
      <c r="G910" s="212"/>
      <c r="H910" s="212"/>
      <c r="J910" s="212"/>
      <c r="K910" s="212"/>
    </row>
    <row r="911" spans="1:11" ht="12.75" customHeight="1">
      <c r="A911" s="212"/>
      <c r="B911" s="212"/>
      <c r="C911" s="212"/>
      <c r="D911" s="212"/>
      <c r="E911" s="212"/>
      <c r="F911" s="212"/>
      <c r="G911" s="212"/>
      <c r="H911" s="212"/>
      <c r="J911" s="212"/>
      <c r="K911" s="212"/>
    </row>
    <row r="912" spans="1:11" ht="12.75" customHeight="1">
      <c r="A912" s="212"/>
      <c r="B912" s="212"/>
      <c r="C912" s="212"/>
      <c r="D912" s="212"/>
      <c r="E912" s="212"/>
      <c r="F912" s="212"/>
      <c r="G912" s="212"/>
      <c r="H912" s="212"/>
      <c r="J912" s="212"/>
      <c r="K912" s="212"/>
    </row>
    <row r="913" spans="1:11" ht="12.75" customHeight="1">
      <c r="A913" s="212"/>
      <c r="B913" s="212"/>
      <c r="C913" s="212"/>
      <c r="D913" s="212"/>
      <c r="E913" s="212"/>
      <c r="F913" s="212"/>
      <c r="G913" s="212"/>
      <c r="H913" s="212"/>
      <c r="J913" s="212"/>
      <c r="K913" s="212"/>
    </row>
    <row r="914" spans="1:11" ht="12.75" customHeight="1">
      <c r="A914" s="212"/>
      <c r="B914" s="212"/>
      <c r="C914" s="212"/>
      <c r="D914" s="212"/>
      <c r="E914" s="212"/>
      <c r="F914" s="212"/>
      <c r="G914" s="212"/>
      <c r="H914" s="212"/>
      <c r="J914" s="212"/>
      <c r="K914" s="212"/>
    </row>
    <row r="915" spans="1:11" ht="12.75" customHeight="1">
      <c r="A915" s="212"/>
      <c r="B915" s="212"/>
      <c r="C915" s="212"/>
      <c r="D915" s="212"/>
      <c r="E915" s="212"/>
      <c r="F915" s="212"/>
      <c r="G915" s="212"/>
      <c r="H915" s="212"/>
      <c r="J915" s="212"/>
      <c r="K915" s="212"/>
    </row>
    <row r="916" spans="1:11" ht="12.75" customHeight="1">
      <c r="A916" s="212"/>
      <c r="B916" s="212"/>
      <c r="C916" s="212"/>
      <c r="D916" s="212"/>
      <c r="E916" s="212"/>
      <c r="F916" s="212"/>
      <c r="G916" s="212"/>
      <c r="H916" s="212"/>
      <c r="J916" s="212"/>
      <c r="K916" s="212"/>
    </row>
    <row r="917" spans="1:11" ht="12.75" customHeight="1">
      <c r="A917" s="212"/>
      <c r="B917" s="212"/>
      <c r="C917" s="212"/>
      <c r="D917" s="212"/>
      <c r="E917" s="212"/>
      <c r="F917" s="212"/>
      <c r="G917" s="212"/>
      <c r="H917" s="212"/>
      <c r="J917" s="212"/>
      <c r="K917" s="212"/>
    </row>
    <row r="918" spans="1:11" ht="12.75" customHeight="1">
      <c r="A918" s="212"/>
      <c r="B918" s="212"/>
      <c r="C918" s="212"/>
      <c r="D918" s="212"/>
      <c r="E918" s="212"/>
      <c r="F918" s="212"/>
      <c r="G918" s="212"/>
      <c r="H918" s="212"/>
      <c r="J918" s="212"/>
      <c r="K918" s="212"/>
    </row>
    <row r="919" spans="1:11" ht="12.75" customHeight="1">
      <c r="A919" s="212"/>
      <c r="B919" s="212"/>
      <c r="C919" s="212"/>
      <c r="D919" s="212"/>
      <c r="E919" s="212"/>
      <c r="F919" s="212"/>
      <c r="G919" s="212"/>
      <c r="H919" s="212"/>
      <c r="J919" s="212"/>
      <c r="K919" s="212"/>
    </row>
    <row r="920" spans="1:11" ht="12.75" customHeight="1">
      <c r="A920" s="212"/>
      <c r="B920" s="212"/>
      <c r="C920" s="212"/>
      <c r="D920" s="212"/>
      <c r="E920" s="212"/>
      <c r="F920" s="212"/>
      <c r="G920" s="212"/>
      <c r="H920" s="212"/>
      <c r="J920" s="212"/>
      <c r="K920" s="212"/>
    </row>
    <row r="921" spans="1:11" ht="12.75" customHeight="1">
      <c r="A921" s="212"/>
      <c r="B921" s="212"/>
      <c r="C921" s="212"/>
      <c r="D921" s="212"/>
      <c r="E921" s="212"/>
      <c r="F921" s="212"/>
      <c r="G921" s="212"/>
      <c r="H921" s="212"/>
      <c r="J921" s="212"/>
      <c r="K921" s="212"/>
    </row>
    <row r="922" spans="1:11" ht="12.75" customHeight="1">
      <c r="A922" s="212"/>
      <c r="B922" s="212"/>
      <c r="C922" s="212"/>
      <c r="D922" s="212"/>
      <c r="E922" s="212"/>
      <c r="F922" s="212"/>
      <c r="G922" s="212"/>
      <c r="H922" s="212"/>
      <c r="J922" s="212"/>
      <c r="K922" s="212"/>
    </row>
    <row r="923" spans="1:11" ht="12.75" customHeight="1">
      <c r="A923" s="212"/>
      <c r="B923" s="212"/>
      <c r="C923" s="212"/>
      <c r="D923" s="212"/>
      <c r="E923" s="212"/>
      <c r="F923" s="212"/>
      <c r="G923" s="212"/>
      <c r="H923" s="212"/>
      <c r="J923" s="212"/>
      <c r="K923" s="212"/>
    </row>
    <row r="924" spans="1:11" ht="12.75" customHeight="1">
      <c r="A924" s="212"/>
      <c r="B924" s="212"/>
      <c r="C924" s="212"/>
      <c r="D924" s="212"/>
      <c r="E924" s="212"/>
      <c r="F924" s="212"/>
      <c r="G924" s="212"/>
      <c r="H924" s="212"/>
      <c r="J924" s="212"/>
      <c r="K924" s="212"/>
    </row>
    <row r="925" spans="1:11" ht="12.75" customHeight="1">
      <c r="A925" s="212"/>
      <c r="B925" s="212"/>
      <c r="C925" s="212"/>
      <c r="D925" s="212"/>
      <c r="E925" s="212"/>
      <c r="F925" s="212"/>
      <c r="G925" s="212"/>
      <c r="H925" s="212"/>
      <c r="J925" s="212"/>
      <c r="K925" s="212"/>
    </row>
    <row r="926" spans="1:11" ht="12.75" customHeight="1">
      <c r="A926" s="212"/>
      <c r="B926" s="212"/>
      <c r="C926" s="212"/>
      <c r="D926" s="212"/>
      <c r="E926" s="212"/>
      <c r="F926" s="212"/>
      <c r="G926" s="212"/>
      <c r="H926" s="212"/>
      <c r="J926" s="212"/>
      <c r="K926" s="212"/>
    </row>
    <row r="927" spans="1:11" ht="12.75" customHeight="1">
      <c r="A927" s="212"/>
      <c r="B927" s="212"/>
      <c r="C927" s="212"/>
      <c r="D927" s="212"/>
      <c r="E927" s="212"/>
      <c r="F927" s="212"/>
      <c r="G927" s="212"/>
      <c r="H927" s="212"/>
      <c r="J927" s="212"/>
      <c r="K927" s="212"/>
    </row>
    <row r="928" spans="1:11" ht="12.75" customHeight="1">
      <c r="A928" s="212"/>
      <c r="B928" s="212"/>
      <c r="C928" s="212"/>
      <c r="D928" s="212"/>
      <c r="E928" s="212"/>
      <c r="F928" s="212"/>
      <c r="G928" s="212"/>
      <c r="H928" s="212"/>
      <c r="J928" s="212"/>
      <c r="K928" s="212"/>
    </row>
    <row r="929" spans="1:11" ht="12.75" customHeight="1">
      <c r="A929" s="212"/>
      <c r="B929" s="212"/>
      <c r="C929" s="212"/>
      <c r="D929" s="212"/>
      <c r="E929" s="212"/>
      <c r="F929" s="212"/>
      <c r="G929" s="212"/>
      <c r="H929" s="212"/>
      <c r="J929" s="212"/>
      <c r="K929" s="212"/>
    </row>
    <row r="930" spans="1:11" ht="12.75" customHeight="1">
      <c r="A930" s="212"/>
      <c r="B930" s="212"/>
      <c r="C930" s="212"/>
      <c r="D930" s="212"/>
      <c r="E930" s="212"/>
      <c r="F930" s="212"/>
      <c r="G930" s="212"/>
      <c r="H930" s="212"/>
      <c r="J930" s="212"/>
      <c r="K930" s="212"/>
    </row>
    <row r="931" spans="1:11" ht="12.75" customHeight="1">
      <c r="A931" s="212"/>
      <c r="B931" s="212"/>
      <c r="C931" s="212"/>
      <c r="D931" s="212"/>
      <c r="E931" s="212"/>
      <c r="F931" s="212"/>
      <c r="G931" s="212"/>
      <c r="H931" s="212"/>
      <c r="J931" s="212"/>
      <c r="K931" s="212"/>
    </row>
    <row r="932" spans="1:11" ht="12.75" customHeight="1">
      <c r="A932" s="212"/>
      <c r="B932" s="212"/>
      <c r="C932" s="212"/>
      <c r="D932" s="212"/>
      <c r="E932" s="212"/>
      <c r="F932" s="212"/>
      <c r="G932" s="212"/>
      <c r="H932" s="212"/>
      <c r="J932" s="212"/>
      <c r="K932" s="212"/>
    </row>
    <row r="933" spans="1:11" ht="12.75" customHeight="1">
      <c r="A933" s="212"/>
      <c r="B933" s="212"/>
      <c r="C933" s="212"/>
      <c r="D933" s="212"/>
      <c r="E933" s="212"/>
      <c r="F933" s="212"/>
      <c r="G933" s="212"/>
      <c r="H933" s="212"/>
      <c r="J933" s="212"/>
      <c r="K933" s="212"/>
    </row>
    <row r="934" spans="1:11" ht="12.75" customHeight="1">
      <c r="A934" s="212"/>
      <c r="B934" s="212"/>
      <c r="C934" s="212"/>
      <c r="D934" s="212"/>
      <c r="E934" s="212"/>
      <c r="F934" s="212"/>
      <c r="G934" s="212"/>
      <c r="H934" s="212"/>
      <c r="J934" s="212"/>
      <c r="K934" s="212"/>
    </row>
    <row r="935" spans="1:11" ht="12.75" customHeight="1">
      <c r="A935" s="212"/>
      <c r="B935" s="212"/>
      <c r="C935" s="212"/>
      <c r="D935" s="212"/>
      <c r="E935" s="212"/>
      <c r="F935" s="212"/>
      <c r="G935" s="212"/>
      <c r="H935" s="212"/>
      <c r="J935" s="212"/>
      <c r="K935" s="212"/>
    </row>
    <row r="936" spans="1:11" ht="12.75" customHeight="1">
      <c r="A936" s="212"/>
      <c r="B936" s="212"/>
      <c r="C936" s="212"/>
      <c r="D936" s="212"/>
      <c r="E936" s="212"/>
      <c r="F936" s="212"/>
      <c r="G936" s="212"/>
      <c r="H936" s="212"/>
      <c r="J936" s="212"/>
      <c r="K936" s="212"/>
    </row>
    <row r="937" spans="1:11" ht="12.75" customHeight="1">
      <c r="A937" s="212"/>
      <c r="B937" s="212"/>
      <c r="C937" s="212"/>
      <c r="D937" s="212"/>
      <c r="E937" s="212"/>
      <c r="F937" s="212"/>
      <c r="G937" s="212"/>
      <c r="H937" s="212"/>
      <c r="J937" s="212"/>
      <c r="K937" s="212"/>
    </row>
    <row r="938" spans="1:11" ht="12.75" customHeight="1">
      <c r="A938" s="212"/>
      <c r="B938" s="212"/>
      <c r="C938" s="212"/>
      <c r="D938" s="212"/>
      <c r="E938" s="212"/>
      <c r="F938" s="212"/>
      <c r="G938" s="212"/>
      <c r="H938" s="212"/>
      <c r="J938" s="212"/>
      <c r="K938" s="212"/>
    </row>
    <row r="939" spans="1:11" ht="12.75" customHeight="1">
      <c r="A939" s="212"/>
      <c r="B939" s="212"/>
      <c r="C939" s="212"/>
      <c r="D939" s="212"/>
      <c r="E939" s="212"/>
      <c r="F939" s="212"/>
      <c r="G939" s="212"/>
      <c r="H939" s="212"/>
      <c r="J939" s="212"/>
      <c r="K939" s="212"/>
    </row>
    <row r="940" spans="1:11" ht="12.75" customHeight="1">
      <c r="A940" s="212"/>
      <c r="B940" s="212"/>
      <c r="C940" s="212"/>
      <c r="D940" s="212"/>
      <c r="E940" s="212"/>
      <c r="F940" s="212"/>
      <c r="G940" s="212"/>
      <c r="H940" s="212"/>
      <c r="J940" s="212"/>
      <c r="K940" s="212"/>
    </row>
    <row r="941" spans="1:11" ht="12.75" customHeight="1">
      <c r="A941" s="212"/>
      <c r="B941" s="212"/>
      <c r="C941" s="212"/>
      <c r="D941" s="212"/>
      <c r="E941" s="212"/>
      <c r="F941" s="212"/>
      <c r="G941" s="212"/>
      <c r="H941" s="212"/>
      <c r="J941" s="212"/>
      <c r="K941" s="212"/>
    </row>
    <row r="942" spans="1:11" ht="12.75" customHeight="1">
      <c r="A942" s="212"/>
      <c r="B942" s="212"/>
      <c r="C942" s="212"/>
      <c r="D942" s="212"/>
      <c r="E942" s="212"/>
      <c r="F942" s="212"/>
      <c r="G942" s="212"/>
      <c r="H942" s="212"/>
      <c r="J942" s="212"/>
      <c r="K942" s="212"/>
    </row>
    <row r="943" spans="1:11" ht="12.75" customHeight="1">
      <c r="A943" s="212"/>
      <c r="B943" s="212"/>
      <c r="C943" s="212"/>
      <c r="D943" s="212"/>
      <c r="E943" s="212"/>
      <c r="F943" s="212"/>
      <c r="G943" s="212"/>
      <c r="H943" s="212"/>
      <c r="J943" s="212"/>
      <c r="K943" s="212"/>
    </row>
    <row r="944" spans="1:11" ht="12.75" customHeight="1">
      <c r="A944" s="212"/>
      <c r="B944" s="212"/>
      <c r="C944" s="212"/>
      <c r="D944" s="212"/>
      <c r="E944" s="212"/>
      <c r="F944" s="212"/>
      <c r="G944" s="212"/>
      <c r="H944" s="212"/>
      <c r="J944" s="212"/>
      <c r="K944" s="212"/>
    </row>
    <row r="945" spans="1:11" ht="12.75" customHeight="1">
      <c r="A945" s="212"/>
      <c r="B945" s="212"/>
      <c r="C945" s="212"/>
      <c r="D945" s="212"/>
      <c r="E945" s="212"/>
      <c r="F945" s="212"/>
      <c r="G945" s="212"/>
      <c r="H945" s="212"/>
      <c r="J945" s="212"/>
      <c r="K945" s="212"/>
    </row>
    <row r="946" spans="1:11" ht="12.75" customHeight="1">
      <c r="A946" s="212"/>
      <c r="B946" s="212"/>
      <c r="C946" s="212"/>
      <c r="D946" s="212"/>
      <c r="E946" s="212"/>
      <c r="F946" s="212"/>
      <c r="G946" s="212"/>
      <c r="H946" s="212"/>
      <c r="J946" s="212"/>
      <c r="K946" s="212"/>
    </row>
    <row r="947" spans="1:11" ht="12.75" customHeight="1">
      <c r="A947" s="212"/>
      <c r="B947" s="212"/>
      <c r="C947" s="212"/>
      <c r="D947" s="212"/>
      <c r="E947" s="212"/>
      <c r="F947" s="212"/>
      <c r="G947" s="212"/>
      <c r="H947" s="212"/>
      <c r="J947" s="212"/>
      <c r="K947" s="212"/>
    </row>
    <row r="948" spans="1:11" ht="12.75" customHeight="1">
      <c r="A948" s="212"/>
      <c r="B948" s="212"/>
      <c r="C948" s="212"/>
      <c r="D948" s="212"/>
      <c r="E948" s="212"/>
      <c r="F948" s="212"/>
      <c r="G948" s="212"/>
      <c r="H948" s="212"/>
      <c r="J948" s="212"/>
      <c r="K948" s="212"/>
    </row>
    <row r="949" spans="1:11" ht="12.75" customHeight="1">
      <c r="A949" s="212"/>
      <c r="B949" s="212"/>
      <c r="C949" s="212"/>
      <c r="D949" s="212"/>
      <c r="E949" s="212"/>
      <c r="F949" s="212"/>
      <c r="G949" s="212"/>
      <c r="H949" s="212"/>
      <c r="J949" s="212"/>
      <c r="K949" s="212"/>
    </row>
    <row r="950" spans="1:11" ht="12.75" customHeight="1">
      <c r="A950" s="212"/>
      <c r="B950" s="212"/>
      <c r="C950" s="212"/>
      <c r="D950" s="212"/>
      <c r="E950" s="212"/>
      <c r="F950" s="212"/>
      <c r="G950" s="212"/>
      <c r="H950" s="212"/>
      <c r="J950" s="212"/>
      <c r="K950" s="212"/>
    </row>
    <row r="951" spans="1:11" ht="12.75" customHeight="1">
      <c r="A951" s="212"/>
      <c r="B951" s="212"/>
      <c r="C951" s="212"/>
      <c r="D951" s="212"/>
      <c r="E951" s="212"/>
      <c r="F951" s="212"/>
      <c r="G951" s="212"/>
      <c r="H951" s="212"/>
      <c r="J951" s="212"/>
      <c r="K951" s="212"/>
    </row>
    <row r="952" spans="1:11" ht="12.75" customHeight="1">
      <c r="A952" s="212"/>
      <c r="B952" s="212"/>
      <c r="C952" s="212"/>
      <c r="D952" s="212"/>
      <c r="E952" s="212"/>
      <c r="F952" s="212"/>
      <c r="G952" s="212"/>
      <c r="H952" s="212"/>
      <c r="J952" s="212"/>
      <c r="K952" s="212"/>
    </row>
    <row r="953" spans="1:11" ht="12.75" customHeight="1">
      <c r="A953" s="212"/>
      <c r="B953" s="212"/>
      <c r="C953" s="212"/>
      <c r="D953" s="212"/>
      <c r="E953" s="212"/>
      <c r="F953" s="212"/>
      <c r="G953" s="212"/>
      <c r="H953" s="212"/>
      <c r="J953" s="212"/>
      <c r="K953" s="212"/>
    </row>
    <row r="954" spans="1:11" ht="12.75" customHeight="1">
      <c r="A954" s="212"/>
      <c r="B954" s="212"/>
      <c r="C954" s="212"/>
      <c r="D954" s="212"/>
      <c r="E954" s="212"/>
      <c r="F954" s="212"/>
      <c r="G954" s="212"/>
      <c r="H954" s="212"/>
      <c r="J954" s="212"/>
      <c r="K954" s="212"/>
    </row>
    <row r="955" spans="1:11" ht="12.75" customHeight="1">
      <c r="A955" s="212"/>
      <c r="B955" s="212"/>
      <c r="C955" s="212"/>
      <c r="D955" s="212"/>
      <c r="E955" s="212"/>
      <c r="F955" s="212"/>
      <c r="G955" s="212"/>
      <c r="H955" s="212"/>
      <c r="J955" s="212"/>
      <c r="K955" s="212"/>
    </row>
    <row r="956" spans="1:11" ht="12.75" customHeight="1">
      <c r="A956" s="212"/>
      <c r="B956" s="212"/>
      <c r="C956" s="212"/>
      <c r="D956" s="212"/>
      <c r="E956" s="212"/>
      <c r="F956" s="212"/>
      <c r="G956" s="212"/>
      <c r="H956" s="212"/>
      <c r="J956" s="212"/>
      <c r="K956" s="212"/>
    </row>
    <row r="957" spans="1:11" ht="12.75" customHeight="1">
      <c r="A957" s="212"/>
      <c r="B957" s="212"/>
      <c r="C957" s="212"/>
      <c r="D957" s="212"/>
      <c r="E957" s="212"/>
      <c r="F957" s="212"/>
      <c r="G957" s="212"/>
      <c r="H957" s="212"/>
      <c r="J957" s="212"/>
      <c r="K957" s="212"/>
    </row>
    <row r="958" spans="1:11" ht="12.75" customHeight="1">
      <c r="A958" s="212"/>
      <c r="B958" s="212"/>
      <c r="C958" s="212"/>
      <c r="D958" s="212"/>
      <c r="E958" s="212"/>
      <c r="F958" s="212"/>
      <c r="G958" s="212"/>
      <c r="H958" s="212"/>
      <c r="J958" s="212"/>
      <c r="K958" s="212"/>
    </row>
    <row r="959" spans="1:11" ht="12.75" customHeight="1">
      <c r="A959" s="212"/>
      <c r="B959" s="212"/>
      <c r="C959" s="212"/>
      <c r="D959" s="212"/>
      <c r="E959" s="212"/>
      <c r="F959" s="212"/>
      <c r="G959" s="212"/>
      <c r="H959" s="212"/>
      <c r="J959" s="212"/>
      <c r="K959" s="212"/>
    </row>
    <row r="960" spans="1:11" ht="12.75" customHeight="1">
      <c r="A960" s="212"/>
      <c r="B960" s="212"/>
      <c r="C960" s="212"/>
      <c r="D960" s="212"/>
      <c r="E960" s="212"/>
      <c r="F960" s="212"/>
      <c r="G960" s="212"/>
      <c r="H960" s="212"/>
      <c r="J960" s="212"/>
      <c r="K960" s="212"/>
    </row>
    <row r="961" spans="1:11" ht="12.75" customHeight="1">
      <c r="A961" s="212"/>
      <c r="B961" s="212"/>
      <c r="C961" s="212"/>
      <c r="D961" s="212"/>
      <c r="E961" s="212"/>
      <c r="F961" s="212"/>
      <c r="G961" s="212"/>
      <c r="H961" s="212"/>
      <c r="J961" s="212"/>
      <c r="K961" s="212"/>
    </row>
    <row r="962" spans="1:11" ht="12.75" customHeight="1">
      <c r="A962" s="212"/>
      <c r="B962" s="212"/>
      <c r="C962" s="212"/>
      <c r="D962" s="212"/>
      <c r="E962" s="212"/>
      <c r="F962" s="212"/>
      <c r="G962" s="212"/>
      <c r="H962" s="212"/>
      <c r="J962" s="212"/>
      <c r="K962" s="212"/>
    </row>
    <row r="963" spans="1:11" ht="12.75" customHeight="1">
      <c r="A963" s="212"/>
      <c r="B963" s="212"/>
      <c r="C963" s="212"/>
      <c r="D963" s="212"/>
      <c r="E963" s="212"/>
      <c r="F963" s="212"/>
      <c r="G963" s="212"/>
      <c r="H963" s="212"/>
      <c r="J963" s="212"/>
      <c r="K963" s="212"/>
    </row>
    <row r="964" spans="1:11" ht="12.75" customHeight="1">
      <c r="A964" s="212"/>
      <c r="B964" s="212"/>
      <c r="C964" s="212"/>
      <c r="D964" s="212"/>
      <c r="E964" s="212"/>
      <c r="F964" s="212"/>
      <c r="G964" s="212"/>
      <c r="H964" s="212"/>
      <c r="J964" s="212"/>
      <c r="K964" s="212"/>
    </row>
    <row r="965" spans="1:11" ht="12.75" customHeight="1">
      <c r="A965" s="212"/>
      <c r="B965" s="212"/>
      <c r="C965" s="212"/>
      <c r="D965" s="212"/>
      <c r="E965" s="212"/>
      <c r="F965" s="212"/>
      <c r="G965" s="212"/>
      <c r="H965" s="212"/>
      <c r="J965" s="212"/>
      <c r="K965" s="212"/>
    </row>
    <row r="966" spans="1:11" ht="12.75" customHeight="1">
      <c r="A966" s="212"/>
      <c r="B966" s="212"/>
      <c r="C966" s="212"/>
      <c r="D966" s="212"/>
      <c r="E966" s="212"/>
      <c r="F966" s="212"/>
      <c r="G966" s="212"/>
      <c r="H966" s="212"/>
      <c r="J966" s="212"/>
      <c r="K966" s="212"/>
    </row>
    <row r="967" spans="1:11" ht="12.75" customHeight="1">
      <c r="A967" s="212"/>
      <c r="B967" s="212"/>
      <c r="C967" s="212"/>
      <c r="D967" s="212"/>
      <c r="E967" s="212"/>
      <c r="F967" s="212"/>
      <c r="G967" s="212"/>
      <c r="H967" s="212"/>
      <c r="J967" s="212"/>
      <c r="K967" s="212"/>
    </row>
    <row r="968" spans="1:11" ht="12.75" customHeight="1">
      <c r="A968" s="212"/>
      <c r="B968" s="212"/>
      <c r="C968" s="212"/>
      <c r="D968" s="212"/>
      <c r="E968" s="212"/>
      <c r="F968" s="212"/>
      <c r="G968" s="212"/>
      <c r="H968" s="212"/>
      <c r="J968" s="212"/>
      <c r="K968" s="212"/>
    </row>
    <row r="969" spans="1:11" ht="12.75" customHeight="1">
      <c r="A969" s="212"/>
      <c r="B969" s="212"/>
      <c r="C969" s="212"/>
      <c r="D969" s="212"/>
      <c r="E969" s="212"/>
      <c r="F969" s="212"/>
      <c r="G969" s="212"/>
      <c r="H969" s="212"/>
      <c r="J969" s="212"/>
      <c r="K969" s="212"/>
    </row>
    <row r="970" spans="1:11" ht="12.75" customHeight="1">
      <c r="A970" s="212"/>
      <c r="B970" s="212"/>
      <c r="C970" s="212"/>
      <c r="D970" s="212"/>
      <c r="E970" s="212"/>
      <c r="F970" s="212"/>
      <c r="G970" s="212"/>
      <c r="H970" s="212"/>
      <c r="J970" s="212"/>
      <c r="K970" s="212"/>
    </row>
    <row r="971" spans="1:11" ht="12.75" customHeight="1">
      <c r="A971" s="212"/>
      <c r="B971" s="212"/>
      <c r="C971" s="212"/>
      <c r="D971" s="212"/>
      <c r="E971" s="212"/>
      <c r="F971" s="212"/>
      <c r="G971" s="212"/>
      <c r="H971" s="212"/>
      <c r="J971" s="212"/>
      <c r="K971" s="212"/>
    </row>
    <row r="972" spans="1:11" ht="12.75" customHeight="1">
      <c r="A972" s="212"/>
      <c r="B972" s="212"/>
      <c r="C972" s="212"/>
      <c r="D972" s="212"/>
      <c r="E972" s="212"/>
      <c r="F972" s="212"/>
      <c r="G972" s="212"/>
      <c r="H972" s="212"/>
      <c r="J972" s="212"/>
      <c r="K972" s="212"/>
    </row>
    <row r="973" spans="1:11" ht="12.75" customHeight="1">
      <c r="A973" s="212"/>
      <c r="B973" s="212"/>
      <c r="C973" s="212"/>
      <c r="D973" s="212"/>
      <c r="E973" s="212"/>
      <c r="F973" s="212"/>
      <c r="G973" s="212"/>
      <c r="H973" s="212"/>
      <c r="J973" s="212"/>
      <c r="K973" s="212"/>
    </row>
    <row r="974" spans="1:11" ht="12.75" customHeight="1">
      <c r="A974" s="212"/>
      <c r="B974" s="212"/>
      <c r="C974" s="212"/>
      <c r="D974" s="212"/>
      <c r="E974" s="212"/>
      <c r="F974" s="212"/>
      <c r="G974" s="212"/>
      <c r="H974" s="212"/>
      <c r="J974" s="212"/>
      <c r="K974" s="212"/>
    </row>
    <row r="975" spans="1:11" ht="12.75" customHeight="1">
      <c r="A975" s="212"/>
      <c r="B975" s="212"/>
      <c r="C975" s="212"/>
      <c r="D975" s="212"/>
      <c r="E975" s="212"/>
      <c r="F975" s="212"/>
      <c r="G975" s="212"/>
      <c r="H975" s="212"/>
      <c r="J975" s="212"/>
      <c r="K975" s="212"/>
    </row>
    <row r="976" spans="1:11" ht="12.75" customHeight="1">
      <c r="A976" s="212"/>
      <c r="B976" s="212"/>
      <c r="C976" s="212"/>
      <c r="D976" s="212"/>
      <c r="E976" s="212"/>
      <c r="F976" s="212"/>
      <c r="G976" s="212"/>
      <c r="H976" s="212"/>
      <c r="J976" s="212"/>
      <c r="K976" s="212"/>
    </row>
    <row r="977" spans="1:11" ht="12.75" customHeight="1">
      <c r="A977" s="212"/>
      <c r="B977" s="212"/>
      <c r="C977" s="212"/>
      <c r="D977" s="212"/>
      <c r="E977" s="212"/>
      <c r="F977" s="212"/>
      <c r="G977" s="212"/>
      <c r="H977" s="212"/>
      <c r="J977" s="212"/>
      <c r="K977" s="212"/>
    </row>
    <row r="978" spans="1:11" ht="12.75" customHeight="1">
      <c r="A978" s="212"/>
      <c r="B978" s="212"/>
      <c r="C978" s="212"/>
      <c r="D978" s="212"/>
      <c r="E978" s="212"/>
      <c r="F978" s="212"/>
      <c r="G978" s="212"/>
      <c r="H978" s="212"/>
      <c r="J978" s="212"/>
      <c r="K978" s="212"/>
    </row>
    <row r="979" spans="1:11" ht="12.75" customHeight="1">
      <c r="A979" s="212"/>
      <c r="B979" s="212"/>
      <c r="C979" s="212"/>
      <c r="D979" s="212"/>
      <c r="E979" s="212"/>
      <c r="F979" s="212"/>
      <c r="G979" s="212"/>
      <c r="H979" s="212"/>
      <c r="J979" s="212"/>
      <c r="K979" s="212"/>
    </row>
    <row r="980" spans="1:11" ht="12.75" customHeight="1">
      <c r="A980" s="212"/>
      <c r="B980" s="212"/>
      <c r="C980" s="212"/>
      <c r="D980" s="212"/>
      <c r="E980" s="212"/>
      <c r="F980" s="212"/>
      <c r="G980" s="212"/>
      <c r="H980" s="212"/>
      <c r="J980" s="212"/>
      <c r="K980" s="212"/>
    </row>
    <row r="981" spans="1:11" ht="12.75" customHeight="1">
      <c r="A981" s="212"/>
      <c r="B981" s="212"/>
      <c r="C981" s="212"/>
      <c r="D981" s="212"/>
      <c r="E981" s="212"/>
      <c r="F981" s="212"/>
      <c r="G981" s="212"/>
      <c r="H981" s="212"/>
      <c r="J981" s="212"/>
      <c r="K981" s="212"/>
    </row>
    <row r="982" spans="1:11" ht="12.75" customHeight="1">
      <c r="A982" s="212"/>
      <c r="B982" s="212"/>
      <c r="C982" s="212"/>
      <c r="D982" s="212"/>
      <c r="E982" s="212"/>
      <c r="F982" s="212"/>
      <c r="G982" s="212"/>
      <c r="H982" s="212"/>
      <c r="J982" s="212"/>
      <c r="K982" s="212"/>
    </row>
    <row r="983" spans="1:11" ht="12.75" customHeight="1">
      <c r="A983" s="212"/>
      <c r="B983" s="212"/>
      <c r="C983" s="212"/>
      <c r="D983" s="212"/>
      <c r="E983" s="212"/>
      <c r="F983" s="212"/>
      <c r="G983" s="212"/>
      <c r="H983" s="212"/>
      <c r="J983" s="212"/>
      <c r="K983" s="212"/>
    </row>
    <row r="984" spans="1:11" ht="12.75" customHeight="1">
      <c r="A984" s="212"/>
      <c r="B984" s="212"/>
      <c r="C984" s="212"/>
      <c r="D984" s="212"/>
      <c r="E984" s="212"/>
      <c r="F984" s="212"/>
      <c r="G984" s="212"/>
      <c r="H984" s="212"/>
      <c r="J984" s="212"/>
      <c r="K984" s="212"/>
    </row>
    <row r="985" spans="1:11" ht="12.75" customHeight="1">
      <c r="A985" s="212"/>
      <c r="B985" s="212"/>
      <c r="C985" s="212"/>
      <c r="D985" s="212"/>
      <c r="E985" s="212"/>
      <c r="F985" s="212"/>
      <c r="G985" s="212"/>
      <c r="H985" s="212"/>
      <c r="J985" s="212"/>
      <c r="K985" s="212"/>
    </row>
    <row r="986" spans="1:11" ht="12.75" customHeight="1">
      <c r="A986" s="212"/>
      <c r="B986" s="212"/>
      <c r="C986" s="212"/>
      <c r="D986" s="212"/>
      <c r="E986" s="212"/>
      <c r="F986" s="212"/>
      <c r="G986" s="212"/>
      <c r="H986" s="212"/>
      <c r="J986" s="212"/>
      <c r="K986" s="212"/>
    </row>
    <row r="987" spans="1:11" ht="12.75" customHeight="1">
      <c r="A987" s="212"/>
      <c r="B987" s="212"/>
      <c r="C987" s="212"/>
      <c r="D987" s="212"/>
      <c r="E987" s="212"/>
      <c r="F987" s="212"/>
      <c r="G987" s="212"/>
      <c r="H987" s="212"/>
      <c r="J987" s="212"/>
      <c r="K987" s="212"/>
    </row>
    <row r="988" spans="1:11" ht="12.75" customHeight="1">
      <c r="A988" s="212"/>
      <c r="B988" s="212"/>
      <c r="C988" s="212"/>
      <c r="D988" s="212"/>
      <c r="E988" s="212"/>
      <c r="F988" s="212"/>
      <c r="G988" s="212"/>
      <c r="H988" s="212"/>
      <c r="J988" s="212"/>
      <c r="K988" s="212"/>
    </row>
    <row r="989" spans="1:11" ht="12.75" customHeight="1">
      <c r="A989" s="212"/>
      <c r="B989" s="212"/>
      <c r="C989" s="212"/>
      <c r="D989" s="212"/>
      <c r="E989" s="212"/>
      <c r="F989" s="212"/>
      <c r="G989" s="212"/>
      <c r="H989" s="212"/>
      <c r="J989" s="212"/>
      <c r="K989" s="212"/>
    </row>
    <row r="990" spans="1:11" ht="12.75" customHeight="1">
      <c r="A990" s="212"/>
      <c r="B990" s="212"/>
      <c r="C990" s="212"/>
      <c r="D990" s="212"/>
      <c r="E990" s="212"/>
      <c r="F990" s="212"/>
      <c r="G990" s="212"/>
      <c r="H990" s="212"/>
      <c r="J990" s="212"/>
      <c r="K990" s="212"/>
    </row>
    <row r="991" spans="1:11" ht="12.75" customHeight="1">
      <c r="A991" s="212"/>
      <c r="B991" s="212"/>
      <c r="C991" s="212"/>
      <c r="D991" s="212"/>
      <c r="E991" s="212"/>
      <c r="F991" s="212"/>
      <c r="G991" s="212"/>
      <c r="H991" s="212"/>
      <c r="J991" s="212"/>
      <c r="K991" s="212"/>
    </row>
    <row r="992" spans="1:11" ht="12.75" customHeight="1">
      <c r="A992" s="212"/>
      <c r="B992" s="212"/>
      <c r="C992" s="212"/>
      <c r="D992" s="212"/>
      <c r="E992" s="212"/>
      <c r="F992" s="212"/>
      <c r="G992" s="212"/>
      <c r="H992" s="212"/>
      <c r="J992" s="212"/>
      <c r="K992" s="212"/>
    </row>
    <row r="993" spans="1:11" ht="12.75" customHeight="1">
      <c r="A993" s="212"/>
      <c r="B993" s="212"/>
      <c r="C993" s="212"/>
      <c r="D993" s="212"/>
      <c r="E993" s="212"/>
      <c r="F993" s="212"/>
      <c r="G993" s="212"/>
      <c r="H993" s="212"/>
      <c r="J993" s="212"/>
      <c r="K993" s="212"/>
    </row>
    <row r="994" spans="1:11" ht="12.75" customHeight="1">
      <c r="A994" s="212"/>
      <c r="B994" s="212"/>
      <c r="C994" s="212"/>
      <c r="D994" s="212"/>
      <c r="E994" s="212"/>
      <c r="F994" s="212"/>
      <c r="G994" s="212"/>
      <c r="H994" s="212"/>
      <c r="J994" s="212"/>
      <c r="K994" s="212"/>
    </row>
    <row r="995" spans="1:11" ht="12.75" customHeight="1">
      <c r="A995" s="212"/>
      <c r="B995" s="212"/>
      <c r="C995" s="212"/>
      <c r="D995" s="212"/>
      <c r="E995" s="212"/>
      <c r="F995" s="212"/>
      <c r="G995" s="212"/>
      <c r="H995" s="212"/>
      <c r="J995" s="212"/>
      <c r="K995" s="212"/>
    </row>
    <row r="996" spans="1:11" ht="12.75" customHeight="1">
      <c r="A996" s="212"/>
      <c r="B996" s="212"/>
      <c r="C996" s="212"/>
      <c r="D996" s="212"/>
      <c r="E996" s="212"/>
      <c r="F996" s="212"/>
      <c r="G996" s="212"/>
      <c r="H996" s="212"/>
      <c r="J996" s="212"/>
      <c r="K996" s="212"/>
    </row>
    <row r="997" spans="1:11" ht="12.75" customHeight="1">
      <c r="A997" s="212"/>
      <c r="B997" s="212"/>
      <c r="C997" s="212"/>
      <c r="D997" s="212"/>
      <c r="E997" s="212"/>
      <c r="F997" s="212"/>
      <c r="G997" s="212"/>
      <c r="H997" s="212"/>
      <c r="J997" s="212"/>
      <c r="K997" s="212"/>
    </row>
    <row r="998" spans="1:11" ht="12.75" customHeight="1">
      <c r="A998" s="212"/>
      <c r="B998" s="212"/>
      <c r="C998" s="212"/>
      <c r="D998" s="212"/>
      <c r="E998" s="212"/>
      <c r="F998" s="212"/>
      <c r="G998" s="212"/>
      <c r="H998" s="212"/>
      <c r="J998" s="212"/>
      <c r="K998" s="212"/>
    </row>
    <row r="999" spans="1:11" ht="12.75" customHeight="1">
      <c r="A999" s="212"/>
      <c r="B999" s="212"/>
      <c r="C999" s="212"/>
      <c r="D999" s="212"/>
      <c r="E999" s="212"/>
      <c r="F999" s="212"/>
      <c r="G999" s="212"/>
      <c r="H999" s="212"/>
      <c r="J999" s="212"/>
      <c r="K999" s="212"/>
    </row>
    <row r="1000" spans="1:11" ht="12.75" customHeight="1">
      <c r="A1000" s="212"/>
      <c r="B1000" s="212"/>
      <c r="C1000" s="212"/>
      <c r="D1000" s="212"/>
      <c r="E1000" s="212"/>
      <c r="F1000" s="212"/>
      <c r="G1000" s="212"/>
      <c r="H1000" s="212"/>
      <c r="J1000" s="212"/>
      <c r="K1000" s="212"/>
    </row>
    <row r="1001" spans="1:11" ht="12.75" customHeight="1">
      <c r="A1001" s="212"/>
      <c r="B1001" s="212"/>
      <c r="C1001" s="212"/>
      <c r="D1001" s="212"/>
      <c r="E1001" s="212"/>
      <c r="F1001" s="212"/>
      <c r="G1001" s="212"/>
      <c r="H1001" s="212"/>
      <c r="J1001" s="212"/>
      <c r="K1001" s="212"/>
    </row>
    <row r="1002" spans="1:11" ht="12.75" customHeight="1">
      <c r="A1002" s="212"/>
      <c r="B1002" s="212"/>
      <c r="C1002" s="212"/>
      <c r="D1002" s="212"/>
      <c r="E1002" s="212"/>
      <c r="F1002" s="212"/>
      <c r="G1002" s="212"/>
      <c r="H1002" s="212"/>
      <c r="J1002" s="212"/>
      <c r="K1002" s="212"/>
    </row>
    <row r="1003" spans="1:11" ht="12.75" customHeight="1">
      <c r="A1003" s="212"/>
      <c r="B1003" s="212"/>
      <c r="C1003" s="212"/>
      <c r="D1003" s="212"/>
      <c r="E1003" s="212"/>
      <c r="F1003" s="212"/>
      <c r="G1003" s="212"/>
      <c r="H1003" s="212"/>
      <c r="J1003" s="212"/>
      <c r="K1003" s="212"/>
    </row>
    <row r="1004" spans="1:11" ht="12.75" customHeight="1">
      <c r="A1004" s="212"/>
      <c r="B1004" s="212"/>
      <c r="C1004" s="212"/>
      <c r="D1004" s="212"/>
      <c r="E1004" s="212"/>
      <c r="F1004" s="212"/>
      <c r="G1004" s="212"/>
      <c r="H1004" s="212"/>
      <c r="J1004" s="212"/>
      <c r="K1004" s="212"/>
    </row>
    <row r="1005" spans="1:11" ht="12.75" customHeight="1">
      <c r="A1005" s="212"/>
      <c r="B1005" s="212"/>
      <c r="C1005" s="212"/>
      <c r="D1005" s="212"/>
      <c r="E1005" s="212"/>
      <c r="F1005" s="212"/>
      <c r="G1005" s="212"/>
      <c r="H1005" s="212"/>
      <c r="J1005" s="212"/>
      <c r="K1005" s="212"/>
    </row>
    <row r="1006" spans="1:11" ht="12.75" customHeight="1">
      <c r="A1006" s="212"/>
      <c r="B1006" s="212"/>
      <c r="C1006" s="212"/>
      <c r="D1006" s="212"/>
      <c r="E1006" s="212"/>
      <c r="F1006" s="212"/>
      <c r="G1006" s="212"/>
      <c r="H1006" s="212"/>
      <c r="J1006" s="212"/>
      <c r="K1006" s="212"/>
    </row>
    <row r="1007" spans="1:11" ht="12.75" customHeight="1">
      <c r="A1007" s="212"/>
      <c r="B1007" s="212"/>
      <c r="C1007" s="212"/>
      <c r="D1007" s="212"/>
      <c r="E1007" s="212"/>
      <c r="F1007" s="212"/>
      <c r="G1007" s="212"/>
      <c r="H1007" s="212"/>
      <c r="J1007" s="212"/>
      <c r="K1007" s="212"/>
    </row>
    <row r="1008" spans="1:11" ht="12.75" customHeight="1">
      <c r="A1008" s="212"/>
      <c r="B1008" s="212"/>
      <c r="C1008" s="212"/>
      <c r="D1008" s="212"/>
      <c r="E1008" s="212"/>
      <c r="F1008" s="212"/>
      <c r="G1008" s="212"/>
      <c r="H1008" s="212"/>
      <c r="J1008" s="212"/>
      <c r="K1008" s="212"/>
    </row>
    <row r="1009" spans="1:11" ht="12.75" customHeight="1">
      <c r="A1009" s="212"/>
      <c r="B1009" s="212"/>
      <c r="C1009" s="212"/>
      <c r="D1009" s="212"/>
      <c r="E1009" s="212"/>
      <c r="F1009" s="212"/>
      <c r="G1009" s="212"/>
      <c r="H1009" s="212"/>
      <c r="J1009" s="212"/>
      <c r="K1009" s="212"/>
    </row>
    <row r="1010" spans="1:11" ht="12.75" customHeight="1">
      <c r="A1010" s="212"/>
      <c r="B1010" s="212"/>
      <c r="C1010" s="212"/>
      <c r="D1010" s="212"/>
      <c r="E1010" s="212"/>
      <c r="F1010" s="212"/>
      <c r="G1010" s="212"/>
      <c r="H1010" s="212"/>
      <c r="J1010" s="212"/>
      <c r="K1010" s="212"/>
    </row>
    <row r="1011" spans="1:11" ht="12.75" customHeight="1">
      <c r="A1011" s="212"/>
      <c r="B1011" s="212"/>
      <c r="C1011" s="212"/>
      <c r="D1011" s="212"/>
      <c r="E1011" s="212"/>
      <c r="F1011" s="212"/>
      <c r="G1011" s="212"/>
      <c r="H1011" s="212"/>
      <c r="J1011" s="212"/>
      <c r="K1011" s="212"/>
    </row>
  </sheetData>
  <sheetProtection password="C6F3" sheet="1" objects="1" scenarios="1"/>
  <mergeCells count="30">
    <mergeCell ref="B2:B13"/>
    <mergeCell ref="A2:A13"/>
    <mergeCell ref="B66:B79"/>
    <mergeCell ref="B64:B65"/>
    <mergeCell ref="A64:A83"/>
    <mergeCell ref="B57:B59"/>
    <mergeCell ref="B48:B56"/>
    <mergeCell ref="B45:B47"/>
    <mergeCell ref="B80:B83"/>
    <mergeCell ref="B32:B44"/>
    <mergeCell ref="B28:B31"/>
    <mergeCell ref="B23:B27"/>
    <mergeCell ref="B15:B22"/>
    <mergeCell ref="A15:A44"/>
    <mergeCell ref="B60:B63"/>
    <mergeCell ref="B94:B103"/>
    <mergeCell ref="A131:A136"/>
    <mergeCell ref="A115:A129"/>
    <mergeCell ref="A138:A145"/>
    <mergeCell ref="A85:A113"/>
    <mergeCell ref="B133:B136"/>
    <mergeCell ref="B131:B132"/>
    <mergeCell ref="B85:B87"/>
    <mergeCell ref="B88:B93"/>
    <mergeCell ref="B138:B141"/>
    <mergeCell ref="B142:B144"/>
    <mergeCell ref="B115:B118"/>
    <mergeCell ref="B119:B129"/>
    <mergeCell ref="B104:B106"/>
    <mergeCell ref="B107:B113"/>
  </mergeCells>
  <conditionalFormatting sqref="C1 J1 E2:F12 L2:M3 E15:F21 L15:M16 E23:F26 L23:M26 E28:F30 L28:M30 E32:F42 L32:M36 E45:F46 L45:M45 E48:F55 L48:M50 E57:F58 L57:M58 E60:F61 L60:M61 E64:F64 L64:M64 E66:F72 L66:M77 E80:F81 L80:M81 E85:F86 L85:M86 E88:F92 L88:M89 E94:F102 L94:M97 E104:F105 L104:M104 E107:F112 L107:M107 E115:F117 L115:M115 E119:F128 L119:M121 E131:F131 L131:M131 E133:F135 L133:M133 E138:F140 L138:M140 E142:F143 L142:M142 E145:F145 L145:M145">
    <cfRule type="containsBlanks" dxfId="43" priority="1">
      <formula>LEN(TRIM(C1))=0</formula>
    </cfRule>
  </conditionalFormatting>
  <conditionalFormatting sqref="H2:H12 H15:H21 H23:H26 H28:H30 H32:H42 H45:H46 H48:H55 H57:H58 H60:H61 H64 H66:H72 H80:H81 H85:H86 H88:H92 H94:H102 H104:H105 H107:H112 H115:H117 H119:H128 H131 H133:H135 H138:H140 H142:H143 H145">
    <cfRule type="containsBlanks" dxfId="42" priority="2">
      <formula>LEN(TRIM(H2))=0</formula>
    </cfRule>
  </conditionalFormatting>
  <conditionalFormatting sqref="H2:H12 H15:H21 H23:H26 H28:H30 H32:H42 H45:H46 H48:H55 H57:H58 H60:H61 H64 H66:H72 H80:H81 H85:H86 H88:H92 H94:H102 H104:H105 H107:H112 H115:H117 H119:H128 H131 H133:H135 H138:H140 H142:H143 H145">
    <cfRule type="colorScale" priority="3">
      <colorScale>
        <cfvo type="formula" val="1"/>
        <cfvo type="formula" val="2"/>
        <cfvo type="formula" val="3"/>
        <color rgb="FFFF0000"/>
        <color rgb="FFFFFF00"/>
        <color rgb="FF00FF00"/>
      </colorScale>
    </cfRule>
  </conditionalFormatting>
  <conditionalFormatting sqref="D2:D12 K2:K3 D15:D21 K15:K16 D23:D26 K23:K26 D28:D30 K28:K30 D32:D42 K32:K36 D45:D46 K45 D48:D55 K48:K50 D57:D58 K57:K58 D60:D61 K60:K61 D64 K64 D66:D72 K66:K77 D80:D81 K80:K81 D85:D86 K85:K86 D88:D92 K88:K89 D94:D102 K94:K97 D104:D105 K104 D107:D112 K107 D115:D117 K115 D119:D128 K119:K121 D131 K131 D133:D135 K133 D138:D140 K138:K140 D142:D143 K142 D145 K145">
    <cfRule type="containsText" dxfId="41" priority="4" operator="containsText" text="Y">
      <formula>NOT(ISERROR(SEARCH(("Y"),(D2))))</formula>
    </cfRule>
  </conditionalFormatting>
  <conditionalFormatting sqref="D2:D12 K2:K3 D15:D21 K15:K16 D23:D26 K23:K26 D28:D30 K28:K30 D32:D42 K32:K36 D45:D46 K45 D48:D55 K48:K50 D57:D58 K57:K58 D60:D61 K60:K61 D64 K64 D66:D72 K66:K77 D80:D81 K80:K81 D85:D86 K85:K86 D88:D92 K88:K89 D94:D102 K94:K97 D104:D105 K104 D107:D112 K107 D115:D117 K115 D119:D128 K119:K121 D131 K131 D133:D135 K133 D138:D140 K138:K140 D142:D143 K142 D145 K145">
    <cfRule type="containsText" dxfId="40" priority="5" operator="containsText" text="N">
      <formula>NOT(ISERROR(SEARCH(("N"),(D2))))</formula>
    </cfRule>
  </conditionalFormatting>
  <conditionalFormatting sqref="D2:D12 K2:K3 D15:D21 K15:K16 D23:D26 K23:K26 D28:D30 K28:K30 D32:D42 K32:K36 D45:D46 K45 D48:D55 K48:K50 D57:D58 K57:K58 D60:D61 K60:K61 D64 K64 D66:D72 K66:K77 D80:D81 K80:K81 D85:D86 K85:K86 D88:D92 K88:K89 D94:D102 K94:K97 D104:D105 K104 D107:D112 K107 D115:D117 K115 D119:D128 K119:K121 D131 K131 D133:D135 K133 D138:D140 K138:K140 D142:D143 K142 D145 K145">
    <cfRule type="containsBlanks" dxfId="39" priority="6">
      <formula>LEN(TRIM(D2))=0</formula>
    </cfRule>
  </conditionalFormatting>
  <conditionalFormatting sqref="C1 E1:G12 J1:J12 D2:D12 K2:K6 L2:M3 C9:C11 E14:G26 J14 D15:D26 H15:H26 K15:M16 J17 C21:C22 K23:M26 C28:C31 D28:H43 J28:J36 K28:M30 K32:M36 C41:C56 D45:G58 K45:K50 L45:M45 J46:J50 L48:M50 J57:M58 C60:G72 J60:J75 K60:K77 L60:M61 H63 L64:M64 L66:M77 C74:C89 D74:D112 E74:H75 E77:G112 H77:H79 J79:J87 K79:K104 L80:M81 H82:H83 L85:M86 L88:M89 J89:J108 C92:C94 L94:M97 C96:C99 C102:C109 L104:M104 K107:M107 C111 D115:G128 J115:J118 K115:K128 L115:M115 C116:C118 L119:M121 J120:J128 J130:K131 D131:G131 L131:M131 D133:G136 J133:K136 L133:M133 C135:C136 D138:G145 J138:J141 K138:K145 L138:M140 C139:C145 L142:M142 J143:J145 L145:M145">
    <cfRule type="containsBlanks" dxfId="38" priority="7" stopIfTrue="1">
      <formula>LEN(TRIM(C1))=0</formula>
    </cfRule>
  </conditionalFormatting>
  <conditionalFormatting sqref="K2:K6 L2:M3 K15:M16 K23:M26 K28:M30 K32:M36 K45:K46 L45:M45 K48:M50 K57:M58 K60:M61 K63:K64 L64:M64 K66:M77 K80:M81 K85:M86 K88:M89 K94:K102 L94:M97 K104:M104 K107:M107 K115:K117 L115:M115 K119:K128 L119:M121 K130:K131 L131:M131 K133:K135 L133:M133 K138:M140 K142:K143 L142:M142 K145:M145">
    <cfRule type="containsText" dxfId="37" priority="8" operator="containsText" text="Y">
      <formula>NOT(ISERROR(SEARCH(("Y"),(K2))))</formula>
    </cfRule>
  </conditionalFormatting>
  <conditionalFormatting sqref="K2:K6 L2:M3 K15:M16 K23:M26 K28:M30 K32:M36 K45:K46 L45:M45 K48:M50 K57:M58 K60:M61 K63:K64 L64:M64 K66:M77 K80:M81 K85:M86 K88:M89 K94:K102 L94:M97 K104:M104 K107:M107 K115:K117 L115:M115 K119:K128 L119:M121 K130:K131 L131:M131 K133:K135 L133:M133 K138:M140 K142:K143 L142:M142 K145:M145">
    <cfRule type="containsText" dxfId="36" priority="9" operator="containsText" text="N">
      <formula>NOT(ISERROR(SEARCH(("N"),(K2))))</formula>
    </cfRule>
  </conditionalFormatting>
  <conditionalFormatting sqref="K2:K6 L2:M3 K15:M16 K23:M26 K28:M30 K32:M36 K45:K46 L45:M45 K48:M50 K57:M58 K60:M61 K63:K64 L64:M64 K66:M77 K80:M81 K85:M86 K88:M89 K94:K102 L94:M97 K104:M104 K107:M107 K115:K117 L115:M115 K119:K128 L119:M121 K130:K131 L131:M131 K133:K135 L133:M133 K138:M140 K142:K143 L142:M142 K145:M145">
    <cfRule type="containsBlanks" dxfId="35" priority="10">
      <formula>LEN(TRIM(K2))=0</formula>
    </cfRule>
  </conditionalFormatting>
  <conditionalFormatting sqref="K105">
    <cfRule type="containsBlanks" dxfId="34" priority="11" stopIfTrue="1">
      <formula>LEN(TRIM(K105))=0</formula>
    </cfRule>
  </conditionalFormatting>
  <conditionalFormatting sqref="D109:G112 J109:J112 J114 E115:F117 E119:F128 D120:D124 G120:G124 D131:G131 D133 E133:F135 G133 E138:F140 E142:F143 E145:F145">
    <cfRule type="containsBlanks" dxfId="33" priority="12" stopIfTrue="1">
      <formula>LEN(TRIM(D109))=0</formula>
    </cfRule>
  </conditionalFormatting>
  <conditionalFormatting sqref="K108">
    <cfRule type="containsBlanks" dxfId="32" priority="13" stopIfTrue="1">
      <formula>LEN(TRIM(K108))=0</formula>
    </cfRule>
  </conditionalFormatting>
  <conditionalFormatting sqref="K109:K112 K114">
    <cfRule type="containsBlanks" dxfId="31" priority="14" stopIfTrue="1">
      <formula>LEN(TRIM(K109))=0</formula>
    </cfRule>
  </conditionalFormatting>
  <conditionalFormatting sqref="K137">
    <cfRule type="containsBlanks" dxfId="30" priority="15" stopIfTrue="1">
      <formula>LEN(TRIM(K137))=0</formula>
    </cfRule>
  </conditionalFormatting>
  <conditionalFormatting sqref="K145">
    <cfRule type="containsBlanks" dxfId="29" priority="16" stopIfTrue="1">
      <formula>LEN(TRIM(K145))=0</formula>
    </cfRule>
  </conditionalFormatting>
  <conditionalFormatting sqref="K4:K12 K14">
    <cfRule type="containsBlanks" dxfId="28" priority="17" stopIfTrue="1">
      <formula>LEN(TRIM(K4))=0</formula>
    </cfRule>
  </conditionalFormatting>
  <conditionalFormatting sqref="D18:H21 J18:J21 D23:H26 D28:H30 D32:H42 D45:G46 D48:G55 D57:G58 D60:G61 D64:G64 D66:G72 D80:G81 D85:G86 D88:G92 D94:G102 D104:G105 D107:G112 D115:G117 D119:G128 D131:G131 D133:G135 D138:G140 D142:G143 D145:G145">
    <cfRule type="containsBlanks" dxfId="27" priority="18" stopIfTrue="1">
      <formula>LEN(TRIM(D18))=0</formula>
    </cfRule>
  </conditionalFormatting>
  <conditionalFormatting sqref="K17:K21">
    <cfRule type="containsBlanks" dxfId="26" priority="19" stopIfTrue="1">
      <formula>LEN(TRIM(K17))=0</formula>
    </cfRule>
  </conditionalFormatting>
  <conditionalFormatting sqref="K30">
    <cfRule type="containsBlanks" dxfId="25" priority="20" stopIfTrue="1">
      <formula>LEN(TRIM(K30))=0</formula>
    </cfRule>
  </conditionalFormatting>
  <conditionalFormatting sqref="D37:H42 J37:J42 D44:G46 H44 J44 D48:G55 D57:G58 D60:G61 D64:G64 D66:G72 D80:G81 D85:G86 D88:G92 D94:G102 D104:G105 D107:G112 D115:G117 D119:G128 D131:G131 D133:G135 D138:G140 D142:G143 D145:G145">
    <cfRule type="containsBlanks" dxfId="24" priority="21" stopIfTrue="1">
      <formula>LEN(TRIM(D37))=0</formula>
    </cfRule>
  </conditionalFormatting>
  <conditionalFormatting sqref="K36:K42 K44:K45 K48:K50 K57:K58 K60:K61 K64 K66:K77 K80:K81 K85:K86 K88:K89 K94:K97 K104 K107 K115 K119:K121 K131 K133 K138:K140 K142 K145">
    <cfRule type="containsBlanks" dxfId="23" priority="22" stopIfTrue="1">
      <formula>LEN(TRIM(K36))=0</formula>
    </cfRule>
  </conditionalFormatting>
  <conditionalFormatting sqref="J51:J55 D52:G55">
    <cfRule type="containsBlanks" dxfId="22" priority="23" stopIfTrue="1">
      <formula>LEN(TRIM(J51))=0</formula>
    </cfRule>
  </conditionalFormatting>
  <conditionalFormatting sqref="K51:K55">
    <cfRule type="containsBlanks" dxfId="21" priority="24" stopIfTrue="1">
      <formula>LEN(TRIM(K51))=0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8FF00"/>
  </sheetPr>
  <dimension ref="A1:O940"/>
  <sheetViews>
    <sheetView showGridLines="0" workbookViewId="0">
      <pane xSplit="2" ySplit="1" topLeftCell="C2" activePane="bottomRight" state="frozen"/>
      <selection pane="topRight" activeCell="C1" sqref="C1"/>
      <selection pane="bottomLeft" activeCell="A2" sqref="A2"/>
      <selection pane="bottomRight" activeCell="H2" sqref="H2"/>
    </sheetView>
  </sheetViews>
  <sheetFormatPr baseColWidth="10" defaultColWidth="17.33203125" defaultRowHeight="15" customHeight="1"/>
  <cols>
    <col min="1" max="1" width="18" customWidth="1"/>
    <col min="2" max="2" width="24.83203125" customWidth="1"/>
    <col min="3" max="3" width="53.83203125" customWidth="1"/>
    <col min="4" max="4" width="5.1640625" customWidth="1"/>
    <col min="5" max="5" width="8.5" hidden="1" customWidth="1"/>
    <col min="6" max="7" width="5.1640625" hidden="1" customWidth="1"/>
    <col min="8" max="8" width="6" customWidth="1"/>
    <col min="9" max="9" width="6.5" customWidth="1"/>
    <col min="10" max="10" width="58.33203125" customWidth="1"/>
    <col min="11" max="11" width="4.5" customWidth="1"/>
    <col min="12" max="12" width="10.6640625" hidden="1" customWidth="1"/>
    <col min="13" max="13" width="4.83203125" hidden="1" customWidth="1"/>
    <col min="14" max="14" width="5.33203125" hidden="1" customWidth="1"/>
    <col min="15" max="15" width="7.5" customWidth="1"/>
    <col min="16" max="31" width="17.1640625" customWidth="1"/>
  </cols>
  <sheetData>
    <row r="1" spans="1:15" ht="24">
      <c r="A1" s="22" t="s">
        <v>19</v>
      </c>
      <c r="B1" s="22" t="s">
        <v>21</v>
      </c>
      <c r="C1" s="24" t="s">
        <v>23</v>
      </c>
      <c r="D1" s="26" t="s">
        <v>25</v>
      </c>
      <c r="E1" s="257"/>
      <c r="F1" s="257"/>
      <c r="G1" s="257"/>
      <c r="H1" s="31" t="s">
        <v>42</v>
      </c>
      <c r="I1" s="33"/>
      <c r="J1" s="35" t="s">
        <v>29</v>
      </c>
      <c r="K1" s="26" t="s">
        <v>25</v>
      </c>
      <c r="M1" s="344"/>
      <c r="O1" s="37"/>
    </row>
    <row r="2" spans="1:15" ht="16.5" customHeight="1">
      <c r="A2" s="498" t="s">
        <v>47</v>
      </c>
      <c r="B2" s="495" t="s">
        <v>70</v>
      </c>
      <c r="C2" s="45" t="str">
        <f>Glossary!B107</f>
        <v xml:space="preserve">Historical performance and historical performance KPIs </v>
      </c>
      <c r="D2" s="453"/>
      <c r="E2" t="b">
        <f t="shared" ref="E2:E11" si="0">IF(OR(D2="y",D2="n"), G2)</f>
        <v>0</v>
      </c>
      <c r="F2" s="51" t="str">
        <f t="shared" ref="F2:F11" si="1">IF(D2 = "Y",E2, IF(D2="n",0, ""))</f>
        <v/>
      </c>
      <c r="G2" s="53">
        <v>10</v>
      </c>
      <c r="H2" s="400"/>
      <c r="I2" s="56"/>
      <c r="J2" s="345" t="str">
        <f>Glossary!B212</f>
        <v>Security Concept Draft</v>
      </c>
      <c r="K2" s="402"/>
      <c r="L2" t="b">
        <f>IF(OR(K2="y",K2="n"), N2)</f>
        <v>0</v>
      </c>
      <c r="M2" s="51" t="str">
        <f>IF(K2 = "Y",L2, IF(K2="n",0, ""))</f>
        <v/>
      </c>
      <c r="N2" s="3">
        <v>50</v>
      </c>
      <c r="O2" s="37"/>
    </row>
    <row r="3" spans="1:15" ht="16.5" customHeight="1">
      <c r="A3" s="469"/>
      <c r="B3" s="469"/>
      <c r="C3" s="314" t="str">
        <f>Glossary!B202</f>
        <v>ROI expectations</v>
      </c>
      <c r="D3" s="402"/>
      <c r="E3" t="b">
        <f t="shared" si="0"/>
        <v>0</v>
      </c>
      <c r="F3" s="51" t="str">
        <f t="shared" si="1"/>
        <v/>
      </c>
      <c r="G3" s="53">
        <v>20</v>
      </c>
      <c r="H3" s="400"/>
      <c r="I3" s="56"/>
      <c r="J3" s="101"/>
      <c r="K3" s="101"/>
      <c r="M3" s="344"/>
      <c r="O3" s="37"/>
    </row>
    <row r="4" spans="1:15" ht="16.5" customHeight="1">
      <c r="A4" s="469"/>
      <c r="B4" s="469"/>
      <c r="C4" s="64" t="str">
        <f>Glossary!B86</f>
        <v>Experience Designs Requirements</v>
      </c>
      <c r="D4" s="402"/>
      <c r="E4" t="b">
        <f t="shared" si="0"/>
        <v>0</v>
      </c>
      <c r="F4" s="51" t="str">
        <f t="shared" si="1"/>
        <v/>
      </c>
      <c r="G4" s="53">
        <v>10</v>
      </c>
      <c r="H4" s="400"/>
      <c r="I4" s="56"/>
      <c r="J4" s="143"/>
      <c r="K4" s="123"/>
      <c r="M4" s="344"/>
      <c r="O4" s="37"/>
    </row>
    <row r="5" spans="1:15" ht="16.5" customHeight="1">
      <c r="A5" s="469"/>
      <c r="B5" s="469"/>
      <c r="C5" s="58" t="str">
        <f>Glossary!B34</f>
        <v>Business Requirements Documentation</v>
      </c>
      <c r="D5" s="402"/>
      <c r="E5" t="b">
        <f t="shared" si="0"/>
        <v>0</v>
      </c>
      <c r="F5" s="51" t="str">
        <f t="shared" si="1"/>
        <v/>
      </c>
      <c r="G5" s="53">
        <v>20</v>
      </c>
      <c r="H5" s="400"/>
      <c r="I5" s="56"/>
      <c r="J5" s="95"/>
      <c r="K5" s="97"/>
      <c r="M5" s="344"/>
      <c r="O5" s="37"/>
    </row>
    <row r="6" spans="1:15" ht="16.5" customHeight="1">
      <c r="A6" s="469"/>
      <c r="B6" s="469"/>
      <c r="C6" s="58" t="str">
        <f>Glossary!B245</f>
        <v>Technical Requirements</v>
      </c>
      <c r="D6" s="402"/>
      <c r="E6" t="b">
        <f t="shared" si="0"/>
        <v>0</v>
      </c>
      <c r="F6" s="51" t="str">
        <f t="shared" si="1"/>
        <v/>
      </c>
      <c r="G6" s="53">
        <v>30</v>
      </c>
      <c r="H6" s="400"/>
      <c r="I6" s="56"/>
      <c r="J6" s="95"/>
      <c r="K6" s="97"/>
      <c r="M6" s="344"/>
      <c r="O6" s="37"/>
    </row>
    <row r="7" spans="1:15" ht="16.5" customHeight="1">
      <c r="A7" s="469"/>
      <c r="B7" s="469"/>
      <c r="C7" s="64" t="str">
        <f>Glossary!B104</f>
        <v>High Level Solution Design</v>
      </c>
      <c r="D7" s="402"/>
      <c r="E7" t="b">
        <f t="shared" si="0"/>
        <v>0</v>
      </c>
      <c r="F7" s="51" t="str">
        <f t="shared" si="1"/>
        <v/>
      </c>
      <c r="G7" s="53">
        <v>25</v>
      </c>
      <c r="H7" s="400"/>
      <c r="I7" s="56"/>
      <c r="J7" s="95"/>
      <c r="K7" s="97"/>
      <c r="M7" s="344"/>
      <c r="O7" s="37"/>
    </row>
    <row r="8" spans="1:15" ht="16.5" customHeight="1">
      <c r="A8" s="469"/>
      <c r="B8" s="469"/>
      <c r="C8" s="64" t="str">
        <f>Glossary!B11</f>
        <v>Architecture Draft</v>
      </c>
      <c r="D8" s="402"/>
      <c r="E8" t="b">
        <f t="shared" si="0"/>
        <v>0</v>
      </c>
      <c r="F8" s="51" t="str">
        <f t="shared" si="1"/>
        <v/>
      </c>
      <c r="G8" s="53">
        <v>30</v>
      </c>
      <c r="H8" s="400"/>
      <c r="I8" s="56"/>
      <c r="J8" s="95"/>
      <c r="K8" s="97"/>
      <c r="M8" s="344"/>
      <c r="O8" s="37"/>
    </row>
    <row r="9" spans="1:15" ht="16.5" customHeight="1">
      <c r="A9" s="469"/>
      <c r="B9" s="469"/>
      <c r="C9" s="64" t="str">
        <f>Glossary!B101</f>
        <v>Hardware Estimates</v>
      </c>
      <c r="D9" s="402"/>
      <c r="E9" t="b">
        <f t="shared" si="0"/>
        <v>0</v>
      </c>
      <c r="F9" s="51" t="str">
        <f t="shared" si="1"/>
        <v/>
      </c>
      <c r="G9" s="53">
        <v>10</v>
      </c>
      <c r="H9" s="400"/>
      <c r="I9" s="56"/>
      <c r="J9" s="95"/>
      <c r="K9" s="97"/>
      <c r="M9" s="344"/>
      <c r="O9" s="37"/>
    </row>
    <row r="10" spans="1:15" ht="16.5" customHeight="1">
      <c r="A10" s="469"/>
      <c r="B10" s="469"/>
      <c r="C10" s="58" t="str">
        <f>Glossary!B50</f>
        <v>Customer Security Policies</v>
      </c>
      <c r="D10" s="402"/>
      <c r="E10" t="b">
        <f t="shared" si="0"/>
        <v>0</v>
      </c>
      <c r="F10" s="51" t="str">
        <f t="shared" si="1"/>
        <v/>
      </c>
      <c r="G10" s="53">
        <v>40</v>
      </c>
      <c r="H10" s="400"/>
      <c r="I10" s="56"/>
      <c r="J10" s="95"/>
      <c r="K10" s="97"/>
      <c r="M10" s="344"/>
      <c r="O10" s="37"/>
    </row>
    <row r="11" spans="1:15" ht="16.5" customHeight="1">
      <c r="A11" s="469"/>
      <c r="B11" s="469"/>
      <c r="C11" s="45" t="str">
        <f>Glossary!B233</f>
        <v>Success criteria and definition</v>
      </c>
      <c r="D11" s="402"/>
      <c r="E11" t="b">
        <f t="shared" si="0"/>
        <v>0</v>
      </c>
      <c r="F11" s="51" t="str">
        <f t="shared" si="1"/>
        <v/>
      </c>
      <c r="G11" s="53">
        <v>20</v>
      </c>
      <c r="H11" s="400"/>
      <c r="I11" s="56"/>
      <c r="J11" s="95"/>
      <c r="K11" s="97"/>
      <c r="M11" s="344"/>
      <c r="O11" s="37"/>
    </row>
    <row r="12" spans="1:15" ht="16.5" customHeight="1">
      <c r="A12" s="469"/>
      <c r="B12" s="478"/>
      <c r="C12" s="163"/>
      <c r="D12" s="220"/>
      <c r="E12" s="220"/>
      <c r="F12" s="220"/>
      <c r="G12" s="220"/>
      <c r="H12" s="117"/>
      <c r="I12" s="74"/>
      <c r="J12" s="117"/>
      <c r="K12" s="117"/>
      <c r="M12" s="344"/>
      <c r="O12" s="37"/>
    </row>
    <row r="13" spans="1:15" ht="16.5" customHeight="1">
      <c r="A13" s="469"/>
      <c r="B13" s="495" t="s">
        <v>73</v>
      </c>
      <c r="C13" s="45" t="str">
        <f>Glossary!B211</f>
        <v>Security Concept</v>
      </c>
      <c r="D13" s="402"/>
      <c r="E13" t="b">
        <f t="shared" ref="E13:E16" si="2">IF(OR(D13="y",D13="n"), G13)</f>
        <v>0</v>
      </c>
      <c r="F13" s="51" t="str">
        <f t="shared" ref="F13:F16" si="3">IF(D13 = "Y",E13, IF(D13="n",0, ""))</f>
        <v/>
      </c>
      <c r="G13" s="53">
        <v>40</v>
      </c>
      <c r="H13" s="400"/>
      <c r="I13" s="56"/>
      <c r="J13" s="45" t="str">
        <f>Glossary!B211</f>
        <v>Security Concept</v>
      </c>
      <c r="K13" s="402"/>
      <c r="L13" t="b">
        <f t="shared" ref="L13:L15" si="4">IF(OR(K13="y",K13="n"), N13)</f>
        <v>0</v>
      </c>
      <c r="M13" s="51" t="str">
        <f t="shared" ref="M13:M15" si="5">IF(K13 = "Y",L13, IF(K13="n",0, ""))</f>
        <v/>
      </c>
      <c r="N13" s="53">
        <v>50</v>
      </c>
      <c r="O13" s="37"/>
    </row>
    <row r="14" spans="1:15" ht="16.5" customHeight="1">
      <c r="A14" s="469"/>
      <c r="B14" s="469"/>
      <c r="C14" s="138" t="str">
        <f>Glossary!B110</f>
        <v>Identify critical key solutions/functionalities</v>
      </c>
      <c r="D14" s="402"/>
      <c r="E14" t="b">
        <f t="shared" si="2"/>
        <v>0</v>
      </c>
      <c r="F14" s="51" t="str">
        <f t="shared" si="3"/>
        <v/>
      </c>
      <c r="G14" s="53">
        <v>35</v>
      </c>
      <c r="H14" s="400"/>
      <c r="I14" s="56"/>
      <c r="J14" s="45" t="str">
        <f>Glossary!B210</f>
        <v xml:space="preserve">Security Checklist </v>
      </c>
      <c r="K14" s="402"/>
      <c r="L14" t="b">
        <f t="shared" si="4"/>
        <v>0</v>
      </c>
      <c r="M14" s="51" t="str">
        <f t="shared" si="5"/>
        <v/>
      </c>
      <c r="N14" s="53">
        <v>40</v>
      </c>
      <c r="O14" s="37"/>
    </row>
    <row r="15" spans="1:15" ht="16.5" customHeight="1">
      <c r="A15" s="469"/>
      <c r="B15" s="469"/>
      <c r="C15" s="122" t="str">
        <f>Glossary!B198</f>
        <v>Requirements Documentation</v>
      </c>
      <c r="D15" s="402"/>
      <c r="E15" t="b">
        <f t="shared" si="2"/>
        <v>0</v>
      </c>
      <c r="F15" s="51" t="str">
        <f t="shared" si="3"/>
        <v/>
      </c>
      <c r="G15" s="53">
        <v>25</v>
      </c>
      <c r="H15" s="400"/>
      <c r="I15" s="56"/>
      <c r="J15" s="45" t="str">
        <f>Glossary!B7</f>
        <v>Adobe Security Checklist</v>
      </c>
      <c r="K15" s="402"/>
      <c r="L15" t="b">
        <f t="shared" si="4"/>
        <v>0</v>
      </c>
      <c r="M15" s="51" t="str">
        <f t="shared" si="5"/>
        <v/>
      </c>
      <c r="N15" s="53">
        <v>35</v>
      </c>
      <c r="O15" s="37"/>
    </row>
    <row r="16" spans="1:15" ht="16.5" customHeight="1">
      <c r="A16" s="469"/>
      <c r="B16" s="469"/>
      <c r="C16" s="45" t="str">
        <f>Glossary!B185</f>
        <v>Proof of Concept (POC)</v>
      </c>
      <c r="D16" s="402"/>
      <c r="E16" t="b">
        <f t="shared" si="2"/>
        <v>0</v>
      </c>
      <c r="F16" s="51" t="str">
        <f t="shared" si="3"/>
        <v/>
      </c>
      <c r="G16" s="69">
        <v>20</v>
      </c>
      <c r="H16" s="400"/>
      <c r="I16" s="56"/>
      <c r="J16" s="119"/>
      <c r="K16" s="119"/>
      <c r="M16" s="344"/>
      <c r="O16" s="37"/>
    </row>
    <row r="17" spans="1:15" ht="16.5" customHeight="1">
      <c r="A17" s="469"/>
      <c r="B17" s="469"/>
      <c r="C17" s="164"/>
      <c r="D17" s="164"/>
      <c r="E17" s="164"/>
      <c r="F17" s="164"/>
      <c r="G17" s="164"/>
      <c r="H17" s="164"/>
      <c r="I17" s="74"/>
      <c r="J17" s="164"/>
      <c r="K17" s="164"/>
      <c r="M17" s="344"/>
      <c r="O17" s="37"/>
    </row>
    <row r="18" spans="1:15" ht="16.5" hidden="1" customHeight="1">
      <c r="A18" s="478"/>
      <c r="B18" s="478"/>
      <c r="C18" s="166"/>
      <c r="D18" s="95">
        <f>COUNTA(D2:D16,K2,K13:K15)/COUNTA(F2:F16,M2,M13:M15)</f>
        <v>0</v>
      </c>
      <c r="E18" s="95">
        <f t="shared" ref="E18:F18" si="6">SUM(E2:E16)</f>
        <v>0</v>
      </c>
      <c r="F18" s="95">
        <f t="shared" si="6"/>
        <v>0</v>
      </c>
      <c r="G18" s="92"/>
      <c r="H18" t="str">
        <f>IFERROR(AVERAGE(H2:H16),"")</f>
        <v/>
      </c>
      <c r="I18" s="37"/>
      <c r="J18" s="95"/>
      <c r="K18" s="129"/>
      <c r="L18">
        <f t="shared" ref="L18:M18" si="7">SUM(L2,L13:L15)</f>
        <v>0</v>
      </c>
      <c r="M18">
        <f t="shared" si="7"/>
        <v>0</v>
      </c>
      <c r="O18" s="37"/>
    </row>
    <row r="19" spans="1:15" ht="21" customHeight="1">
      <c r="A19" s="477" t="s">
        <v>81</v>
      </c>
      <c r="B19" s="495" t="s">
        <v>85</v>
      </c>
      <c r="C19" s="101" t="str">
        <f>Glossary!B15</f>
        <v>AEM technical trainings</v>
      </c>
      <c r="D19" s="402"/>
      <c r="E19" t="b">
        <f t="shared" ref="E19:E20" si="8">IF(OR(D19="y",D19="n"), G19)</f>
        <v>0</v>
      </c>
      <c r="F19" s="51" t="str">
        <f t="shared" ref="F19:F20" si="9">IF(D19 = "Y",E19, IF(D19="n",0, ""))</f>
        <v/>
      </c>
      <c r="G19" s="53">
        <v>35</v>
      </c>
      <c r="H19" s="400"/>
      <c r="I19" s="56"/>
      <c r="J19" s="45" t="str">
        <f>Glossary!B19</f>
        <v>AEM Certified</v>
      </c>
      <c r="K19" s="402"/>
      <c r="L19" t="b">
        <f>IF(OR(K19="y",K19="n"), N19)</f>
        <v>0</v>
      </c>
      <c r="M19" s="51" t="str">
        <f>IF(K19 = "Y",L19, IF(K19="n",0, ""))</f>
        <v/>
      </c>
      <c r="N19" s="53">
        <v>50</v>
      </c>
      <c r="O19" s="37"/>
    </row>
    <row r="20" spans="1:15" ht="19.5" customHeight="1">
      <c r="A20" s="469"/>
      <c r="B20" s="469"/>
      <c r="C20" s="101" t="str">
        <f>Glossary!B18</f>
        <v>AEM Certification Exam</v>
      </c>
      <c r="D20" s="402"/>
      <c r="E20" t="b">
        <f t="shared" si="8"/>
        <v>0</v>
      </c>
      <c r="F20" s="51" t="str">
        <f t="shared" si="9"/>
        <v/>
      </c>
      <c r="G20" s="53">
        <v>40</v>
      </c>
      <c r="H20" s="400"/>
      <c r="I20" s="56"/>
      <c r="J20" s="101"/>
      <c r="K20" s="101"/>
      <c r="M20" s="344"/>
      <c r="O20" s="37"/>
    </row>
    <row r="21" spans="1:15" ht="19.5" customHeight="1">
      <c r="A21" s="469"/>
      <c r="B21" s="478"/>
      <c r="C21" s="150"/>
      <c r="D21" s="227"/>
      <c r="E21" s="227"/>
      <c r="F21" s="227"/>
      <c r="G21" s="227"/>
      <c r="H21" s="153"/>
      <c r="I21" s="73"/>
      <c r="J21" s="227"/>
      <c r="K21" s="228"/>
      <c r="M21" s="344"/>
      <c r="O21" s="37"/>
    </row>
    <row r="22" spans="1:15" ht="15" customHeight="1">
      <c r="A22" s="469"/>
      <c r="B22" s="495" t="s">
        <v>86</v>
      </c>
      <c r="C22" s="45" t="str">
        <f>Glossary!B203</f>
        <v>Roles and Rights Concept</v>
      </c>
      <c r="D22" s="402"/>
      <c r="E22" t="b">
        <f t="shared" ref="E22:E26" si="10">IF(OR(D22="y",D22="n"), G22)</f>
        <v>0</v>
      </c>
      <c r="F22" s="51" t="str">
        <f t="shared" ref="F22:F26" si="11">IF(D22 = "Y",E22, IF(D22="n",0, ""))</f>
        <v/>
      </c>
      <c r="G22" s="69">
        <v>30</v>
      </c>
      <c r="H22" s="400"/>
      <c r="I22" s="56"/>
      <c r="J22" s="45" t="str">
        <f>Glossary!B204</f>
        <v>Roles and Rights Specification</v>
      </c>
      <c r="K22" s="402"/>
      <c r="L22" t="b">
        <f>IF(OR(K22="y",K22="n"), N22)</f>
        <v>0</v>
      </c>
      <c r="M22" s="51" t="str">
        <f>IF(K22 = "Y",L22, IF(K22="n",0, ""))</f>
        <v/>
      </c>
      <c r="N22" s="53">
        <v>40</v>
      </c>
      <c r="O22" s="37"/>
    </row>
    <row r="23" spans="1:15" ht="15" customHeight="1">
      <c r="A23" s="469"/>
      <c r="B23" s="469"/>
      <c r="C23" s="101" t="str">
        <f>Glossary!B198</f>
        <v>Requirements Documentation</v>
      </c>
      <c r="D23" s="402"/>
      <c r="E23" t="b">
        <f t="shared" si="10"/>
        <v>0</v>
      </c>
      <c r="F23" s="51" t="str">
        <f t="shared" si="11"/>
        <v/>
      </c>
      <c r="G23" s="53">
        <v>30</v>
      </c>
      <c r="H23" s="400"/>
      <c r="I23" s="56"/>
      <c r="J23" s="101"/>
      <c r="K23" s="101"/>
      <c r="M23" s="344"/>
      <c r="O23" s="37"/>
    </row>
    <row r="24" spans="1:15" ht="15" customHeight="1">
      <c r="A24" s="469"/>
      <c r="B24" s="469"/>
      <c r="C24" s="101" t="str">
        <f>Glossary!B104</f>
        <v>High Level Solution Design</v>
      </c>
      <c r="D24" s="402"/>
      <c r="E24" t="b">
        <f t="shared" si="10"/>
        <v>0</v>
      </c>
      <c r="F24" s="51" t="str">
        <f t="shared" si="11"/>
        <v/>
      </c>
      <c r="G24" s="53">
        <v>20</v>
      </c>
      <c r="H24" s="400"/>
      <c r="I24" s="56"/>
      <c r="J24" s="143"/>
      <c r="K24" s="123"/>
      <c r="M24" s="344"/>
      <c r="O24" s="37"/>
    </row>
    <row r="25" spans="1:15" ht="15" customHeight="1">
      <c r="A25" s="469"/>
      <c r="B25" s="469"/>
      <c r="C25" s="101" t="str">
        <f>Glossary!B11</f>
        <v>Architecture Draft</v>
      </c>
      <c r="D25" s="402"/>
      <c r="E25" t="b">
        <f t="shared" si="10"/>
        <v>0</v>
      </c>
      <c r="F25" s="51" t="str">
        <f t="shared" si="11"/>
        <v/>
      </c>
      <c r="G25" s="53">
        <v>20</v>
      </c>
      <c r="H25" s="400"/>
      <c r="I25" s="56"/>
      <c r="J25" s="95"/>
      <c r="K25" s="97"/>
      <c r="M25" s="344"/>
      <c r="O25" s="37"/>
    </row>
    <row r="26" spans="1:15" ht="15" customHeight="1">
      <c r="A26" s="469"/>
      <c r="B26" s="469"/>
      <c r="C26" s="101" t="str">
        <f>Glossary!B57</f>
        <v>Content Architecture Document</v>
      </c>
      <c r="D26" s="402"/>
      <c r="E26" s="178" t="b">
        <f t="shared" si="10"/>
        <v>0</v>
      </c>
      <c r="F26" s="170" t="str">
        <f t="shared" si="11"/>
        <v/>
      </c>
      <c r="G26" s="69">
        <v>20</v>
      </c>
      <c r="H26" s="400"/>
      <c r="I26" s="56"/>
      <c r="J26" s="95"/>
      <c r="K26" s="97"/>
      <c r="M26" s="344"/>
      <c r="O26" s="37"/>
    </row>
    <row r="27" spans="1:15" ht="15" customHeight="1">
      <c r="A27" s="469"/>
      <c r="B27" s="478"/>
      <c r="C27" s="151"/>
      <c r="D27" s="151"/>
      <c r="E27" s="151"/>
      <c r="F27" s="151"/>
      <c r="G27" s="151"/>
      <c r="H27" s="151"/>
      <c r="I27" s="73"/>
      <c r="J27" s="151"/>
      <c r="K27" s="151"/>
      <c r="M27" s="344"/>
      <c r="O27" s="37"/>
    </row>
    <row r="28" spans="1:15" ht="18" customHeight="1">
      <c r="A28" s="469"/>
      <c r="B28" s="495" t="s">
        <v>89</v>
      </c>
      <c r="C28" s="138" t="str">
        <f>Glossary!B198</f>
        <v>Requirements Documentation</v>
      </c>
      <c r="D28" s="410"/>
      <c r="E28" t="b">
        <f t="shared" ref="E28:E32" si="12">IF(OR(D28="y",D28="n"), G28)</f>
        <v>0</v>
      </c>
      <c r="F28" s="51" t="str">
        <f t="shared" ref="F28:F32" si="13">IF(D28 = "Y",E28, IF(D28="n",0, ""))</f>
        <v/>
      </c>
      <c r="G28" s="53">
        <v>30</v>
      </c>
      <c r="H28" s="411"/>
      <c r="I28" s="56"/>
      <c r="J28" s="121" t="str">
        <f>Glossary!B208</f>
        <v>Security Architecture Recommendations</v>
      </c>
      <c r="K28" s="410"/>
      <c r="L28" t="b">
        <f>IF(OR(K28="y",K28="n"), N28)</f>
        <v>0</v>
      </c>
      <c r="M28" s="51" t="str">
        <f>IF(K28 = "Y",L28, IF(K28="n",0, ""))</f>
        <v/>
      </c>
      <c r="N28" s="53">
        <v>30</v>
      </c>
      <c r="O28" s="37"/>
    </row>
    <row r="29" spans="1:15" ht="16.5" customHeight="1">
      <c r="A29" s="469"/>
      <c r="B29" s="469"/>
      <c r="C29" s="101" t="str">
        <f>Glossary!B104</f>
        <v>High Level Solution Design</v>
      </c>
      <c r="D29" s="402"/>
      <c r="E29" t="b">
        <f t="shared" si="12"/>
        <v>0</v>
      </c>
      <c r="F29" s="51" t="str">
        <f t="shared" si="13"/>
        <v/>
      </c>
      <c r="G29" s="53">
        <v>20</v>
      </c>
      <c r="H29" s="400"/>
      <c r="I29" s="56"/>
      <c r="J29" s="101"/>
      <c r="K29" s="101"/>
      <c r="M29" s="344"/>
      <c r="O29" s="37"/>
    </row>
    <row r="30" spans="1:15" ht="16.5" customHeight="1">
      <c r="A30" s="469"/>
      <c r="B30" s="469"/>
      <c r="C30" s="101" t="str">
        <f>Glossary!B11</f>
        <v>Architecture Draft</v>
      </c>
      <c r="D30" s="402"/>
      <c r="E30" t="b">
        <f t="shared" si="12"/>
        <v>0</v>
      </c>
      <c r="F30" s="51" t="str">
        <f t="shared" si="13"/>
        <v/>
      </c>
      <c r="G30" s="53">
        <v>20</v>
      </c>
      <c r="H30" s="400"/>
      <c r="I30" s="56"/>
      <c r="J30" s="101"/>
      <c r="K30" s="101"/>
      <c r="M30" s="344"/>
      <c r="O30" s="37"/>
    </row>
    <row r="31" spans="1:15" ht="16.5" customHeight="1">
      <c r="A31" s="469"/>
      <c r="B31" s="469"/>
      <c r="C31" s="347" t="str">
        <f>Glossary!B101</f>
        <v>Hardware Estimates</v>
      </c>
      <c r="D31" s="402"/>
      <c r="E31" t="b">
        <f t="shared" si="12"/>
        <v>0</v>
      </c>
      <c r="F31" s="51" t="str">
        <f t="shared" si="13"/>
        <v/>
      </c>
      <c r="G31" s="53">
        <v>20</v>
      </c>
      <c r="H31" s="400"/>
      <c r="I31" s="56"/>
      <c r="J31" s="143"/>
      <c r="K31" s="123"/>
      <c r="M31" s="344"/>
      <c r="O31" s="37"/>
    </row>
    <row r="32" spans="1:15" ht="15" customHeight="1">
      <c r="A32" s="469"/>
      <c r="B32" s="469"/>
      <c r="C32" s="101" t="str">
        <f>Glossary!B166</f>
        <v>Performance KPIs</v>
      </c>
      <c r="D32" s="402"/>
      <c r="E32" t="b">
        <f t="shared" si="12"/>
        <v>0</v>
      </c>
      <c r="F32" s="51" t="str">
        <f t="shared" si="13"/>
        <v/>
      </c>
      <c r="G32" s="53">
        <v>10</v>
      </c>
      <c r="H32" s="400"/>
      <c r="I32" s="56"/>
      <c r="J32" s="95"/>
      <c r="K32" s="97"/>
      <c r="M32" s="344"/>
      <c r="O32" s="37"/>
    </row>
    <row r="33" spans="1:15" ht="15" customHeight="1">
      <c r="A33" s="469"/>
      <c r="B33" s="478"/>
      <c r="C33" s="150"/>
      <c r="D33" s="227"/>
      <c r="E33" s="227"/>
      <c r="F33" s="227"/>
      <c r="G33" s="227"/>
      <c r="H33" s="153"/>
      <c r="I33" s="73"/>
      <c r="J33" s="153"/>
      <c r="K33" s="109"/>
      <c r="M33" s="344"/>
      <c r="O33" s="37"/>
    </row>
    <row r="34" spans="1:15" ht="16.5" customHeight="1">
      <c r="A34" s="469"/>
      <c r="B34" s="481" t="s">
        <v>92</v>
      </c>
      <c r="C34" s="45" t="str">
        <f>Glossary!B211</f>
        <v>Security Concept</v>
      </c>
      <c r="D34" s="402"/>
      <c r="E34" t="b">
        <f t="shared" ref="E34:E36" si="14">IF(OR(D34="y",D34="n"), G34)</f>
        <v>0</v>
      </c>
      <c r="F34" s="51" t="str">
        <f t="shared" ref="F34:F36" si="15">IF(D34 = "Y",E34, IF(D34="n",0, ""))</f>
        <v/>
      </c>
      <c r="G34" s="53">
        <v>40</v>
      </c>
      <c r="H34" s="400"/>
      <c r="I34" s="56"/>
      <c r="J34" s="45" t="str">
        <f>Glossary!B209</f>
        <v>Security Based Coding Guidelines</v>
      </c>
      <c r="K34" s="402"/>
      <c r="L34" t="b">
        <f>IF(OR(K34="y",K34="n"), N34)</f>
        <v>0</v>
      </c>
      <c r="M34" s="51" t="str">
        <f>IF(K34 = "Y",L34, IF(K34="n",0, ""))</f>
        <v/>
      </c>
      <c r="N34" s="53">
        <v>50</v>
      </c>
      <c r="O34" s="37"/>
    </row>
    <row r="35" spans="1:15" ht="20.25" customHeight="1">
      <c r="A35" s="469"/>
      <c r="B35" s="469"/>
      <c r="C35" s="45" t="str">
        <f>Glossary!B210</f>
        <v xml:space="preserve">Security Checklist </v>
      </c>
      <c r="D35" s="402"/>
      <c r="E35" t="b">
        <f t="shared" si="14"/>
        <v>0</v>
      </c>
      <c r="F35" s="51" t="str">
        <f t="shared" si="15"/>
        <v/>
      </c>
      <c r="G35" s="53">
        <v>50</v>
      </c>
      <c r="H35" s="400"/>
      <c r="I35" s="56"/>
      <c r="J35" s="101"/>
      <c r="K35" s="101"/>
      <c r="M35" s="344"/>
      <c r="O35" s="37"/>
    </row>
    <row r="36" spans="1:15" ht="18.75" customHeight="1">
      <c r="A36" s="469"/>
      <c r="B36" s="469"/>
      <c r="C36" s="45" t="str">
        <f>Glossary!B7</f>
        <v>Adobe Security Checklist</v>
      </c>
      <c r="D36" s="402"/>
      <c r="E36" t="b">
        <f t="shared" si="14"/>
        <v>0</v>
      </c>
      <c r="F36" s="51" t="str">
        <f t="shared" si="15"/>
        <v/>
      </c>
      <c r="G36" s="53">
        <v>40</v>
      </c>
      <c r="H36" s="400"/>
      <c r="I36" s="56"/>
      <c r="J36" s="101"/>
      <c r="K36" s="101"/>
      <c r="M36" s="344"/>
      <c r="O36" s="37"/>
    </row>
    <row r="37" spans="1:15" ht="18.75" customHeight="1">
      <c r="A37" s="469"/>
      <c r="B37" s="469"/>
      <c r="C37" s="141"/>
      <c r="D37" s="126"/>
      <c r="E37" s="126"/>
      <c r="F37" s="126"/>
      <c r="G37" s="126"/>
      <c r="H37" s="165"/>
      <c r="I37" s="74"/>
      <c r="J37" s="126"/>
      <c r="K37" s="183"/>
      <c r="M37" s="344"/>
      <c r="O37" s="37"/>
    </row>
    <row r="38" spans="1:15" ht="19.5" customHeight="1">
      <c r="A38" s="469"/>
      <c r="B38" s="495" t="s">
        <v>98</v>
      </c>
      <c r="C38" s="101" t="str">
        <f>Glossary!B261</f>
        <v>Third party system for integration</v>
      </c>
      <c r="D38" s="402"/>
      <c r="E38" t="b">
        <f t="shared" ref="E38:E39" si="16">IF(OR(D38="y",D38="n"), G38)</f>
        <v>0</v>
      </c>
      <c r="F38" s="51" t="str">
        <f t="shared" ref="F38:F39" si="17">IF(D38 = "Y",E38, IF(D38="n",0, ""))</f>
        <v/>
      </c>
      <c r="G38" s="53">
        <v>40</v>
      </c>
      <c r="H38" s="400"/>
      <c r="I38" s="56"/>
      <c r="J38" s="45" t="str">
        <f>Glossary!B261</f>
        <v>Third party system for integration</v>
      </c>
      <c r="K38" s="402"/>
      <c r="L38" t="b">
        <f>IF(OR(K38="y",K38="n"), N38)</f>
        <v>0</v>
      </c>
      <c r="M38" s="51" t="str">
        <f>IF(K38 = "Y",L38, IF(K38="n",0, ""))</f>
        <v/>
      </c>
      <c r="N38" s="53">
        <v>50</v>
      </c>
      <c r="O38" s="37"/>
    </row>
    <row r="39" spans="1:15" ht="19.5" customHeight="1">
      <c r="A39" s="469"/>
      <c r="B39" s="469"/>
      <c r="C39" s="101" t="str">
        <f>Glossary!B259</f>
        <v>Third party integration Specification</v>
      </c>
      <c r="D39" s="402"/>
      <c r="E39" t="b">
        <f t="shared" si="16"/>
        <v>0</v>
      </c>
      <c r="F39" s="51" t="str">
        <f t="shared" si="17"/>
        <v/>
      </c>
      <c r="G39" s="53">
        <v>30</v>
      </c>
      <c r="H39" s="400"/>
      <c r="I39" s="56"/>
      <c r="J39" s="220"/>
      <c r="K39" s="220"/>
      <c r="M39" s="51"/>
      <c r="N39" s="127"/>
      <c r="O39" s="37"/>
    </row>
    <row r="40" spans="1:15" ht="16.5" customHeight="1">
      <c r="A40" s="469"/>
      <c r="B40" s="469"/>
      <c r="C40" s="204"/>
      <c r="D40" s="152"/>
      <c r="E40" s="152"/>
      <c r="F40" s="152"/>
      <c r="G40" s="152"/>
      <c r="H40" s="109"/>
      <c r="I40" s="73"/>
      <c r="J40" s="152"/>
      <c r="K40" s="238"/>
      <c r="L40" s="127"/>
      <c r="M40" s="349"/>
      <c r="O40" s="37"/>
    </row>
    <row r="41" spans="1:15" ht="16.5" hidden="1" customHeight="1">
      <c r="A41" s="469"/>
      <c r="B41" s="478"/>
      <c r="C41" s="119"/>
      <c r="D41" s="299">
        <f>COUNTA(D19:D39,K19,K22,K28,K34,K38)/COUNTA(F19:F39,M19,M22,M28,M34,M38)</f>
        <v>0</v>
      </c>
      <c r="E41" s="299">
        <f t="shared" ref="E41:F41" si="18">SUM(E19:E39)</f>
        <v>0</v>
      </c>
      <c r="F41" s="299">
        <f t="shared" si="18"/>
        <v>0</v>
      </c>
      <c r="G41" s="152"/>
      <c r="H41" t="str">
        <f>IFERROR(AVERAGE(H19:H38),"")</f>
        <v/>
      </c>
      <c r="I41" s="37"/>
      <c r="J41" s="119"/>
      <c r="K41" s="299"/>
      <c r="L41">
        <f t="shared" ref="L41:M41" si="19">SUM(L19,L22,L28,L34,L38)</f>
        <v>0</v>
      </c>
      <c r="M41">
        <f t="shared" si="19"/>
        <v>0</v>
      </c>
      <c r="O41" s="37"/>
    </row>
    <row r="42" spans="1:15" ht="16.5" customHeight="1">
      <c r="A42" s="468" t="s">
        <v>49</v>
      </c>
      <c r="B42" s="495" t="s">
        <v>77</v>
      </c>
      <c r="C42" s="101" t="str">
        <f>Glossary!B203</f>
        <v>Roles and Rights Concept</v>
      </c>
      <c r="D42" s="402"/>
      <c r="E42" t="b">
        <f>IF(OR(D42="y",D42="n"), G42)</f>
        <v>0</v>
      </c>
      <c r="F42" s="51" t="str">
        <f>IF(D42 = "Y",E42, IF(D42="n",0, ""))</f>
        <v/>
      </c>
      <c r="G42" s="53">
        <v>40</v>
      </c>
      <c r="H42" s="400"/>
      <c r="I42" s="56"/>
      <c r="J42" s="101" t="str">
        <f>Glossary!B205</f>
        <v>Roles and Rights Concept meets security guidelines</v>
      </c>
      <c r="K42" s="402"/>
      <c r="L42" t="b">
        <f>IF(OR(K42="y",K42="n"), N42)</f>
        <v>0</v>
      </c>
      <c r="M42" s="51" t="str">
        <f>IF(K42 = "Y",L42, IF(K42="n",0, ""))</f>
        <v/>
      </c>
      <c r="N42" s="53">
        <v>50</v>
      </c>
      <c r="O42" s="37"/>
    </row>
    <row r="43" spans="1:15" ht="16.5" customHeight="1">
      <c r="A43" s="469"/>
      <c r="B43" s="478"/>
      <c r="C43" s="279"/>
      <c r="D43" s="278"/>
      <c r="E43" s="278"/>
      <c r="F43" s="278"/>
      <c r="G43" s="278"/>
      <c r="H43" s="189"/>
      <c r="I43" s="73"/>
      <c r="J43" s="278"/>
      <c r="K43" s="253"/>
      <c r="L43" s="53"/>
      <c r="M43" s="349"/>
      <c r="O43" s="37"/>
    </row>
    <row r="44" spans="1:15" ht="16.5" customHeight="1">
      <c r="A44" s="469"/>
      <c r="B44" s="495" t="s">
        <v>78</v>
      </c>
      <c r="C44" s="119" t="str">
        <f>Glossary!B88</f>
        <v>External System &amp; User dependencies / System Context</v>
      </c>
      <c r="D44" s="402"/>
      <c r="E44" t="b">
        <f t="shared" ref="E44:E45" si="20">IF(OR(D44="y",D44="n"), G44)</f>
        <v>0</v>
      </c>
      <c r="F44" s="51" t="str">
        <f t="shared" ref="F44:F45" si="21">IF(D44 = "Y",E44, IF(D44="n",0, ""))</f>
        <v/>
      </c>
      <c r="G44" s="53">
        <v>20</v>
      </c>
      <c r="H44" s="400"/>
      <c r="I44" s="56"/>
      <c r="J44" s="45" t="str">
        <f>Glossary!B151</f>
        <v>Monitoring - Security Points</v>
      </c>
      <c r="K44" s="402"/>
      <c r="L44" t="b">
        <f>IF(OR(K44="y",K44="n"), N44)</f>
        <v>0</v>
      </c>
      <c r="M44" s="51" t="str">
        <f>IF(K44 = "Y",L44, IF(K44="n",0, ""))</f>
        <v/>
      </c>
      <c r="N44" s="53">
        <v>35</v>
      </c>
      <c r="O44" s="37"/>
    </row>
    <row r="45" spans="1:15" ht="16.5" customHeight="1">
      <c r="A45" s="469"/>
      <c r="B45" s="469"/>
      <c r="C45" s="101" t="str">
        <f>Glossary!B237</f>
        <v>System Architecture Documentation</v>
      </c>
      <c r="D45" s="402"/>
      <c r="E45" t="b">
        <f t="shared" si="20"/>
        <v>0</v>
      </c>
      <c r="F45" s="51" t="str">
        <f t="shared" si="21"/>
        <v/>
      </c>
      <c r="G45" s="53">
        <v>25</v>
      </c>
      <c r="H45" s="400"/>
      <c r="I45" s="56"/>
      <c r="J45" s="166"/>
      <c r="K45" s="166"/>
      <c r="M45" s="344"/>
      <c r="O45" s="37"/>
    </row>
    <row r="46" spans="1:15" ht="16.5" customHeight="1">
      <c r="A46" s="469"/>
      <c r="B46" s="478"/>
      <c r="C46" s="279"/>
      <c r="D46" s="278"/>
      <c r="E46" s="278"/>
      <c r="F46" s="278"/>
      <c r="G46" s="278"/>
      <c r="H46" s="189"/>
      <c r="I46" s="73"/>
      <c r="J46" s="278"/>
      <c r="K46" s="253"/>
      <c r="M46" s="344"/>
      <c r="O46" s="37"/>
    </row>
    <row r="47" spans="1:15" ht="16.5" customHeight="1">
      <c r="A47" s="469"/>
      <c r="B47" s="495" t="s">
        <v>80</v>
      </c>
      <c r="C47" s="101" t="str">
        <f>Glossary!B30</f>
        <v>Back up and Restore Concept</v>
      </c>
      <c r="D47" s="402"/>
      <c r="E47" t="b">
        <f>IF(OR(D47="y",D47="n"), G47)</f>
        <v>0</v>
      </c>
      <c r="F47" s="51" t="str">
        <f>IF(D47 = "Y",E47, IF(D47="n",0, ""))</f>
        <v/>
      </c>
      <c r="G47" s="53">
        <v>30</v>
      </c>
      <c r="H47" s="400"/>
      <c r="I47" s="56"/>
      <c r="J47" s="45" t="str">
        <f>Glossary!B52</f>
        <v>Compliance to Security Concept</v>
      </c>
      <c r="K47" s="402"/>
      <c r="L47" t="b">
        <f>IF(OR(K47="y",K47="n"), N47)</f>
        <v>0</v>
      </c>
      <c r="M47" s="51" t="str">
        <f>IF(K47 = "Y",L47, IF(K47="n",0, ""))</f>
        <v/>
      </c>
      <c r="N47" s="53">
        <v>30</v>
      </c>
      <c r="O47" s="37"/>
    </row>
    <row r="48" spans="1:15" ht="16.5" customHeight="1">
      <c r="A48" s="469"/>
      <c r="B48" s="469"/>
      <c r="C48" s="279"/>
      <c r="D48" s="278"/>
      <c r="E48" s="278"/>
      <c r="F48" s="278"/>
      <c r="G48" s="278"/>
      <c r="H48" s="189"/>
      <c r="I48" s="73"/>
      <c r="J48" s="278"/>
      <c r="K48" s="253"/>
      <c r="L48" s="127"/>
      <c r="M48" s="349"/>
      <c r="O48" s="37"/>
    </row>
    <row r="49" spans="1:15" ht="16.5" hidden="1" customHeight="1">
      <c r="A49" s="478"/>
      <c r="B49" s="478"/>
      <c r="C49" s="119"/>
      <c r="D49" s="166">
        <f>COUNTA(D42:D47,K42:K44,K47)/COUNTA(F42:F47,M42:M44,M47)</f>
        <v>0</v>
      </c>
      <c r="E49" s="166">
        <f t="shared" ref="E49:F49" si="22">SUM(E42:E47)</f>
        <v>0</v>
      </c>
      <c r="F49" s="166">
        <f t="shared" si="22"/>
        <v>0</v>
      </c>
      <c r="G49" s="152"/>
      <c r="H49" t="str">
        <f>IFERROR(AVERAGE(H42:H47),"")</f>
        <v/>
      </c>
      <c r="I49" s="37"/>
      <c r="J49" s="166"/>
      <c r="K49" s="166"/>
      <c r="L49">
        <f t="shared" ref="L49:M49" si="23">SUM(L42:L44,L47)</f>
        <v>0</v>
      </c>
      <c r="M49">
        <f t="shared" si="23"/>
        <v>0</v>
      </c>
      <c r="O49" s="37"/>
    </row>
    <row r="50" spans="1:15" ht="18" customHeight="1">
      <c r="A50" s="498" t="s">
        <v>50</v>
      </c>
      <c r="B50" s="495" t="s">
        <v>104</v>
      </c>
      <c r="C50" s="45" t="str">
        <f>Glossary!B50</f>
        <v>Customer Security Policies</v>
      </c>
      <c r="D50" s="402"/>
      <c r="E50" t="b">
        <f t="shared" ref="E50:E51" si="24">IF(OR(D50="y",D50="n"), G50)</f>
        <v>0</v>
      </c>
      <c r="F50" s="51" t="str">
        <f t="shared" ref="F50:F51" si="25">IF(D50 = "Y",E50, IF(D50="n",0, ""))</f>
        <v/>
      </c>
      <c r="G50" s="53">
        <v>40</v>
      </c>
      <c r="H50" s="400"/>
      <c r="I50" s="56"/>
      <c r="J50" s="45" t="str">
        <f>Glossary!B122</f>
        <v>Implementation - Security Concept</v>
      </c>
      <c r="K50" s="402"/>
      <c r="L50" t="b">
        <f t="shared" ref="L50:L51" si="26">IF(OR(K50="y",K50="n"), N50)</f>
        <v>0</v>
      </c>
      <c r="M50" s="51" t="str">
        <f t="shared" ref="M50:M51" si="27">IF(K50 = "Y",L50, IF(K50="n",0, ""))</f>
        <v/>
      </c>
      <c r="N50" s="53">
        <v>50</v>
      </c>
      <c r="O50" s="37"/>
    </row>
    <row r="51" spans="1:15" ht="16.5" customHeight="1">
      <c r="A51" s="469"/>
      <c r="B51" s="469"/>
      <c r="C51" s="45" t="str">
        <f>Glossary!B211</f>
        <v>Security Concept</v>
      </c>
      <c r="D51" s="402"/>
      <c r="E51" t="b">
        <f t="shared" si="24"/>
        <v>0</v>
      </c>
      <c r="F51" s="51" t="str">
        <f t="shared" si="25"/>
        <v/>
      </c>
      <c r="G51" s="53">
        <v>50</v>
      </c>
      <c r="H51" s="400"/>
      <c r="I51" s="56"/>
      <c r="J51" s="121" t="str">
        <f>Glossary!B53</f>
        <v>Compliance to Customer Security Requirements</v>
      </c>
      <c r="K51" s="402"/>
      <c r="L51" t="b">
        <f t="shared" si="26"/>
        <v>0</v>
      </c>
      <c r="M51" s="51" t="str">
        <f t="shared" si="27"/>
        <v/>
      </c>
      <c r="N51" s="53">
        <v>40</v>
      </c>
      <c r="O51" s="37"/>
    </row>
    <row r="52" spans="1:15" ht="16.5" customHeight="1">
      <c r="A52" s="469"/>
      <c r="B52" s="478"/>
      <c r="C52" s="141"/>
      <c r="D52" s="126"/>
      <c r="E52" s="126"/>
      <c r="F52" s="126"/>
      <c r="G52" s="126"/>
      <c r="H52" s="165"/>
      <c r="I52" s="74"/>
      <c r="J52" s="126"/>
      <c r="K52" s="183"/>
      <c r="L52" s="53"/>
      <c r="M52" s="349"/>
      <c r="O52" s="37"/>
    </row>
    <row r="53" spans="1:15" ht="16.5" customHeight="1">
      <c r="A53" s="469"/>
      <c r="B53" s="495" t="s">
        <v>102</v>
      </c>
      <c r="C53" s="101" t="str">
        <f>Glossary!B237</f>
        <v>System Architecture Documentation</v>
      </c>
      <c r="D53" s="402"/>
      <c r="E53" t="b">
        <f>IF(OR(D53="y",D53="n"), G53)</f>
        <v>0</v>
      </c>
      <c r="F53" s="51" t="str">
        <f>IF(D53 = "Y",E53, IF(D53="n",0, ""))</f>
        <v/>
      </c>
      <c r="G53" s="53">
        <v>20</v>
      </c>
      <c r="H53" s="400"/>
      <c r="I53" s="56"/>
      <c r="J53" s="45" t="str">
        <f>Glossary!B238</f>
        <v>System Architecture Security Concept</v>
      </c>
      <c r="K53" s="402"/>
      <c r="L53" t="b">
        <f>IF(OR(K53="y",K53="n"), N53)</f>
        <v>0</v>
      </c>
      <c r="M53" s="51" t="str">
        <f>IF(K53 = "Y",L53, IF(K53="n",0, ""))</f>
        <v/>
      </c>
      <c r="N53" s="53">
        <v>35</v>
      </c>
      <c r="O53" s="37"/>
    </row>
    <row r="54" spans="1:15" ht="16.5" customHeight="1">
      <c r="A54" s="469"/>
      <c r="B54" s="478"/>
      <c r="C54" s="150"/>
      <c r="D54" s="227"/>
      <c r="E54" s="227"/>
      <c r="F54" s="227"/>
      <c r="G54" s="227"/>
      <c r="H54" s="153"/>
      <c r="I54" s="73"/>
      <c r="J54" s="227"/>
      <c r="K54" s="228"/>
      <c r="L54" s="53"/>
      <c r="M54" s="349"/>
      <c r="O54" s="37"/>
    </row>
    <row r="55" spans="1:15" ht="16.5" customHeight="1">
      <c r="A55" s="469"/>
      <c r="B55" s="495" t="s">
        <v>108</v>
      </c>
      <c r="C55" s="45" t="str">
        <f>Glossary!B210</f>
        <v xml:space="preserve">Security Checklist </v>
      </c>
      <c r="D55" s="402"/>
      <c r="E55" t="b">
        <f t="shared" ref="E55:E57" si="28">IF(OR(D55="y",D55="n"), G55)</f>
        <v>0</v>
      </c>
      <c r="F55" s="51" t="str">
        <f t="shared" ref="F55:F57" si="29">IF(D55 = "Y",E55, IF(D55="n",0, ""))</f>
        <v/>
      </c>
      <c r="G55" s="53">
        <v>35</v>
      </c>
      <c r="H55" s="400"/>
      <c r="I55" s="56"/>
      <c r="J55" s="45" t="str">
        <f>Glossary!B161</f>
        <v>Operations Manual</v>
      </c>
      <c r="K55" s="402"/>
      <c r="L55" t="b">
        <f>IF(OR(K55="y",K55="n"), N55)</f>
        <v>0</v>
      </c>
      <c r="M55" s="51" t="str">
        <f>IF(K55 = "Y",L55, IF(K55="n",0, ""))</f>
        <v/>
      </c>
      <c r="N55" s="53">
        <v>30</v>
      </c>
      <c r="O55" s="37"/>
    </row>
    <row r="56" spans="1:15" ht="16.5" customHeight="1">
      <c r="A56" s="469"/>
      <c r="B56" s="469"/>
      <c r="C56" s="368" t="str">
        <f>Glossary!B7</f>
        <v>Adobe Security Checklist</v>
      </c>
      <c r="D56" s="402"/>
      <c r="E56" t="b">
        <f t="shared" si="28"/>
        <v>0</v>
      </c>
      <c r="F56" s="51" t="str">
        <f t="shared" si="29"/>
        <v/>
      </c>
      <c r="G56" s="53">
        <v>35</v>
      </c>
      <c r="H56" s="400"/>
      <c r="I56" s="56"/>
      <c r="J56" s="143"/>
      <c r="K56" s="123"/>
      <c r="M56" s="344"/>
      <c r="O56" s="37"/>
    </row>
    <row r="57" spans="1:15" ht="16.5" customHeight="1">
      <c r="A57" s="469"/>
      <c r="B57" s="469"/>
      <c r="C57" s="45" t="str">
        <f>Glossary!B50</f>
        <v>Customer Security Policies</v>
      </c>
      <c r="D57" s="402"/>
      <c r="E57" t="b">
        <f t="shared" si="28"/>
        <v>0</v>
      </c>
      <c r="F57" s="51" t="str">
        <f t="shared" si="29"/>
        <v/>
      </c>
      <c r="G57" s="53">
        <v>40</v>
      </c>
      <c r="H57" s="400"/>
      <c r="I57" s="56"/>
      <c r="J57" s="95"/>
      <c r="K57" s="97"/>
      <c r="M57" s="344"/>
      <c r="O57" s="37"/>
    </row>
    <row r="58" spans="1:15" ht="16.5" customHeight="1">
      <c r="A58" s="478"/>
      <c r="B58" s="478"/>
      <c r="C58" s="280"/>
      <c r="D58" s="281"/>
      <c r="E58" s="281"/>
      <c r="F58" s="281"/>
      <c r="G58" s="281"/>
      <c r="H58" s="336"/>
      <c r="I58" s="74"/>
      <c r="J58" s="117"/>
      <c r="K58" s="117"/>
      <c r="M58" s="344"/>
      <c r="O58" s="37"/>
    </row>
    <row r="59" spans="1:15" ht="16.5" hidden="1" customHeight="1">
      <c r="A59" s="343"/>
      <c r="B59" s="321"/>
      <c r="C59" s="161"/>
      <c r="D59" s="161">
        <f>COUNTA(D50:D57,K50:K55)/COUNTA(F50:F57,M50:M55)</f>
        <v>0</v>
      </c>
      <c r="E59" s="161">
        <f t="shared" ref="E59:F59" si="30">SUM(E50:E57)</f>
        <v>0</v>
      </c>
      <c r="F59" s="161">
        <f t="shared" si="30"/>
        <v>0</v>
      </c>
      <c r="G59" s="220"/>
      <c r="H59" s="94" t="str">
        <f>IFERROR(AVERAGE(H50:H57),"")</f>
        <v/>
      </c>
      <c r="I59" s="56"/>
      <c r="J59" s="95"/>
      <c r="K59" s="129"/>
      <c r="L59">
        <f t="shared" ref="L59:M59" si="31">SUM(L50:L55)</f>
        <v>0</v>
      </c>
      <c r="M59">
        <f t="shared" si="31"/>
        <v>0</v>
      </c>
      <c r="O59" s="37"/>
    </row>
    <row r="60" spans="1:15" ht="16.5" customHeight="1">
      <c r="A60" s="498" t="s">
        <v>52</v>
      </c>
      <c r="B60" s="481" t="s">
        <v>91</v>
      </c>
      <c r="C60" s="45" t="str">
        <f>Glossary!B210</f>
        <v xml:space="preserve">Security Checklist </v>
      </c>
      <c r="D60" s="402"/>
      <c r="E60" t="b">
        <f t="shared" ref="E60:E62" si="32">IF(OR(D60="y",D60="n"), G60)</f>
        <v>0</v>
      </c>
      <c r="F60" s="51" t="str">
        <f t="shared" ref="F60:F62" si="33">IF(D60 = "Y",E60, IF(D60="n",0, ""))</f>
        <v/>
      </c>
      <c r="G60" s="53">
        <v>40</v>
      </c>
      <c r="H60" s="400"/>
      <c r="I60" s="56"/>
      <c r="J60" s="45" t="str">
        <f>Glossary!B213</f>
        <v xml:space="preserve">Security issues listed and assesed </v>
      </c>
      <c r="K60" s="402"/>
      <c r="L60" t="b">
        <f t="shared" ref="L60:L61" si="34">IF(OR(K60="y",K60="n"), N60)</f>
        <v>0</v>
      </c>
      <c r="M60" s="51" t="str">
        <f t="shared" ref="M60:M61" si="35">IF(K60 = "Y",L60, IF(K60="n",0, ""))</f>
        <v/>
      </c>
      <c r="N60" s="53">
        <v>30</v>
      </c>
      <c r="O60" s="37"/>
    </row>
    <row r="61" spans="1:15" ht="16.5" customHeight="1">
      <c r="A61" s="469"/>
      <c r="B61" s="469"/>
      <c r="C61" s="45" t="str">
        <f>Glossary!B171</f>
        <v>Penetration Test Results</v>
      </c>
      <c r="D61" s="402"/>
      <c r="E61" t="b">
        <f t="shared" si="32"/>
        <v>0</v>
      </c>
      <c r="F61" s="51" t="str">
        <f t="shared" si="33"/>
        <v/>
      </c>
      <c r="G61" s="53">
        <v>50</v>
      </c>
      <c r="H61" s="400"/>
      <c r="I61" s="56"/>
      <c r="J61" s="45" t="str">
        <f>Glossary!B172</f>
        <v>Penetration Test passed</v>
      </c>
      <c r="K61" s="402"/>
      <c r="L61" t="b">
        <f t="shared" si="34"/>
        <v>0</v>
      </c>
      <c r="M61" s="51" t="str">
        <f t="shared" si="35"/>
        <v/>
      </c>
      <c r="N61" s="53">
        <v>50</v>
      </c>
      <c r="O61" s="37"/>
    </row>
    <row r="62" spans="1:15" ht="16.5" customHeight="1">
      <c r="A62" s="469"/>
      <c r="B62" s="469"/>
      <c r="C62" s="101" t="str">
        <f>Glossary!B237</f>
        <v>System Architecture Documentation</v>
      </c>
      <c r="D62" s="402"/>
      <c r="E62" t="b">
        <f t="shared" si="32"/>
        <v>0</v>
      </c>
      <c r="F62" s="51" t="str">
        <f t="shared" si="33"/>
        <v/>
      </c>
      <c r="G62" s="53">
        <v>30</v>
      </c>
      <c r="H62" s="400"/>
      <c r="I62" s="56"/>
      <c r="J62" s="192"/>
      <c r="K62" s="192"/>
      <c r="M62" s="344"/>
      <c r="O62" s="37"/>
    </row>
    <row r="63" spans="1:15" ht="16.5" customHeight="1">
      <c r="A63" s="469"/>
      <c r="B63" s="478"/>
      <c r="C63" s="152"/>
      <c r="D63" s="152"/>
      <c r="E63" s="152"/>
      <c r="F63" s="152"/>
      <c r="G63" s="152"/>
      <c r="H63" s="109"/>
      <c r="I63" s="73"/>
      <c r="J63" s="152"/>
      <c r="K63" s="152"/>
      <c r="M63" s="344"/>
      <c r="O63" s="37"/>
    </row>
    <row r="64" spans="1:15" ht="16.5" hidden="1" customHeight="1">
      <c r="A64" s="478"/>
      <c r="D64">
        <f>COUNTA(D60:D62,K60:K61)/COUNTA(F60:F62,M60:M61)</f>
        <v>0</v>
      </c>
      <c r="E64">
        <f t="shared" ref="E64:F64" si="36">SUM(E60:E62)</f>
        <v>0</v>
      </c>
      <c r="F64">
        <f t="shared" si="36"/>
        <v>0</v>
      </c>
      <c r="H64" t="str">
        <f>IFERROR(AVERAGE(H60:H62),"")</f>
        <v/>
      </c>
      <c r="I64" s="37"/>
      <c r="J64" s="143"/>
      <c r="K64" s="123"/>
      <c r="L64">
        <f t="shared" ref="L64:M64" si="37">SUM(L60:L61)</f>
        <v>0</v>
      </c>
      <c r="M64">
        <f t="shared" si="37"/>
        <v>0</v>
      </c>
      <c r="O64" s="37"/>
    </row>
    <row r="65" spans="1:15" ht="16.5" customHeight="1">
      <c r="A65" s="498" t="s">
        <v>93</v>
      </c>
      <c r="B65" s="496" t="s">
        <v>94</v>
      </c>
      <c r="C65" s="45" t="str">
        <f>Glossary!B210</f>
        <v xml:space="preserve">Security Checklist </v>
      </c>
      <c r="D65" s="402"/>
      <c r="E65" t="b">
        <f t="shared" ref="E65:E68" si="38">IF(OR(D65="y",D65="n"), G65)</f>
        <v>0</v>
      </c>
      <c r="F65" s="51" t="str">
        <f t="shared" ref="F65:F68" si="39">IF(D65 = "Y",E65, IF(D65="n",0, ""))</f>
        <v/>
      </c>
      <c r="G65" s="69">
        <v>40</v>
      </c>
      <c r="H65" s="400"/>
      <c r="I65" s="56"/>
      <c r="J65" s="101" t="str">
        <f>Glossary!B68</f>
        <v>Default security enabled</v>
      </c>
      <c r="K65" s="402"/>
      <c r="L65" t="b">
        <f t="shared" ref="L65:L67" si="40">IF(OR(K65="y",K65="n"), N65)</f>
        <v>0</v>
      </c>
      <c r="M65" s="51" t="str">
        <f t="shared" ref="M65:M67" si="41">IF(K65 = "Y",L65, IF(K65="n",0, ""))</f>
        <v/>
      </c>
      <c r="N65" s="53">
        <v>30</v>
      </c>
      <c r="O65" s="37"/>
    </row>
    <row r="66" spans="1:15" ht="16.5" customHeight="1">
      <c r="A66" s="469"/>
      <c r="B66" s="469"/>
      <c r="C66" s="101" t="str">
        <f>Glossary!B213</f>
        <v xml:space="preserve">Security issues listed and assesed </v>
      </c>
      <c r="D66" s="402"/>
      <c r="E66" t="b">
        <f t="shared" si="38"/>
        <v>0</v>
      </c>
      <c r="F66" s="51" t="str">
        <f t="shared" si="39"/>
        <v/>
      </c>
      <c r="G66" s="53">
        <v>35</v>
      </c>
      <c r="H66" s="400"/>
      <c r="I66" s="56"/>
      <c r="J66" s="101" t="str">
        <f>Glossary!B214</f>
        <v>Security sign off from business stakeholders</v>
      </c>
      <c r="K66" s="402"/>
      <c r="L66" t="b">
        <f t="shared" si="40"/>
        <v>0</v>
      </c>
      <c r="M66" s="51" t="str">
        <f t="shared" si="41"/>
        <v/>
      </c>
      <c r="N66" s="53">
        <v>50</v>
      </c>
      <c r="O66" s="37"/>
    </row>
    <row r="67" spans="1:15" ht="16.5" customHeight="1">
      <c r="A67" s="469"/>
      <c r="B67" s="469"/>
      <c r="C67" s="101" t="str">
        <f>Glossary!B7</f>
        <v>Adobe Security Checklist</v>
      </c>
      <c r="D67" s="402"/>
      <c r="E67" t="b">
        <f t="shared" si="38"/>
        <v>0</v>
      </c>
      <c r="F67" s="51" t="str">
        <f t="shared" si="39"/>
        <v/>
      </c>
      <c r="G67" s="53">
        <v>35</v>
      </c>
      <c r="H67" s="400"/>
      <c r="I67" s="56"/>
      <c r="J67" s="101" t="str">
        <f>Glossary!B172</f>
        <v>Penetration Test passed</v>
      </c>
      <c r="K67" s="402"/>
      <c r="L67" t="b">
        <f t="shared" si="40"/>
        <v>0</v>
      </c>
      <c r="M67" s="51" t="str">
        <f t="shared" si="41"/>
        <v/>
      </c>
      <c r="N67" s="53">
        <v>50</v>
      </c>
      <c r="O67" s="37"/>
    </row>
    <row r="68" spans="1:15" ht="16.5" customHeight="1">
      <c r="A68" s="469"/>
      <c r="B68" s="469"/>
      <c r="C68" s="101" t="str">
        <f>Glossary!B170</f>
        <v>Penetration Test</v>
      </c>
      <c r="D68" s="402"/>
      <c r="E68" t="b">
        <f t="shared" si="38"/>
        <v>0</v>
      </c>
      <c r="F68" s="51" t="str">
        <f t="shared" si="39"/>
        <v/>
      </c>
      <c r="G68" s="53">
        <v>45</v>
      </c>
      <c r="H68" s="400"/>
      <c r="I68" s="56"/>
      <c r="J68" s="177"/>
      <c r="K68" s="209"/>
      <c r="O68" s="37"/>
    </row>
    <row r="69" spans="1:15" ht="16.5" customHeight="1">
      <c r="A69" s="469"/>
      <c r="B69" s="470"/>
      <c r="C69" s="176"/>
      <c r="D69" s="177"/>
      <c r="E69" s="177"/>
      <c r="F69" s="177"/>
      <c r="G69" s="177"/>
      <c r="H69" s="275"/>
      <c r="I69" s="73"/>
      <c r="J69" s="177"/>
      <c r="K69" s="209"/>
      <c r="L69" s="53"/>
      <c r="M69" s="349"/>
      <c r="O69" s="37"/>
    </row>
    <row r="70" spans="1:15" ht="16.5" customHeight="1">
      <c r="A70" s="469"/>
      <c r="B70" s="471" t="s">
        <v>95</v>
      </c>
      <c r="C70" s="101" t="str">
        <f>Glossary!B92</f>
        <v>Fallback system and procedure</v>
      </c>
      <c r="D70" s="402"/>
      <c r="E70" t="b">
        <f t="shared" ref="E70:E71" si="42">IF(OR(D70="y",D70="n"), G70)</f>
        <v>0</v>
      </c>
      <c r="F70" s="51" t="str">
        <f t="shared" ref="F70:F71" si="43">IF(D70 = "Y",E70, IF(D70="n",0, ""))</f>
        <v/>
      </c>
      <c r="G70" s="53">
        <v>30</v>
      </c>
      <c r="H70" s="400"/>
      <c r="I70" s="56"/>
      <c r="J70" s="45" t="str">
        <f>Glossary!B53</f>
        <v>Compliance to Customer Security Requirements</v>
      </c>
      <c r="K70" s="402"/>
      <c r="L70" t="b">
        <f>IF(OR(K70="y",K70="n"), N70)</f>
        <v>0</v>
      </c>
      <c r="M70" s="51" t="str">
        <f>IF(K70 = "Y",L70, IF(K70="n",0, ""))</f>
        <v/>
      </c>
      <c r="N70" s="53">
        <v>35</v>
      </c>
      <c r="O70" s="37"/>
    </row>
    <row r="71" spans="1:15" ht="16.5" customHeight="1">
      <c r="A71" s="469"/>
      <c r="B71" s="469"/>
      <c r="C71" s="121" t="str">
        <f>Glossary!B238</f>
        <v>System Architecture Security Concept</v>
      </c>
      <c r="D71" s="402"/>
      <c r="E71" t="b">
        <f t="shared" si="42"/>
        <v>0</v>
      </c>
      <c r="F71" s="51" t="str">
        <f t="shared" si="43"/>
        <v/>
      </c>
      <c r="G71" s="53">
        <v>35</v>
      </c>
      <c r="H71" s="400"/>
      <c r="I71" s="56"/>
      <c r="J71" s="101"/>
      <c r="K71" s="101"/>
      <c r="M71" s="344"/>
      <c r="O71" s="37"/>
    </row>
    <row r="72" spans="1:15" ht="16.5" customHeight="1">
      <c r="A72" s="469"/>
      <c r="B72" s="470"/>
      <c r="C72" s="163"/>
      <c r="D72" s="220"/>
      <c r="E72" s="220"/>
      <c r="F72" s="220"/>
      <c r="G72" s="220"/>
      <c r="H72" s="117"/>
      <c r="I72" s="74"/>
      <c r="J72" s="126"/>
      <c r="K72" s="183"/>
      <c r="M72" s="344"/>
      <c r="O72" s="37"/>
    </row>
    <row r="73" spans="1:15" ht="16.5" customHeight="1">
      <c r="A73" s="469"/>
      <c r="B73" s="348" t="s">
        <v>96</v>
      </c>
      <c r="C73" s="101" t="str">
        <f>Glossary!B98</f>
        <v>Go live Schedule</v>
      </c>
      <c r="D73" s="402"/>
      <c r="E73" t="b">
        <f>IF(OR(D73="y",D73="n"), G73)</f>
        <v>0</v>
      </c>
      <c r="F73" s="51" t="str">
        <f>IF(D73 = "Y",E73, IF(D73="n",0, ""))</f>
        <v/>
      </c>
      <c r="G73" s="53">
        <v>20</v>
      </c>
      <c r="H73" s="400"/>
      <c r="I73" s="56"/>
      <c r="J73" s="191"/>
      <c r="K73" s="191"/>
      <c r="M73" s="344"/>
      <c r="O73" s="37"/>
    </row>
    <row r="74" spans="1:15" ht="16.5" hidden="1" customHeight="1">
      <c r="A74" s="478"/>
      <c r="B74" s="302"/>
      <c r="C74" s="374"/>
      <c r="D74" s="94">
        <f>COUNTA(D65:D73,K65:K70)/COUNTA(F65:F73,M65:M70)</f>
        <v>0</v>
      </c>
      <c r="E74" s="53">
        <f t="shared" ref="E74:F74" si="44">SUM(E65:E73)</f>
        <v>0</v>
      </c>
      <c r="F74" s="53">
        <f t="shared" si="44"/>
        <v>0</v>
      </c>
      <c r="G74" s="127"/>
      <c r="H74" s="94" t="str">
        <f>IFERROR(AVERAGE(H65:H73),"")</f>
        <v/>
      </c>
      <c r="I74" s="56"/>
      <c r="J74" s="128"/>
      <c r="K74" s="129"/>
      <c r="L74">
        <f t="shared" ref="L74:M74" si="45">SUM(L65:L70)</f>
        <v>0</v>
      </c>
      <c r="M74">
        <f t="shared" si="45"/>
        <v>0</v>
      </c>
    </row>
    <row r="75" spans="1:15" ht="24" customHeight="1">
      <c r="A75" s="211"/>
      <c r="B75" s="211"/>
      <c r="C75" s="211"/>
      <c r="D75" s="211"/>
      <c r="E75" s="211"/>
      <c r="F75" s="211"/>
      <c r="G75" s="211"/>
      <c r="H75" s="211"/>
      <c r="I75" s="37"/>
      <c r="J75" s="211"/>
      <c r="K75" s="211"/>
      <c r="L75" s="37"/>
      <c r="M75" s="376"/>
      <c r="N75" s="37"/>
      <c r="O75" s="37"/>
    </row>
    <row r="76" spans="1:15" ht="12.75" customHeight="1">
      <c r="A76" s="212"/>
      <c r="B76" s="212"/>
      <c r="C76" s="212"/>
      <c r="D76" s="212"/>
      <c r="E76" s="212"/>
      <c r="F76" s="212"/>
      <c r="G76" s="212"/>
      <c r="H76" s="212"/>
      <c r="J76" s="212"/>
      <c r="K76" s="212"/>
      <c r="M76" s="344"/>
    </row>
    <row r="77" spans="1:15" ht="12.75" customHeight="1">
      <c r="A77" s="212"/>
      <c r="B77" s="212"/>
      <c r="C77" s="212"/>
      <c r="D77" s="212"/>
      <c r="E77" s="212"/>
      <c r="F77" s="212"/>
      <c r="G77" s="212"/>
      <c r="H77" s="212"/>
      <c r="J77" s="212"/>
      <c r="K77" s="212"/>
      <c r="M77" s="344"/>
    </row>
    <row r="78" spans="1:15" ht="12.75" customHeight="1">
      <c r="A78" s="212"/>
      <c r="B78" s="212"/>
      <c r="C78" s="212"/>
      <c r="D78" s="212"/>
      <c r="E78" s="212"/>
      <c r="F78" s="212"/>
      <c r="G78" s="212"/>
      <c r="H78" s="212"/>
      <c r="J78" s="212"/>
      <c r="K78" s="212"/>
      <c r="M78" s="344"/>
    </row>
    <row r="79" spans="1:15" ht="12.75" customHeight="1">
      <c r="A79" s="212"/>
      <c r="B79" s="212"/>
      <c r="C79" s="212"/>
      <c r="D79" s="212"/>
      <c r="E79" s="212"/>
      <c r="F79" s="212"/>
      <c r="G79" s="212"/>
      <c r="H79" s="212"/>
      <c r="J79" s="212"/>
      <c r="K79" s="212"/>
      <c r="M79" s="344"/>
    </row>
    <row r="80" spans="1:15" ht="12.75" customHeight="1">
      <c r="A80" s="212"/>
      <c r="B80" s="212"/>
      <c r="C80" s="212"/>
      <c r="D80" s="213"/>
      <c r="E80" s="213"/>
      <c r="F80" s="213"/>
      <c r="G80" s="213"/>
      <c r="H80" s="213"/>
      <c r="I80" s="214"/>
      <c r="J80" s="213"/>
      <c r="K80" s="212"/>
      <c r="M80" s="344"/>
    </row>
    <row r="81" spans="1:13" ht="12.75" customHeight="1">
      <c r="A81" s="212"/>
      <c r="B81" s="212"/>
      <c r="C81" s="212"/>
      <c r="D81" s="212"/>
      <c r="E81" s="212"/>
      <c r="F81" s="212"/>
      <c r="G81" s="212"/>
      <c r="H81" s="212"/>
      <c r="J81" s="212"/>
      <c r="K81" s="212"/>
      <c r="M81" s="344"/>
    </row>
    <row r="82" spans="1:13" ht="12.75" customHeight="1">
      <c r="A82" s="212"/>
      <c r="B82" s="212"/>
      <c r="C82" s="212"/>
      <c r="D82" s="212"/>
      <c r="E82" s="212"/>
      <c r="F82" s="212"/>
      <c r="G82" s="212"/>
      <c r="H82" s="212"/>
      <c r="J82" s="212"/>
      <c r="K82" s="212"/>
      <c r="M82" s="344"/>
    </row>
    <row r="83" spans="1:13" ht="12.75" customHeight="1">
      <c r="A83" s="212"/>
      <c r="B83" s="212"/>
      <c r="C83" s="212"/>
      <c r="D83" s="212"/>
      <c r="E83" s="212"/>
      <c r="F83" s="212"/>
      <c r="G83" s="212"/>
      <c r="H83" s="212"/>
      <c r="J83" s="212"/>
      <c r="K83" s="212"/>
      <c r="M83" s="344"/>
    </row>
    <row r="84" spans="1:13" ht="12.75" customHeight="1">
      <c r="A84" s="212"/>
      <c r="B84" s="212"/>
      <c r="C84" s="212"/>
      <c r="D84" s="212"/>
      <c r="E84" s="212"/>
      <c r="F84" s="212"/>
      <c r="G84" s="212"/>
      <c r="H84" s="212"/>
      <c r="J84" s="212"/>
      <c r="K84" s="212"/>
      <c r="M84" s="344"/>
    </row>
    <row r="85" spans="1:13" ht="12.75" customHeight="1">
      <c r="A85" s="212"/>
      <c r="B85" s="212"/>
      <c r="C85" s="212"/>
      <c r="D85" s="212"/>
      <c r="E85" s="212"/>
      <c r="F85" s="212"/>
      <c r="G85" s="212"/>
      <c r="H85" s="212"/>
      <c r="J85" s="212"/>
      <c r="K85" s="212"/>
      <c r="M85" s="344"/>
    </row>
    <row r="86" spans="1:13" ht="12.75" customHeight="1">
      <c r="A86" s="212"/>
      <c r="B86" s="212"/>
      <c r="C86" s="212"/>
      <c r="D86" s="212"/>
      <c r="E86" s="212"/>
      <c r="F86" s="212"/>
      <c r="G86" s="212"/>
      <c r="H86" s="212"/>
      <c r="J86" s="212"/>
      <c r="K86" s="212"/>
      <c r="M86" s="344"/>
    </row>
    <row r="87" spans="1:13" ht="12.75" customHeight="1">
      <c r="A87" s="212"/>
      <c r="B87" s="212"/>
      <c r="C87" s="212"/>
      <c r="D87" s="212"/>
      <c r="E87" s="212"/>
      <c r="F87" s="212"/>
      <c r="G87" s="212"/>
      <c r="H87" s="212"/>
      <c r="J87" s="212"/>
      <c r="K87" s="212"/>
      <c r="M87" s="344"/>
    </row>
    <row r="88" spans="1:13" ht="12.75" customHeight="1">
      <c r="A88" s="212"/>
      <c r="B88" s="212"/>
      <c r="C88" s="212"/>
      <c r="D88" s="212"/>
      <c r="E88" s="212"/>
      <c r="F88" s="212"/>
      <c r="G88" s="212"/>
      <c r="H88" s="212"/>
      <c r="J88" s="212"/>
      <c r="K88" s="212"/>
      <c r="M88" s="344"/>
    </row>
    <row r="89" spans="1:13" ht="12.75" customHeight="1">
      <c r="A89" s="212"/>
      <c r="B89" s="212"/>
      <c r="C89" s="212"/>
      <c r="D89" s="212"/>
      <c r="E89" s="212"/>
      <c r="F89" s="212"/>
      <c r="G89" s="212"/>
      <c r="H89" s="212"/>
      <c r="J89" s="212"/>
      <c r="K89" s="212"/>
      <c r="M89" s="344"/>
    </row>
    <row r="90" spans="1:13" ht="12.75" customHeight="1">
      <c r="A90" s="212"/>
      <c r="B90" s="212"/>
      <c r="C90" s="212"/>
      <c r="D90" s="212"/>
      <c r="E90" s="212"/>
      <c r="F90" s="212"/>
      <c r="G90" s="212"/>
      <c r="H90" s="212"/>
      <c r="J90" s="212"/>
      <c r="K90" s="212"/>
      <c r="M90" s="344"/>
    </row>
    <row r="91" spans="1:13" ht="12.75" customHeight="1">
      <c r="A91" s="212"/>
      <c r="B91" s="212"/>
      <c r="C91" s="212"/>
      <c r="D91" s="212"/>
      <c r="E91" s="212"/>
      <c r="F91" s="212"/>
      <c r="G91" s="212"/>
      <c r="H91" s="212"/>
      <c r="J91" s="212"/>
      <c r="K91" s="212"/>
      <c r="M91" s="344"/>
    </row>
    <row r="92" spans="1:13" ht="12.75" customHeight="1">
      <c r="A92" s="212"/>
      <c r="B92" s="212"/>
      <c r="C92" s="212"/>
      <c r="D92" s="212"/>
      <c r="E92" s="212"/>
      <c r="F92" s="212"/>
      <c r="G92" s="212"/>
      <c r="H92" s="212"/>
      <c r="J92" s="212"/>
      <c r="K92" s="212"/>
      <c r="M92" s="344"/>
    </row>
    <row r="93" spans="1:13" ht="12.75" customHeight="1">
      <c r="A93" s="212"/>
      <c r="B93" s="212"/>
      <c r="C93" s="212"/>
      <c r="D93" s="212"/>
      <c r="E93" s="212"/>
      <c r="F93" s="212"/>
      <c r="G93" s="212"/>
      <c r="H93" s="212"/>
      <c r="J93" s="212"/>
      <c r="K93" s="212"/>
      <c r="M93" s="344"/>
    </row>
    <row r="94" spans="1:13" ht="12.75" customHeight="1">
      <c r="A94" s="212"/>
      <c r="B94" s="212"/>
      <c r="C94" s="212"/>
      <c r="D94" s="212"/>
      <c r="E94" s="212"/>
      <c r="F94" s="212"/>
      <c r="G94" s="212"/>
      <c r="H94" s="212"/>
      <c r="J94" s="212"/>
      <c r="K94" s="212"/>
      <c r="M94" s="344"/>
    </row>
    <row r="95" spans="1:13" ht="12.75" customHeight="1">
      <c r="A95" s="212"/>
      <c r="B95" s="212"/>
      <c r="C95" s="212"/>
      <c r="D95" s="212"/>
      <c r="E95" s="212"/>
      <c r="F95" s="212"/>
      <c r="G95" s="212"/>
      <c r="H95" s="212"/>
      <c r="J95" s="212"/>
      <c r="K95" s="212"/>
      <c r="M95" s="344"/>
    </row>
    <row r="96" spans="1:13" ht="12.75" customHeight="1">
      <c r="A96" s="212"/>
      <c r="B96" s="212"/>
      <c r="C96" s="212"/>
      <c r="D96" s="212"/>
      <c r="E96" s="212"/>
      <c r="F96" s="212"/>
      <c r="G96" s="212"/>
      <c r="H96" s="212"/>
      <c r="J96" s="212"/>
      <c r="K96" s="212"/>
      <c r="M96" s="344"/>
    </row>
    <row r="97" spans="1:13" ht="12.75" customHeight="1">
      <c r="A97" s="212"/>
      <c r="B97" s="212"/>
      <c r="C97" s="212"/>
      <c r="D97" s="212"/>
      <c r="E97" s="212"/>
      <c r="F97" s="212"/>
      <c r="G97" s="212"/>
      <c r="H97" s="212"/>
      <c r="J97" s="212"/>
      <c r="K97" s="212"/>
      <c r="M97" s="344"/>
    </row>
    <row r="98" spans="1:13" ht="12.75" customHeight="1">
      <c r="A98" s="212"/>
      <c r="B98" s="212"/>
      <c r="C98" s="212"/>
      <c r="D98" s="212"/>
      <c r="E98" s="212"/>
      <c r="F98" s="212"/>
      <c r="G98" s="212"/>
      <c r="H98" s="212"/>
      <c r="J98" s="212"/>
      <c r="K98" s="212"/>
      <c r="M98" s="344"/>
    </row>
    <row r="99" spans="1:13" ht="12.75" customHeight="1">
      <c r="A99" s="212"/>
      <c r="B99" s="212"/>
      <c r="C99" s="212"/>
      <c r="D99" s="212"/>
      <c r="E99" s="212"/>
      <c r="F99" s="212"/>
      <c r="G99" s="212"/>
      <c r="H99" s="212"/>
      <c r="J99" s="212"/>
      <c r="K99" s="212"/>
      <c r="M99" s="344"/>
    </row>
    <row r="100" spans="1:13" ht="12.75" customHeight="1">
      <c r="A100" s="212"/>
      <c r="B100" s="212"/>
      <c r="C100" s="212"/>
      <c r="D100" s="212"/>
      <c r="E100" s="212"/>
      <c r="F100" s="212"/>
      <c r="G100" s="212"/>
      <c r="H100" s="212"/>
      <c r="J100" s="212"/>
      <c r="K100" s="212"/>
      <c r="M100" s="344"/>
    </row>
    <row r="101" spans="1:13" ht="12.75" customHeight="1">
      <c r="A101" s="212"/>
      <c r="B101" s="212"/>
      <c r="C101" s="212"/>
      <c r="D101" s="212"/>
      <c r="E101" s="212"/>
      <c r="F101" s="212"/>
      <c r="G101" s="212"/>
      <c r="H101" s="212"/>
      <c r="J101" s="212"/>
      <c r="K101" s="212"/>
      <c r="M101" s="344"/>
    </row>
    <row r="102" spans="1:13" ht="12.75" customHeight="1">
      <c r="A102" s="212"/>
      <c r="B102" s="212"/>
      <c r="C102" s="212"/>
      <c r="D102" s="212"/>
      <c r="E102" s="212"/>
      <c r="F102" s="212"/>
      <c r="G102" s="212"/>
      <c r="H102" s="212"/>
      <c r="J102" s="212"/>
      <c r="K102" s="212"/>
      <c r="M102" s="344"/>
    </row>
    <row r="103" spans="1:13" ht="12.75" customHeight="1">
      <c r="A103" s="212"/>
      <c r="B103" s="212"/>
      <c r="C103" s="212"/>
      <c r="D103" s="212"/>
      <c r="E103" s="212"/>
      <c r="F103" s="212"/>
      <c r="G103" s="212"/>
      <c r="H103" s="212"/>
      <c r="J103" s="212"/>
      <c r="K103" s="212"/>
      <c r="M103" s="344"/>
    </row>
    <row r="104" spans="1:13" ht="12.75" customHeight="1">
      <c r="A104" s="212"/>
      <c r="B104" s="212"/>
      <c r="C104" s="212"/>
      <c r="D104" s="212"/>
      <c r="E104" s="212"/>
      <c r="F104" s="212"/>
      <c r="G104" s="212"/>
      <c r="H104" s="212"/>
      <c r="J104" s="212"/>
      <c r="K104" s="212"/>
      <c r="M104" s="344"/>
    </row>
    <row r="105" spans="1:13" ht="12.75" customHeight="1">
      <c r="A105" s="212"/>
      <c r="B105" s="212"/>
      <c r="C105" s="212"/>
      <c r="D105" s="212"/>
      <c r="E105" s="212"/>
      <c r="F105" s="212"/>
      <c r="G105" s="212"/>
      <c r="H105" s="212"/>
      <c r="J105" s="212"/>
      <c r="K105" s="212"/>
      <c r="M105" s="344"/>
    </row>
    <row r="106" spans="1:13" ht="12.75" customHeight="1">
      <c r="A106" s="212"/>
      <c r="B106" s="212"/>
      <c r="C106" s="212"/>
      <c r="D106" s="212"/>
      <c r="E106" s="212"/>
      <c r="F106" s="212"/>
      <c r="G106" s="212"/>
      <c r="H106" s="212"/>
      <c r="J106" s="212"/>
      <c r="K106" s="212"/>
      <c r="M106" s="344"/>
    </row>
    <row r="107" spans="1:13" ht="12.75" customHeight="1">
      <c r="A107" s="212"/>
      <c r="B107" s="212"/>
      <c r="C107" s="212"/>
      <c r="D107" s="212"/>
      <c r="E107" s="212"/>
      <c r="F107" s="212"/>
      <c r="G107" s="212"/>
      <c r="H107" s="212"/>
      <c r="J107" s="212"/>
      <c r="K107" s="212"/>
      <c r="M107" s="344"/>
    </row>
    <row r="108" spans="1:13" ht="12.75" customHeight="1">
      <c r="A108" s="212"/>
      <c r="B108" s="212"/>
      <c r="C108" s="212"/>
      <c r="D108" s="212"/>
      <c r="E108" s="212"/>
      <c r="F108" s="212"/>
      <c r="G108" s="212"/>
      <c r="H108" s="212"/>
      <c r="J108" s="212"/>
      <c r="K108" s="212"/>
      <c r="M108" s="344"/>
    </row>
    <row r="109" spans="1:13" ht="12.75" customHeight="1">
      <c r="A109" s="212"/>
      <c r="B109" s="212"/>
      <c r="C109" s="212"/>
      <c r="D109" s="212"/>
      <c r="E109" s="212"/>
      <c r="F109" s="212"/>
      <c r="G109" s="212"/>
      <c r="H109" s="212"/>
      <c r="J109" s="212"/>
      <c r="K109" s="212"/>
      <c r="M109" s="344"/>
    </row>
    <row r="110" spans="1:13" ht="12.75" customHeight="1">
      <c r="A110" s="212"/>
      <c r="B110" s="212"/>
      <c r="C110" s="212"/>
      <c r="D110" s="212"/>
      <c r="E110" s="212"/>
      <c r="F110" s="212"/>
      <c r="G110" s="212"/>
      <c r="H110" s="212"/>
      <c r="J110" s="212"/>
      <c r="K110" s="212"/>
      <c r="M110" s="344"/>
    </row>
    <row r="111" spans="1:13" ht="12.75" customHeight="1">
      <c r="A111" s="212"/>
      <c r="B111" s="212"/>
      <c r="C111" s="212"/>
      <c r="D111" s="212"/>
      <c r="E111" s="212"/>
      <c r="F111" s="212"/>
      <c r="G111" s="212"/>
      <c r="H111" s="212"/>
      <c r="J111" s="212"/>
      <c r="K111" s="212"/>
      <c r="M111" s="344"/>
    </row>
    <row r="112" spans="1:13" ht="12.75" customHeight="1">
      <c r="A112" s="212"/>
      <c r="B112" s="212"/>
      <c r="C112" s="212"/>
      <c r="D112" s="212"/>
      <c r="E112" s="212"/>
      <c r="F112" s="212"/>
      <c r="G112" s="212"/>
      <c r="H112" s="212"/>
      <c r="J112" s="212"/>
      <c r="K112" s="212"/>
      <c r="M112" s="344"/>
    </row>
    <row r="113" spans="1:13" ht="12.75" customHeight="1">
      <c r="A113" s="212"/>
      <c r="B113" s="212"/>
      <c r="C113" s="212"/>
      <c r="D113" s="212"/>
      <c r="E113" s="212"/>
      <c r="F113" s="212"/>
      <c r="G113" s="212"/>
      <c r="H113" s="212"/>
      <c r="J113" s="212"/>
      <c r="K113" s="212"/>
      <c r="M113" s="344"/>
    </row>
    <row r="114" spans="1:13" ht="12.75" customHeight="1">
      <c r="A114" s="212"/>
      <c r="B114" s="212"/>
      <c r="C114" s="212"/>
      <c r="D114" s="212"/>
      <c r="E114" s="212"/>
      <c r="F114" s="212"/>
      <c r="G114" s="212"/>
      <c r="H114" s="212"/>
      <c r="J114" s="212"/>
      <c r="K114" s="212"/>
      <c r="M114" s="344"/>
    </row>
    <row r="115" spans="1:13" ht="12.75" customHeight="1">
      <c r="A115" s="212"/>
      <c r="B115" s="212"/>
      <c r="C115" s="212"/>
      <c r="D115" s="212"/>
      <c r="E115" s="212"/>
      <c r="F115" s="212"/>
      <c r="G115" s="212"/>
      <c r="H115" s="212"/>
      <c r="J115" s="212"/>
      <c r="K115" s="212"/>
      <c r="M115" s="344"/>
    </row>
    <row r="116" spans="1:13" ht="12.75" customHeight="1">
      <c r="A116" s="212"/>
      <c r="B116" s="212"/>
      <c r="C116" s="212"/>
      <c r="D116" s="212"/>
      <c r="E116" s="212"/>
      <c r="F116" s="212"/>
      <c r="G116" s="212"/>
      <c r="H116" s="212"/>
      <c r="J116" s="212"/>
      <c r="K116" s="212"/>
      <c r="M116" s="344"/>
    </row>
    <row r="117" spans="1:13" ht="12.75" customHeight="1">
      <c r="A117" s="212"/>
      <c r="B117" s="212"/>
      <c r="C117" s="212"/>
      <c r="D117" s="212"/>
      <c r="E117" s="212"/>
      <c r="F117" s="212"/>
      <c r="G117" s="212"/>
      <c r="H117" s="212"/>
      <c r="J117" s="212"/>
      <c r="K117" s="212"/>
      <c r="M117" s="344"/>
    </row>
    <row r="118" spans="1:13" ht="12.75" customHeight="1">
      <c r="A118" s="212"/>
      <c r="B118" s="212"/>
      <c r="C118" s="212"/>
      <c r="D118" s="212"/>
      <c r="E118" s="212"/>
      <c r="F118" s="212"/>
      <c r="G118" s="212"/>
      <c r="H118" s="212"/>
      <c r="J118" s="212"/>
      <c r="K118" s="212"/>
      <c r="M118" s="344"/>
    </row>
    <row r="119" spans="1:13" ht="12.75" customHeight="1">
      <c r="A119" s="212"/>
      <c r="B119" s="212"/>
      <c r="C119" s="212"/>
      <c r="D119" s="212"/>
      <c r="E119" s="212"/>
      <c r="F119" s="212"/>
      <c r="G119" s="212"/>
      <c r="H119" s="212"/>
      <c r="J119" s="212"/>
      <c r="K119" s="212"/>
      <c r="M119" s="344"/>
    </row>
    <row r="120" spans="1:13" ht="12.75" customHeight="1">
      <c r="A120" s="212"/>
      <c r="B120" s="212"/>
      <c r="C120" s="212"/>
      <c r="D120" s="212"/>
      <c r="E120" s="212"/>
      <c r="F120" s="212"/>
      <c r="G120" s="212"/>
      <c r="H120" s="212"/>
      <c r="J120" s="212"/>
      <c r="K120" s="212"/>
      <c r="M120" s="344"/>
    </row>
    <row r="121" spans="1:13" ht="12.75" customHeight="1">
      <c r="A121" s="212"/>
      <c r="B121" s="212"/>
      <c r="C121" s="212"/>
      <c r="D121" s="212"/>
      <c r="E121" s="212"/>
      <c r="F121" s="212"/>
      <c r="G121" s="212"/>
      <c r="H121" s="212"/>
      <c r="J121" s="212"/>
      <c r="K121" s="212"/>
      <c r="M121" s="344"/>
    </row>
    <row r="122" spans="1:13" ht="12.75" customHeight="1">
      <c r="A122" s="212"/>
      <c r="B122" s="212"/>
      <c r="C122" s="212"/>
      <c r="D122" s="212"/>
      <c r="E122" s="212"/>
      <c r="F122" s="212"/>
      <c r="G122" s="212"/>
      <c r="H122" s="212"/>
      <c r="J122" s="212"/>
      <c r="K122" s="212"/>
      <c r="M122" s="344"/>
    </row>
    <row r="123" spans="1:13" ht="12.75" customHeight="1">
      <c r="A123" s="212"/>
      <c r="B123" s="212"/>
      <c r="C123" s="212"/>
      <c r="D123" s="212"/>
      <c r="E123" s="212"/>
      <c r="F123" s="212"/>
      <c r="G123" s="212"/>
      <c r="H123" s="212"/>
      <c r="J123" s="212"/>
      <c r="K123" s="212"/>
      <c r="M123" s="344"/>
    </row>
    <row r="124" spans="1:13" ht="12.75" customHeight="1">
      <c r="A124" s="212"/>
      <c r="B124" s="212"/>
      <c r="C124" s="212"/>
      <c r="D124" s="212"/>
      <c r="E124" s="212"/>
      <c r="F124" s="212"/>
      <c r="G124" s="212"/>
      <c r="H124" s="212"/>
      <c r="J124" s="212"/>
      <c r="K124" s="212"/>
      <c r="M124" s="344"/>
    </row>
    <row r="125" spans="1:13" ht="12.75" customHeight="1">
      <c r="A125" s="212"/>
      <c r="B125" s="212"/>
      <c r="C125" s="212"/>
      <c r="D125" s="212"/>
      <c r="E125" s="212"/>
      <c r="F125" s="212"/>
      <c r="G125" s="212"/>
      <c r="H125" s="212"/>
      <c r="J125" s="212"/>
      <c r="K125" s="212"/>
      <c r="M125" s="344"/>
    </row>
    <row r="126" spans="1:13" ht="12.75" customHeight="1">
      <c r="A126" s="212"/>
      <c r="B126" s="212"/>
      <c r="C126" s="212"/>
      <c r="D126" s="212"/>
      <c r="E126" s="212"/>
      <c r="F126" s="212"/>
      <c r="G126" s="212"/>
      <c r="H126" s="212"/>
      <c r="J126" s="212"/>
      <c r="K126" s="212"/>
      <c r="M126" s="344"/>
    </row>
    <row r="127" spans="1:13" ht="12.75" customHeight="1">
      <c r="A127" s="212"/>
      <c r="B127" s="212"/>
      <c r="C127" s="212"/>
      <c r="D127" s="212"/>
      <c r="E127" s="212"/>
      <c r="F127" s="212"/>
      <c r="G127" s="212"/>
      <c r="H127" s="212"/>
      <c r="J127" s="212"/>
      <c r="K127" s="212"/>
      <c r="M127" s="344"/>
    </row>
    <row r="128" spans="1:13" ht="12.75" customHeight="1">
      <c r="A128" s="212"/>
      <c r="B128" s="212"/>
      <c r="C128" s="212"/>
      <c r="D128" s="212"/>
      <c r="E128" s="212"/>
      <c r="F128" s="212"/>
      <c r="G128" s="212"/>
      <c r="H128" s="212"/>
      <c r="J128" s="212"/>
      <c r="K128" s="212"/>
      <c r="M128" s="344"/>
    </row>
    <row r="129" spans="1:13" ht="12.75" customHeight="1">
      <c r="A129" s="212"/>
      <c r="B129" s="212"/>
      <c r="C129" s="212"/>
      <c r="D129" s="212"/>
      <c r="E129" s="212"/>
      <c r="F129" s="212"/>
      <c r="G129" s="212"/>
      <c r="H129" s="212"/>
      <c r="J129" s="212"/>
      <c r="K129" s="212"/>
      <c r="M129" s="344"/>
    </row>
    <row r="130" spans="1:13" ht="12.75" customHeight="1">
      <c r="A130" s="212"/>
      <c r="B130" s="212"/>
      <c r="C130" s="212"/>
      <c r="D130" s="212"/>
      <c r="E130" s="212"/>
      <c r="F130" s="212"/>
      <c r="G130" s="212"/>
      <c r="H130" s="212"/>
      <c r="J130" s="212"/>
      <c r="K130" s="212"/>
      <c r="M130" s="344"/>
    </row>
    <row r="131" spans="1:13" ht="12.75" customHeight="1">
      <c r="A131" s="212"/>
      <c r="B131" s="212"/>
      <c r="C131" s="212"/>
      <c r="D131" s="212"/>
      <c r="E131" s="212"/>
      <c r="F131" s="212"/>
      <c r="G131" s="212"/>
      <c r="H131" s="212"/>
      <c r="J131" s="212"/>
      <c r="K131" s="212"/>
      <c r="M131" s="344"/>
    </row>
    <row r="132" spans="1:13" ht="12.75" customHeight="1">
      <c r="A132" s="212"/>
      <c r="B132" s="212"/>
      <c r="C132" s="212"/>
      <c r="D132" s="212"/>
      <c r="E132" s="212"/>
      <c r="F132" s="212"/>
      <c r="G132" s="212"/>
      <c r="H132" s="212"/>
      <c r="J132" s="212"/>
      <c r="K132" s="212"/>
      <c r="M132" s="344"/>
    </row>
    <row r="133" spans="1:13" ht="12.75" customHeight="1">
      <c r="A133" s="212"/>
      <c r="B133" s="212"/>
      <c r="C133" s="212"/>
      <c r="D133" s="212"/>
      <c r="E133" s="212"/>
      <c r="F133" s="212"/>
      <c r="G133" s="212"/>
      <c r="H133" s="212"/>
      <c r="J133" s="212"/>
      <c r="K133" s="212"/>
      <c r="M133" s="344"/>
    </row>
    <row r="134" spans="1:13" ht="12.75" customHeight="1">
      <c r="A134" s="212"/>
      <c r="B134" s="212"/>
      <c r="C134" s="212"/>
      <c r="D134" s="212"/>
      <c r="E134" s="212"/>
      <c r="F134" s="212"/>
      <c r="G134" s="212"/>
      <c r="H134" s="212"/>
      <c r="J134" s="212"/>
      <c r="K134" s="212"/>
      <c r="M134" s="344"/>
    </row>
    <row r="135" spans="1:13" ht="12.75" customHeight="1">
      <c r="A135" s="212"/>
      <c r="B135" s="212"/>
      <c r="C135" s="212"/>
      <c r="D135" s="212"/>
      <c r="E135" s="212"/>
      <c r="F135" s="212"/>
      <c r="G135" s="212"/>
      <c r="H135" s="212"/>
      <c r="J135" s="212"/>
      <c r="K135" s="212"/>
      <c r="M135" s="344"/>
    </row>
    <row r="136" spans="1:13" ht="12.75" customHeight="1">
      <c r="A136" s="212"/>
      <c r="B136" s="212"/>
      <c r="C136" s="212"/>
      <c r="D136" s="212"/>
      <c r="E136" s="212"/>
      <c r="F136" s="212"/>
      <c r="G136" s="212"/>
      <c r="H136" s="212"/>
      <c r="J136" s="212"/>
      <c r="K136" s="212"/>
      <c r="M136" s="344"/>
    </row>
    <row r="137" spans="1:13" ht="12.75" customHeight="1">
      <c r="A137" s="212"/>
      <c r="B137" s="212"/>
      <c r="C137" s="212"/>
      <c r="D137" s="212"/>
      <c r="E137" s="212"/>
      <c r="F137" s="212"/>
      <c r="G137" s="212"/>
      <c r="H137" s="212"/>
      <c r="J137" s="212"/>
      <c r="K137" s="212"/>
      <c r="M137" s="344"/>
    </row>
    <row r="138" spans="1:13" ht="12.75" customHeight="1">
      <c r="A138" s="212"/>
      <c r="B138" s="212"/>
      <c r="C138" s="212"/>
      <c r="D138" s="212"/>
      <c r="E138" s="212"/>
      <c r="F138" s="212"/>
      <c r="G138" s="212"/>
      <c r="H138" s="212"/>
      <c r="J138" s="212"/>
      <c r="K138" s="212"/>
      <c r="M138" s="344"/>
    </row>
    <row r="139" spans="1:13" ht="12.75" customHeight="1">
      <c r="A139" s="212"/>
      <c r="B139" s="212"/>
      <c r="C139" s="212"/>
      <c r="D139" s="212"/>
      <c r="E139" s="212"/>
      <c r="F139" s="212"/>
      <c r="G139" s="212"/>
      <c r="H139" s="212"/>
      <c r="J139" s="212"/>
      <c r="K139" s="212"/>
      <c r="M139" s="344"/>
    </row>
    <row r="140" spans="1:13" ht="12.75" customHeight="1">
      <c r="A140" s="212"/>
      <c r="B140" s="212"/>
      <c r="C140" s="212"/>
      <c r="D140" s="212"/>
      <c r="E140" s="212"/>
      <c r="F140" s="212"/>
      <c r="G140" s="212"/>
      <c r="H140" s="212"/>
      <c r="J140" s="212"/>
      <c r="K140" s="212"/>
      <c r="M140" s="344"/>
    </row>
    <row r="141" spans="1:13" ht="12.75" customHeight="1">
      <c r="A141" s="212"/>
      <c r="B141" s="212"/>
      <c r="C141" s="212"/>
      <c r="D141" s="212"/>
      <c r="E141" s="212"/>
      <c r="F141" s="212"/>
      <c r="G141" s="212"/>
      <c r="H141" s="212"/>
      <c r="J141" s="212"/>
      <c r="K141" s="212"/>
      <c r="M141" s="344"/>
    </row>
    <row r="142" spans="1:13" ht="12.75" customHeight="1">
      <c r="A142" s="212"/>
      <c r="B142" s="212"/>
      <c r="C142" s="212"/>
      <c r="D142" s="212"/>
      <c r="E142" s="212"/>
      <c r="F142" s="212"/>
      <c r="G142" s="212"/>
      <c r="H142" s="212"/>
      <c r="J142" s="212"/>
      <c r="K142" s="212"/>
      <c r="M142" s="344"/>
    </row>
    <row r="143" spans="1:13" ht="12.75" customHeight="1">
      <c r="A143" s="212"/>
      <c r="B143" s="212"/>
      <c r="C143" s="212"/>
      <c r="D143" s="212"/>
      <c r="E143" s="212"/>
      <c r="F143" s="212"/>
      <c r="G143" s="212"/>
      <c r="H143" s="212"/>
      <c r="J143" s="212"/>
      <c r="K143" s="212"/>
      <c r="M143" s="344"/>
    </row>
    <row r="144" spans="1:13" ht="12.75" customHeight="1">
      <c r="A144" s="212"/>
      <c r="B144" s="212"/>
      <c r="C144" s="212"/>
      <c r="D144" s="212"/>
      <c r="E144" s="212"/>
      <c r="F144" s="212"/>
      <c r="G144" s="212"/>
      <c r="H144" s="212"/>
      <c r="J144" s="212"/>
      <c r="K144" s="212"/>
      <c r="M144" s="344"/>
    </row>
    <row r="145" spans="1:13" ht="12.75" customHeight="1">
      <c r="A145" s="212"/>
      <c r="B145" s="212"/>
      <c r="C145" s="212"/>
      <c r="D145" s="212"/>
      <c r="E145" s="212"/>
      <c r="F145" s="212"/>
      <c r="G145" s="212"/>
      <c r="H145" s="212"/>
      <c r="J145" s="212"/>
      <c r="K145" s="212"/>
      <c r="M145" s="344"/>
    </row>
    <row r="146" spans="1:13" ht="12.75" customHeight="1">
      <c r="A146" s="212"/>
      <c r="B146" s="212"/>
      <c r="C146" s="212"/>
      <c r="D146" s="212"/>
      <c r="E146" s="212"/>
      <c r="F146" s="212"/>
      <c r="G146" s="212"/>
      <c r="H146" s="212"/>
      <c r="J146" s="212"/>
      <c r="K146" s="212"/>
      <c r="M146" s="344"/>
    </row>
    <row r="147" spans="1:13" ht="12.75" customHeight="1">
      <c r="A147" s="212"/>
      <c r="B147" s="212"/>
      <c r="C147" s="212"/>
      <c r="D147" s="212"/>
      <c r="E147" s="212"/>
      <c r="F147" s="212"/>
      <c r="G147" s="212"/>
      <c r="H147" s="212"/>
      <c r="J147" s="212"/>
      <c r="K147" s="212"/>
      <c r="M147" s="344"/>
    </row>
    <row r="148" spans="1:13" ht="12.75" customHeight="1">
      <c r="A148" s="212"/>
      <c r="B148" s="212"/>
      <c r="C148" s="212"/>
      <c r="D148" s="212"/>
      <c r="E148" s="212"/>
      <c r="F148" s="212"/>
      <c r="G148" s="212"/>
      <c r="H148" s="212"/>
      <c r="J148" s="212"/>
      <c r="K148" s="212"/>
      <c r="M148" s="344"/>
    </row>
    <row r="149" spans="1:13" ht="12.75" customHeight="1">
      <c r="A149" s="212"/>
      <c r="B149" s="212"/>
      <c r="C149" s="212"/>
      <c r="D149" s="212"/>
      <c r="E149" s="212"/>
      <c r="F149" s="212"/>
      <c r="G149" s="212"/>
      <c r="H149" s="212"/>
      <c r="J149" s="212"/>
      <c r="K149" s="212"/>
      <c r="M149" s="344"/>
    </row>
    <row r="150" spans="1:13" ht="12.75" customHeight="1">
      <c r="A150" s="212"/>
      <c r="B150" s="212"/>
      <c r="C150" s="212"/>
      <c r="D150" s="212"/>
      <c r="E150" s="212"/>
      <c r="F150" s="212"/>
      <c r="G150" s="212"/>
      <c r="H150" s="212"/>
      <c r="J150" s="212"/>
      <c r="K150" s="212"/>
      <c r="M150" s="344"/>
    </row>
    <row r="151" spans="1:13" ht="12.75" customHeight="1">
      <c r="A151" s="212"/>
      <c r="B151" s="212"/>
      <c r="C151" s="212"/>
      <c r="D151" s="212"/>
      <c r="E151" s="212"/>
      <c r="F151" s="212"/>
      <c r="G151" s="212"/>
      <c r="H151" s="212"/>
      <c r="J151" s="212"/>
      <c r="K151" s="212"/>
      <c r="M151" s="344"/>
    </row>
    <row r="152" spans="1:13" ht="12.75" customHeight="1">
      <c r="A152" s="212"/>
      <c r="B152" s="212"/>
      <c r="C152" s="212"/>
      <c r="D152" s="212"/>
      <c r="E152" s="212"/>
      <c r="F152" s="212"/>
      <c r="G152" s="212"/>
      <c r="H152" s="212"/>
      <c r="J152" s="212"/>
      <c r="K152" s="212"/>
      <c r="M152" s="344"/>
    </row>
    <row r="153" spans="1:13" ht="12.75" customHeight="1">
      <c r="A153" s="212"/>
      <c r="B153" s="212"/>
      <c r="C153" s="212"/>
      <c r="D153" s="212"/>
      <c r="E153" s="212"/>
      <c r="F153" s="212"/>
      <c r="G153" s="212"/>
      <c r="H153" s="212"/>
      <c r="J153" s="212"/>
      <c r="K153" s="212"/>
      <c r="M153" s="344"/>
    </row>
    <row r="154" spans="1:13" ht="12.75" customHeight="1">
      <c r="A154" s="212"/>
      <c r="B154" s="212"/>
      <c r="C154" s="212"/>
      <c r="D154" s="212"/>
      <c r="E154" s="212"/>
      <c r="F154" s="212"/>
      <c r="G154" s="212"/>
      <c r="H154" s="212"/>
      <c r="J154" s="212"/>
      <c r="K154" s="212"/>
      <c r="M154" s="344"/>
    </row>
    <row r="155" spans="1:13" ht="12.75" customHeight="1">
      <c r="A155" s="212"/>
      <c r="B155" s="212"/>
      <c r="C155" s="212"/>
      <c r="D155" s="212"/>
      <c r="E155" s="212"/>
      <c r="F155" s="212"/>
      <c r="G155" s="212"/>
      <c r="H155" s="212"/>
      <c r="J155" s="212"/>
      <c r="K155" s="212"/>
      <c r="M155" s="344"/>
    </row>
    <row r="156" spans="1:13" ht="12.75" customHeight="1">
      <c r="A156" s="212"/>
      <c r="B156" s="212"/>
      <c r="C156" s="212"/>
      <c r="D156" s="212"/>
      <c r="E156" s="212"/>
      <c r="F156" s="212"/>
      <c r="G156" s="212"/>
      <c r="H156" s="212"/>
      <c r="J156" s="212"/>
      <c r="K156" s="212"/>
      <c r="M156" s="344"/>
    </row>
    <row r="157" spans="1:13" ht="12.75" customHeight="1">
      <c r="A157" s="212"/>
      <c r="B157" s="212"/>
      <c r="C157" s="212"/>
      <c r="D157" s="212"/>
      <c r="E157" s="212"/>
      <c r="F157" s="212"/>
      <c r="G157" s="212"/>
      <c r="H157" s="212"/>
      <c r="J157" s="212"/>
      <c r="K157" s="212"/>
      <c r="M157" s="344"/>
    </row>
    <row r="158" spans="1:13" ht="12.75" customHeight="1">
      <c r="A158" s="212"/>
      <c r="B158" s="212"/>
      <c r="C158" s="212"/>
      <c r="D158" s="212"/>
      <c r="E158" s="212"/>
      <c r="F158" s="212"/>
      <c r="G158" s="212"/>
      <c r="H158" s="212"/>
      <c r="J158" s="212"/>
      <c r="K158" s="212"/>
      <c r="M158" s="344"/>
    </row>
    <row r="159" spans="1:13" ht="12.75" customHeight="1">
      <c r="A159" s="212"/>
      <c r="B159" s="212"/>
      <c r="C159" s="212"/>
      <c r="D159" s="212"/>
      <c r="E159" s="212"/>
      <c r="F159" s="212"/>
      <c r="G159" s="212"/>
      <c r="H159" s="212"/>
      <c r="J159" s="212"/>
      <c r="K159" s="212"/>
      <c r="M159" s="344"/>
    </row>
    <row r="160" spans="1:13" ht="12.75" customHeight="1">
      <c r="A160" s="212"/>
      <c r="B160" s="212"/>
      <c r="C160" s="212"/>
      <c r="D160" s="212"/>
      <c r="E160" s="212"/>
      <c r="F160" s="212"/>
      <c r="G160" s="212"/>
      <c r="H160" s="212"/>
      <c r="J160" s="212"/>
      <c r="K160" s="212"/>
      <c r="M160" s="344"/>
    </row>
    <row r="161" spans="1:13" ht="12.75" customHeight="1">
      <c r="A161" s="212"/>
      <c r="B161" s="212"/>
      <c r="C161" s="212"/>
      <c r="D161" s="212"/>
      <c r="E161" s="212"/>
      <c r="F161" s="212"/>
      <c r="G161" s="212"/>
      <c r="H161" s="212"/>
      <c r="J161" s="212"/>
      <c r="K161" s="212"/>
      <c r="M161" s="344"/>
    </row>
    <row r="162" spans="1:13" ht="12.75" customHeight="1">
      <c r="A162" s="212"/>
      <c r="B162" s="212"/>
      <c r="C162" s="212"/>
      <c r="D162" s="212"/>
      <c r="E162" s="212"/>
      <c r="F162" s="212"/>
      <c r="G162" s="212"/>
      <c r="H162" s="212"/>
      <c r="J162" s="212"/>
      <c r="K162" s="212"/>
      <c r="M162" s="344"/>
    </row>
    <row r="163" spans="1:13" ht="12.75" customHeight="1">
      <c r="A163" s="212"/>
      <c r="B163" s="212"/>
      <c r="C163" s="212"/>
      <c r="D163" s="212"/>
      <c r="E163" s="212"/>
      <c r="F163" s="212"/>
      <c r="G163" s="212"/>
      <c r="H163" s="212"/>
      <c r="J163" s="212"/>
      <c r="K163" s="212"/>
      <c r="M163" s="344"/>
    </row>
    <row r="164" spans="1:13" ht="12.75" customHeight="1">
      <c r="A164" s="212"/>
      <c r="B164" s="212"/>
      <c r="C164" s="212"/>
      <c r="D164" s="212"/>
      <c r="E164" s="212"/>
      <c r="F164" s="212"/>
      <c r="G164" s="212"/>
      <c r="H164" s="212"/>
      <c r="J164" s="212"/>
      <c r="K164" s="212"/>
      <c r="M164" s="344"/>
    </row>
    <row r="165" spans="1:13" ht="12.75" customHeight="1">
      <c r="A165" s="212"/>
      <c r="B165" s="212"/>
      <c r="C165" s="212"/>
      <c r="D165" s="212"/>
      <c r="E165" s="212"/>
      <c r="F165" s="212"/>
      <c r="G165" s="212"/>
      <c r="H165" s="212"/>
      <c r="J165" s="212"/>
      <c r="K165" s="212"/>
      <c r="M165" s="344"/>
    </row>
    <row r="166" spans="1:13" ht="12.75" customHeight="1">
      <c r="A166" s="212"/>
      <c r="B166" s="212"/>
      <c r="C166" s="212"/>
      <c r="D166" s="212"/>
      <c r="E166" s="212"/>
      <c r="F166" s="212"/>
      <c r="G166" s="212"/>
      <c r="H166" s="212"/>
      <c r="J166" s="212"/>
      <c r="K166" s="212"/>
      <c r="M166" s="344"/>
    </row>
    <row r="167" spans="1:13" ht="12.75" customHeight="1">
      <c r="A167" s="212"/>
      <c r="B167" s="212"/>
      <c r="C167" s="212"/>
      <c r="D167" s="212"/>
      <c r="E167" s="212"/>
      <c r="F167" s="212"/>
      <c r="G167" s="212"/>
      <c r="H167" s="212"/>
      <c r="J167" s="212"/>
      <c r="K167" s="212"/>
      <c r="M167" s="344"/>
    </row>
    <row r="168" spans="1:13" ht="12.75" customHeight="1">
      <c r="A168" s="212"/>
      <c r="B168" s="212"/>
      <c r="C168" s="212"/>
      <c r="D168" s="212"/>
      <c r="E168" s="212"/>
      <c r="F168" s="212"/>
      <c r="G168" s="212"/>
      <c r="H168" s="212"/>
      <c r="J168" s="212"/>
      <c r="K168" s="212"/>
      <c r="M168" s="344"/>
    </row>
    <row r="169" spans="1:13" ht="12.75" customHeight="1">
      <c r="A169" s="212"/>
      <c r="B169" s="212"/>
      <c r="C169" s="212"/>
      <c r="D169" s="212"/>
      <c r="E169" s="212"/>
      <c r="F169" s="212"/>
      <c r="G169" s="212"/>
      <c r="H169" s="212"/>
      <c r="J169" s="212"/>
      <c r="K169" s="212"/>
      <c r="M169" s="344"/>
    </row>
    <row r="170" spans="1:13" ht="12.75" customHeight="1">
      <c r="A170" s="212"/>
      <c r="B170" s="212"/>
      <c r="C170" s="212"/>
      <c r="D170" s="212"/>
      <c r="E170" s="212"/>
      <c r="F170" s="212"/>
      <c r="G170" s="212"/>
      <c r="H170" s="212"/>
      <c r="J170" s="212"/>
      <c r="K170" s="212"/>
      <c r="M170" s="344"/>
    </row>
    <row r="171" spans="1:13" ht="12.75" customHeight="1">
      <c r="A171" s="212"/>
      <c r="B171" s="212"/>
      <c r="C171" s="212"/>
      <c r="D171" s="212"/>
      <c r="E171" s="212"/>
      <c r="F171" s="212"/>
      <c r="G171" s="212"/>
      <c r="H171" s="212"/>
      <c r="J171" s="212"/>
      <c r="K171" s="212"/>
      <c r="M171" s="344"/>
    </row>
    <row r="172" spans="1:13" ht="12.75" customHeight="1">
      <c r="A172" s="212"/>
      <c r="B172" s="212"/>
      <c r="C172" s="212"/>
      <c r="D172" s="212"/>
      <c r="E172" s="212"/>
      <c r="F172" s="212"/>
      <c r="G172" s="212"/>
      <c r="H172" s="212"/>
      <c r="J172" s="212"/>
      <c r="K172" s="212"/>
      <c r="M172" s="344"/>
    </row>
    <row r="173" spans="1:13" ht="12.75" customHeight="1">
      <c r="A173" s="212"/>
      <c r="B173" s="212"/>
      <c r="C173" s="212"/>
      <c r="D173" s="212"/>
      <c r="E173" s="212"/>
      <c r="F173" s="212"/>
      <c r="G173" s="212"/>
      <c r="H173" s="212"/>
      <c r="J173" s="212"/>
      <c r="K173" s="212"/>
      <c r="M173" s="344"/>
    </row>
    <row r="174" spans="1:13" ht="12.75" customHeight="1">
      <c r="A174" s="212"/>
      <c r="B174" s="212"/>
      <c r="C174" s="212"/>
      <c r="D174" s="212"/>
      <c r="E174" s="212"/>
      <c r="F174" s="212"/>
      <c r="G174" s="212"/>
      <c r="H174" s="212"/>
      <c r="J174" s="212"/>
      <c r="K174" s="212"/>
      <c r="M174" s="344"/>
    </row>
    <row r="175" spans="1:13" ht="12.75" customHeight="1">
      <c r="A175" s="212"/>
      <c r="B175" s="212"/>
      <c r="C175" s="212"/>
      <c r="D175" s="212"/>
      <c r="E175" s="212"/>
      <c r="F175" s="212"/>
      <c r="G175" s="212"/>
      <c r="H175" s="212"/>
      <c r="J175" s="212"/>
      <c r="K175" s="212"/>
      <c r="M175" s="344"/>
    </row>
    <row r="176" spans="1:13" ht="12.75" customHeight="1">
      <c r="A176" s="212"/>
      <c r="B176" s="212"/>
      <c r="C176" s="212"/>
      <c r="D176" s="212"/>
      <c r="E176" s="212"/>
      <c r="F176" s="212"/>
      <c r="G176" s="212"/>
      <c r="H176" s="212"/>
      <c r="J176" s="212"/>
      <c r="K176" s="212"/>
      <c r="M176" s="344"/>
    </row>
    <row r="177" spans="1:13" ht="12.75" customHeight="1">
      <c r="A177" s="212"/>
      <c r="B177" s="212"/>
      <c r="C177" s="212"/>
      <c r="D177" s="212"/>
      <c r="E177" s="212"/>
      <c r="F177" s="212"/>
      <c r="G177" s="212"/>
      <c r="H177" s="212"/>
      <c r="J177" s="212"/>
      <c r="K177" s="212"/>
      <c r="M177" s="344"/>
    </row>
    <row r="178" spans="1:13" ht="12.75" customHeight="1">
      <c r="A178" s="212"/>
      <c r="B178" s="212"/>
      <c r="C178" s="212"/>
      <c r="D178" s="212"/>
      <c r="E178" s="212"/>
      <c r="F178" s="212"/>
      <c r="G178" s="212"/>
      <c r="H178" s="212"/>
      <c r="J178" s="212"/>
      <c r="K178" s="212"/>
      <c r="M178" s="344"/>
    </row>
    <row r="179" spans="1:13" ht="12.75" customHeight="1">
      <c r="A179" s="212"/>
      <c r="B179" s="212"/>
      <c r="C179" s="212"/>
      <c r="D179" s="212"/>
      <c r="E179" s="212"/>
      <c r="F179" s="212"/>
      <c r="G179" s="212"/>
      <c r="H179" s="212"/>
      <c r="J179" s="212"/>
      <c r="K179" s="212"/>
      <c r="M179" s="344"/>
    </row>
    <row r="180" spans="1:13" ht="12.75" customHeight="1">
      <c r="A180" s="212"/>
      <c r="B180" s="212"/>
      <c r="C180" s="212"/>
      <c r="D180" s="212"/>
      <c r="E180" s="212"/>
      <c r="F180" s="212"/>
      <c r="G180" s="212"/>
      <c r="H180" s="212"/>
      <c r="J180" s="212"/>
      <c r="K180" s="212"/>
      <c r="M180" s="344"/>
    </row>
    <row r="181" spans="1:13" ht="12.75" customHeight="1">
      <c r="A181" s="212"/>
      <c r="B181" s="212"/>
      <c r="C181" s="212"/>
      <c r="D181" s="212"/>
      <c r="E181" s="212"/>
      <c r="F181" s="212"/>
      <c r="G181" s="212"/>
      <c r="H181" s="212"/>
      <c r="J181" s="212"/>
      <c r="K181" s="212"/>
      <c r="M181" s="344"/>
    </row>
    <row r="182" spans="1:13" ht="12.75" customHeight="1">
      <c r="A182" s="212"/>
      <c r="B182" s="212"/>
      <c r="C182" s="212"/>
      <c r="D182" s="212"/>
      <c r="E182" s="212"/>
      <c r="F182" s="212"/>
      <c r="G182" s="212"/>
      <c r="H182" s="212"/>
      <c r="J182" s="212"/>
      <c r="K182" s="212"/>
      <c r="M182" s="344"/>
    </row>
    <row r="183" spans="1:13" ht="12.75" customHeight="1">
      <c r="A183" s="212"/>
      <c r="B183" s="212"/>
      <c r="C183" s="212"/>
      <c r="D183" s="212"/>
      <c r="E183" s="212"/>
      <c r="F183" s="212"/>
      <c r="G183" s="212"/>
      <c r="H183" s="212"/>
      <c r="J183" s="212"/>
      <c r="K183" s="212"/>
      <c r="M183" s="344"/>
    </row>
    <row r="184" spans="1:13" ht="12.75" customHeight="1">
      <c r="A184" s="212"/>
      <c r="B184" s="212"/>
      <c r="C184" s="212"/>
      <c r="D184" s="212"/>
      <c r="E184" s="212"/>
      <c r="F184" s="212"/>
      <c r="G184" s="212"/>
      <c r="H184" s="212"/>
      <c r="J184" s="212"/>
      <c r="K184" s="212"/>
      <c r="M184" s="344"/>
    </row>
    <row r="185" spans="1:13" ht="12.75" customHeight="1">
      <c r="A185" s="212"/>
      <c r="B185" s="212"/>
      <c r="C185" s="212"/>
      <c r="D185" s="212"/>
      <c r="E185" s="212"/>
      <c r="F185" s="212"/>
      <c r="G185" s="212"/>
      <c r="H185" s="212"/>
      <c r="J185" s="212"/>
      <c r="K185" s="212"/>
      <c r="M185" s="344"/>
    </row>
    <row r="186" spans="1:13" ht="12.75" customHeight="1">
      <c r="A186" s="212"/>
      <c r="B186" s="212"/>
      <c r="C186" s="212"/>
      <c r="D186" s="212"/>
      <c r="E186" s="212"/>
      <c r="F186" s="212"/>
      <c r="G186" s="212"/>
      <c r="H186" s="212"/>
      <c r="J186" s="212"/>
      <c r="K186" s="212"/>
      <c r="M186" s="344"/>
    </row>
    <row r="187" spans="1:13" ht="12.75" customHeight="1">
      <c r="A187" s="212"/>
      <c r="B187" s="212"/>
      <c r="C187" s="212"/>
      <c r="D187" s="212"/>
      <c r="E187" s="212"/>
      <c r="F187" s="212"/>
      <c r="G187" s="212"/>
      <c r="H187" s="212"/>
      <c r="J187" s="212"/>
      <c r="K187" s="212"/>
      <c r="M187" s="344"/>
    </row>
    <row r="188" spans="1:13" ht="12.75" customHeight="1">
      <c r="A188" s="212"/>
      <c r="B188" s="212"/>
      <c r="C188" s="212"/>
      <c r="D188" s="212"/>
      <c r="E188" s="212"/>
      <c r="F188" s="212"/>
      <c r="G188" s="212"/>
      <c r="H188" s="212"/>
      <c r="J188" s="212"/>
      <c r="K188" s="212"/>
      <c r="M188" s="344"/>
    </row>
    <row r="189" spans="1:13" ht="12.75" customHeight="1">
      <c r="A189" s="212"/>
      <c r="B189" s="212"/>
      <c r="C189" s="212"/>
      <c r="D189" s="212"/>
      <c r="E189" s="212"/>
      <c r="F189" s="212"/>
      <c r="G189" s="212"/>
      <c r="H189" s="212"/>
      <c r="J189" s="212"/>
      <c r="K189" s="212"/>
      <c r="M189" s="344"/>
    </row>
    <row r="190" spans="1:13" ht="12.75" customHeight="1">
      <c r="A190" s="212"/>
      <c r="B190" s="212"/>
      <c r="C190" s="212"/>
      <c r="D190" s="212"/>
      <c r="E190" s="212"/>
      <c r="F190" s="212"/>
      <c r="G190" s="212"/>
      <c r="H190" s="212"/>
      <c r="J190" s="212"/>
      <c r="K190" s="212"/>
      <c r="M190" s="344"/>
    </row>
    <row r="191" spans="1:13" ht="12.75" customHeight="1">
      <c r="A191" s="212"/>
      <c r="B191" s="212"/>
      <c r="C191" s="212"/>
      <c r="D191" s="212"/>
      <c r="E191" s="212"/>
      <c r="F191" s="212"/>
      <c r="G191" s="212"/>
      <c r="H191" s="212"/>
      <c r="J191" s="212"/>
      <c r="K191" s="212"/>
      <c r="M191" s="344"/>
    </row>
    <row r="192" spans="1:13" ht="12.75" customHeight="1">
      <c r="A192" s="212"/>
      <c r="B192" s="212"/>
      <c r="C192" s="212"/>
      <c r="D192" s="212"/>
      <c r="E192" s="212"/>
      <c r="F192" s="212"/>
      <c r="G192" s="212"/>
      <c r="H192" s="212"/>
      <c r="J192" s="212"/>
      <c r="K192" s="212"/>
      <c r="M192" s="344"/>
    </row>
    <row r="193" spans="1:13" ht="12.75" customHeight="1">
      <c r="A193" s="212"/>
      <c r="B193" s="212"/>
      <c r="C193" s="212"/>
      <c r="D193" s="212"/>
      <c r="E193" s="212"/>
      <c r="F193" s="212"/>
      <c r="G193" s="212"/>
      <c r="H193" s="212"/>
      <c r="J193" s="212"/>
      <c r="K193" s="212"/>
      <c r="M193" s="344"/>
    </row>
    <row r="194" spans="1:13" ht="12.75" customHeight="1">
      <c r="A194" s="212"/>
      <c r="B194" s="212"/>
      <c r="C194" s="212"/>
      <c r="D194" s="212"/>
      <c r="E194" s="212"/>
      <c r="F194" s="212"/>
      <c r="G194" s="212"/>
      <c r="H194" s="212"/>
      <c r="J194" s="212"/>
      <c r="K194" s="212"/>
      <c r="M194" s="344"/>
    </row>
    <row r="195" spans="1:13" ht="12.75" customHeight="1">
      <c r="A195" s="212"/>
      <c r="B195" s="212"/>
      <c r="C195" s="212"/>
      <c r="D195" s="212"/>
      <c r="E195" s="212"/>
      <c r="F195" s="212"/>
      <c r="G195" s="212"/>
      <c r="H195" s="212"/>
      <c r="J195" s="212"/>
      <c r="K195" s="212"/>
      <c r="M195" s="344"/>
    </row>
    <row r="196" spans="1:13" ht="12.75" customHeight="1">
      <c r="A196" s="212"/>
      <c r="B196" s="212"/>
      <c r="C196" s="212"/>
      <c r="D196" s="212"/>
      <c r="E196" s="212"/>
      <c r="F196" s="212"/>
      <c r="G196" s="212"/>
      <c r="H196" s="212"/>
      <c r="J196" s="212"/>
      <c r="K196" s="212"/>
      <c r="M196" s="344"/>
    </row>
    <row r="197" spans="1:13" ht="12.75" customHeight="1">
      <c r="A197" s="212"/>
      <c r="B197" s="212"/>
      <c r="C197" s="212"/>
      <c r="D197" s="212"/>
      <c r="E197" s="212"/>
      <c r="F197" s="212"/>
      <c r="G197" s="212"/>
      <c r="H197" s="212"/>
      <c r="J197" s="212"/>
      <c r="K197" s="212"/>
      <c r="M197" s="344"/>
    </row>
    <row r="198" spans="1:13" ht="12.75" customHeight="1">
      <c r="A198" s="212"/>
      <c r="B198" s="212"/>
      <c r="C198" s="212"/>
      <c r="D198" s="212"/>
      <c r="E198" s="212"/>
      <c r="F198" s="212"/>
      <c r="G198" s="212"/>
      <c r="H198" s="212"/>
      <c r="J198" s="212"/>
      <c r="K198" s="212"/>
      <c r="M198" s="344"/>
    </row>
    <row r="199" spans="1:13" ht="12.75" customHeight="1">
      <c r="A199" s="212"/>
      <c r="B199" s="212"/>
      <c r="C199" s="212"/>
      <c r="D199" s="212"/>
      <c r="E199" s="212"/>
      <c r="F199" s="212"/>
      <c r="G199" s="212"/>
      <c r="H199" s="212"/>
      <c r="J199" s="212"/>
      <c r="K199" s="212"/>
      <c r="M199" s="344"/>
    </row>
    <row r="200" spans="1:13" ht="12.75" customHeight="1">
      <c r="A200" s="212"/>
      <c r="B200" s="212"/>
      <c r="C200" s="212"/>
      <c r="D200" s="212"/>
      <c r="E200" s="212"/>
      <c r="F200" s="212"/>
      <c r="G200" s="212"/>
      <c r="H200" s="212"/>
      <c r="J200" s="212"/>
      <c r="K200" s="212"/>
      <c r="M200" s="344"/>
    </row>
    <row r="201" spans="1:13" ht="12.75" customHeight="1">
      <c r="A201" s="212"/>
      <c r="B201" s="212"/>
      <c r="C201" s="212"/>
      <c r="D201" s="212"/>
      <c r="E201" s="212"/>
      <c r="F201" s="212"/>
      <c r="G201" s="212"/>
      <c r="H201" s="212"/>
      <c r="J201" s="212"/>
      <c r="K201" s="212"/>
      <c r="M201" s="344"/>
    </row>
    <row r="202" spans="1:13" ht="12.75" customHeight="1">
      <c r="A202" s="212"/>
      <c r="B202" s="212"/>
      <c r="C202" s="212"/>
      <c r="D202" s="212"/>
      <c r="E202" s="212"/>
      <c r="F202" s="212"/>
      <c r="G202" s="212"/>
      <c r="H202" s="212"/>
      <c r="J202" s="212"/>
      <c r="K202" s="212"/>
      <c r="M202" s="344"/>
    </row>
    <row r="203" spans="1:13" ht="12.75" customHeight="1">
      <c r="A203" s="212"/>
      <c r="B203" s="212"/>
      <c r="C203" s="212"/>
      <c r="D203" s="212"/>
      <c r="E203" s="212"/>
      <c r="F203" s="212"/>
      <c r="G203" s="212"/>
      <c r="H203" s="212"/>
      <c r="J203" s="212"/>
      <c r="K203" s="212"/>
      <c r="M203" s="344"/>
    </row>
    <row r="204" spans="1:13" ht="12.75" customHeight="1">
      <c r="A204" s="212"/>
      <c r="B204" s="212"/>
      <c r="C204" s="212"/>
      <c r="D204" s="212"/>
      <c r="E204" s="212"/>
      <c r="F204" s="212"/>
      <c r="G204" s="212"/>
      <c r="H204" s="212"/>
      <c r="J204" s="212"/>
      <c r="K204" s="212"/>
      <c r="M204" s="344"/>
    </row>
    <row r="205" spans="1:13" ht="12.75" customHeight="1">
      <c r="A205" s="212"/>
      <c r="B205" s="212"/>
      <c r="C205" s="212"/>
      <c r="D205" s="212"/>
      <c r="E205" s="212"/>
      <c r="F205" s="212"/>
      <c r="G205" s="212"/>
      <c r="H205" s="212"/>
      <c r="J205" s="212"/>
      <c r="K205" s="212"/>
      <c r="M205" s="344"/>
    </row>
    <row r="206" spans="1:13" ht="12.75" customHeight="1">
      <c r="A206" s="212"/>
      <c r="B206" s="212"/>
      <c r="C206" s="212"/>
      <c r="D206" s="212"/>
      <c r="E206" s="212"/>
      <c r="F206" s="212"/>
      <c r="G206" s="212"/>
      <c r="H206" s="212"/>
      <c r="J206" s="212"/>
      <c r="K206" s="212"/>
      <c r="M206" s="344"/>
    </row>
    <row r="207" spans="1:13" ht="12.75" customHeight="1">
      <c r="A207" s="212"/>
      <c r="B207" s="212"/>
      <c r="C207" s="212"/>
      <c r="D207" s="212"/>
      <c r="E207" s="212"/>
      <c r="F207" s="212"/>
      <c r="G207" s="212"/>
      <c r="H207" s="212"/>
      <c r="J207" s="212"/>
      <c r="K207" s="212"/>
      <c r="M207" s="344"/>
    </row>
    <row r="208" spans="1:13" ht="12.75" customHeight="1">
      <c r="A208" s="212"/>
      <c r="B208" s="212"/>
      <c r="C208" s="212"/>
      <c r="D208" s="212"/>
      <c r="E208" s="212"/>
      <c r="F208" s="212"/>
      <c r="G208" s="212"/>
      <c r="H208" s="212"/>
      <c r="J208" s="212"/>
      <c r="K208" s="212"/>
      <c r="M208" s="344"/>
    </row>
    <row r="209" spans="1:13" ht="12.75" customHeight="1">
      <c r="A209" s="212"/>
      <c r="B209" s="212"/>
      <c r="C209" s="212"/>
      <c r="D209" s="212"/>
      <c r="E209" s="212"/>
      <c r="F209" s="212"/>
      <c r="G209" s="212"/>
      <c r="H209" s="212"/>
      <c r="J209" s="212"/>
      <c r="K209" s="212"/>
      <c r="M209" s="344"/>
    </row>
    <row r="210" spans="1:13" ht="12.75" customHeight="1">
      <c r="A210" s="212"/>
      <c r="B210" s="212"/>
      <c r="C210" s="212"/>
      <c r="D210" s="212"/>
      <c r="E210" s="212"/>
      <c r="F210" s="212"/>
      <c r="G210" s="212"/>
      <c r="H210" s="212"/>
      <c r="J210" s="212"/>
      <c r="K210" s="212"/>
      <c r="M210" s="344"/>
    </row>
    <row r="211" spans="1:13" ht="12.75" customHeight="1">
      <c r="A211" s="212"/>
      <c r="B211" s="212"/>
      <c r="C211" s="212"/>
      <c r="D211" s="212"/>
      <c r="E211" s="212"/>
      <c r="F211" s="212"/>
      <c r="G211" s="212"/>
      <c r="H211" s="212"/>
      <c r="J211" s="212"/>
      <c r="K211" s="212"/>
      <c r="M211" s="344"/>
    </row>
    <row r="212" spans="1:13" ht="12.75" customHeight="1">
      <c r="A212" s="212"/>
      <c r="B212" s="212"/>
      <c r="C212" s="212"/>
      <c r="D212" s="212"/>
      <c r="E212" s="212"/>
      <c r="F212" s="212"/>
      <c r="G212" s="212"/>
      <c r="H212" s="212"/>
      <c r="J212" s="212"/>
      <c r="K212" s="212"/>
      <c r="M212" s="344"/>
    </row>
    <row r="213" spans="1:13" ht="12.75" customHeight="1">
      <c r="A213" s="212"/>
      <c r="B213" s="212"/>
      <c r="C213" s="212"/>
      <c r="D213" s="212"/>
      <c r="E213" s="212"/>
      <c r="F213" s="212"/>
      <c r="G213" s="212"/>
      <c r="H213" s="212"/>
      <c r="J213" s="212"/>
      <c r="K213" s="212"/>
      <c r="M213" s="344"/>
    </row>
    <row r="214" spans="1:13" ht="12.75" customHeight="1">
      <c r="A214" s="212"/>
      <c r="B214" s="212"/>
      <c r="C214" s="212"/>
      <c r="D214" s="212"/>
      <c r="E214" s="212"/>
      <c r="F214" s="212"/>
      <c r="G214" s="212"/>
      <c r="H214" s="212"/>
      <c r="J214" s="212"/>
      <c r="K214" s="212"/>
      <c r="M214" s="344"/>
    </row>
    <row r="215" spans="1:13" ht="12.75" customHeight="1">
      <c r="A215" s="212"/>
      <c r="B215" s="212"/>
      <c r="C215" s="212"/>
      <c r="D215" s="212"/>
      <c r="E215" s="212"/>
      <c r="F215" s="212"/>
      <c r="G215" s="212"/>
      <c r="H215" s="212"/>
      <c r="J215" s="212"/>
      <c r="K215" s="212"/>
      <c r="M215" s="344"/>
    </row>
    <row r="216" spans="1:13" ht="12.75" customHeight="1">
      <c r="A216" s="212"/>
      <c r="B216" s="212"/>
      <c r="C216" s="212"/>
      <c r="D216" s="212"/>
      <c r="E216" s="212"/>
      <c r="F216" s="212"/>
      <c r="G216" s="212"/>
      <c r="H216" s="212"/>
      <c r="J216" s="212"/>
      <c r="K216" s="212"/>
      <c r="M216" s="344"/>
    </row>
    <row r="217" spans="1:13" ht="12.75" customHeight="1">
      <c r="A217" s="212"/>
      <c r="B217" s="212"/>
      <c r="C217" s="212"/>
      <c r="D217" s="212"/>
      <c r="E217" s="212"/>
      <c r="F217" s="212"/>
      <c r="G217" s="212"/>
      <c r="H217" s="212"/>
      <c r="J217" s="212"/>
      <c r="K217" s="212"/>
      <c r="M217" s="344"/>
    </row>
    <row r="218" spans="1:13" ht="12.75" customHeight="1">
      <c r="A218" s="212"/>
      <c r="B218" s="212"/>
      <c r="C218" s="212"/>
      <c r="D218" s="212"/>
      <c r="E218" s="212"/>
      <c r="F218" s="212"/>
      <c r="G218" s="212"/>
      <c r="H218" s="212"/>
      <c r="J218" s="212"/>
      <c r="K218" s="212"/>
      <c r="M218" s="344"/>
    </row>
    <row r="219" spans="1:13" ht="12.75" customHeight="1">
      <c r="A219" s="212"/>
      <c r="B219" s="212"/>
      <c r="C219" s="212"/>
      <c r="D219" s="212"/>
      <c r="E219" s="212"/>
      <c r="F219" s="212"/>
      <c r="G219" s="212"/>
      <c r="H219" s="212"/>
      <c r="J219" s="212"/>
      <c r="K219" s="212"/>
      <c r="M219" s="344"/>
    </row>
    <row r="220" spans="1:13" ht="12.75" customHeight="1">
      <c r="A220" s="212"/>
      <c r="B220" s="212"/>
      <c r="C220" s="212"/>
      <c r="D220" s="212"/>
      <c r="E220" s="212"/>
      <c r="F220" s="212"/>
      <c r="G220" s="212"/>
      <c r="H220" s="212"/>
      <c r="J220" s="212"/>
      <c r="K220" s="212"/>
      <c r="M220" s="344"/>
    </row>
    <row r="221" spans="1:13" ht="12.75" customHeight="1">
      <c r="A221" s="212"/>
      <c r="B221" s="212"/>
      <c r="C221" s="212"/>
      <c r="D221" s="212"/>
      <c r="E221" s="212"/>
      <c r="F221" s="212"/>
      <c r="G221" s="212"/>
      <c r="H221" s="212"/>
      <c r="J221" s="212"/>
      <c r="K221" s="212"/>
      <c r="M221" s="344"/>
    </row>
    <row r="222" spans="1:13" ht="12.75" customHeight="1">
      <c r="A222" s="212"/>
      <c r="B222" s="212"/>
      <c r="C222" s="212"/>
      <c r="D222" s="212"/>
      <c r="E222" s="212"/>
      <c r="F222" s="212"/>
      <c r="G222" s="212"/>
      <c r="H222" s="212"/>
      <c r="J222" s="212"/>
      <c r="K222" s="212"/>
      <c r="M222" s="344"/>
    </row>
    <row r="223" spans="1:13" ht="12.75" customHeight="1">
      <c r="A223" s="212"/>
      <c r="B223" s="212"/>
      <c r="C223" s="212"/>
      <c r="D223" s="212"/>
      <c r="E223" s="212"/>
      <c r="F223" s="212"/>
      <c r="G223" s="212"/>
      <c r="H223" s="212"/>
      <c r="J223" s="212"/>
      <c r="K223" s="212"/>
      <c r="M223" s="344"/>
    </row>
    <row r="224" spans="1:13" ht="12.75" customHeight="1">
      <c r="A224" s="212"/>
      <c r="B224" s="212"/>
      <c r="C224" s="212"/>
      <c r="D224" s="212"/>
      <c r="E224" s="212"/>
      <c r="F224" s="212"/>
      <c r="G224" s="212"/>
      <c r="H224" s="212"/>
      <c r="J224" s="212"/>
      <c r="K224" s="212"/>
      <c r="M224" s="344"/>
    </row>
    <row r="225" spans="1:13" ht="12.75" customHeight="1">
      <c r="A225" s="212"/>
      <c r="B225" s="212"/>
      <c r="C225" s="212"/>
      <c r="D225" s="212"/>
      <c r="E225" s="212"/>
      <c r="F225" s="212"/>
      <c r="G225" s="212"/>
      <c r="H225" s="212"/>
      <c r="J225" s="212"/>
      <c r="K225" s="212"/>
      <c r="M225" s="344"/>
    </row>
    <row r="226" spans="1:13" ht="12.75" customHeight="1">
      <c r="A226" s="212"/>
      <c r="B226" s="212"/>
      <c r="C226" s="212"/>
      <c r="D226" s="212"/>
      <c r="E226" s="212"/>
      <c r="F226" s="212"/>
      <c r="G226" s="212"/>
      <c r="H226" s="212"/>
      <c r="J226" s="212"/>
      <c r="K226" s="212"/>
      <c r="M226" s="344"/>
    </row>
    <row r="227" spans="1:13" ht="12.75" customHeight="1">
      <c r="A227" s="212"/>
      <c r="B227" s="212"/>
      <c r="C227" s="212"/>
      <c r="D227" s="212"/>
      <c r="E227" s="212"/>
      <c r="F227" s="212"/>
      <c r="G227" s="212"/>
      <c r="H227" s="212"/>
      <c r="J227" s="212"/>
      <c r="K227" s="212"/>
      <c r="M227" s="344"/>
    </row>
    <row r="228" spans="1:13" ht="12.75" customHeight="1">
      <c r="A228" s="212"/>
      <c r="B228" s="212"/>
      <c r="C228" s="212"/>
      <c r="D228" s="212"/>
      <c r="E228" s="212"/>
      <c r="F228" s="212"/>
      <c r="G228" s="212"/>
      <c r="H228" s="212"/>
      <c r="J228" s="212"/>
      <c r="K228" s="212"/>
      <c r="M228" s="344"/>
    </row>
    <row r="229" spans="1:13" ht="12.75" customHeight="1">
      <c r="A229" s="212"/>
      <c r="B229" s="212"/>
      <c r="C229" s="212"/>
      <c r="D229" s="212"/>
      <c r="E229" s="212"/>
      <c r="F229" s="212"/>
      <c r="G229" s="212"/>
      <c r="H229" s="212"/>
      <c r="J229" s="212"/>
      <c r="K229" s="212"/>
      <c r="M229" s="344"/>
    </row>
    <row r="230" spans="1:13" ht="12.75" customHeight="1">
      <c r="A230" s="212"/>
      <c r="B230" s="212"/>
      <c r="C230" s="212"/>
      <c r="D230" s="212"/>
      <c r="E230" s="212"/>
      <c r="F230" s="212"/>
      <c r="G230" s="212"/>
      <c r="H230" s="212"/>
      <c r="J230" s="212"/>
      <c r="K230" s="212"/>
      <c r="M230" s="344"/>
    </row>
    <row r="231" spans="1:13" ht="12.75" customHeight="1">
      <c r="A231" s="212"/>
      <c r="B231" s="212"/>
      <c r="C231" s="212"/>
      <c r="D231" s="212"/>
      <c r="E231" s="212"/>
      <c r="F231" s="212"/>
      <c r="G231" s="212"/>
      <c r="H231" s="212"/>
      <c r="J231" s="212"/>
      <c r="K231" s="212"/>
      <c r="M231" s="344"/>
    </row>
    <row r="232" spans="1:13" ht="12.75" customHeight="1">
      <c r="A232" s="212"/>
      <c r="B232" s="212"/>
      <c r="C232" s="212"/>
      <c r="D232" s="212"/>
      <c r="E232" s="212"/>
      <c r="F232" s="212"/>
      <c r="G232" s="212"/>
      <c r="H232" s="212"/>
      <c r="J232" s="212"/>
      <c r="K232" s="212"/>
      <c r="M232" s="344"/>
    </row>
    <row r="233" spans="1:13" ht="12.75" customHeight="1">
      <c r="A233" s="212"/>
      <c r="B233" s="212"/>
      <c r="C233" s="212"/>
      <c r="D233" s="212"/>
      <c r="E233" s="212"/>
      <c r="F233" s="212"/>
      <c r="G233" s="212"/>
      <c r="H233" s="212"/>
      <c r="J233" s="212"/>
      <c r="K233" s="212"/>
      <c r="M233" s="344"/>
    </row>
    <row r="234" spans="1:13" ht="12.75" customHeight="1">
      <c r="A234" s="212"/>
      <c r="B234" s="212"/>
      <c r="C234" s="212"/>
      <c r="D234" s="212"/>
      <c r="E234" s="212"/>
      <c r="F234" s="212"/>
      <c r="G234" s="212"/>
      <c r="H234" s="212"/>
      <c r="J234" s="212"/>
      <c r="K234" s="212"/>
      <c r="M234" s="344"/>
    </row>
    <row r="235" spans="1:13" ht="12.75" customHeight="1">
      <c r="A235" s="212"/>
      <c r="B235" s="212"/>
      <c r="C235" s="212"/>
      <c r="D235" s="212"/>
      <c r="E235" s="212"/>
      <c r="F235" s="212"/>
      <c r="G235" s="212"/>
      <c r="H235" s="212"/>
      <c r="J235" s="212"/>
      <c r="K235" s="212"/>
      <c r="M235" s="344"/>
    </row>
    <row r="236" spans="1:13" ht="12.75" customHeight="1">
      <c r="A236" s="212"/>
      <c r="B236" s="212"/>
      <c r="C236" s="212"/>
      <c r="D236" s="212"/>
      <c r="E236" s="212"/>
      <c r="F236" s="212"/>
      <c r="G236" s="212"/>
      <c r="H236" s="212"/>
      <c r="J236" s="212"/>
      <c r="K236" s="212"/>
      <c r="M236" s="344"/>
    </row>
    <row r="237" spans="1:13" ht="12.75" customHeight="1">
      <c r="A237" s="212"/>
      <c r="B237" s="212"/>
      <c r="C237" s="212"/>
      <c r="D237" s="212"/>
      <c r="E237" s="212"/>
      <c r="F237" s="212"/>
      <c r="G237" s="212"/>
      <c r="H237" s="212"/>
      <c r="J237" s="212"/>
      <c r="K237" s="212"/>
      <c r="M237" s="344"/>
    </row>
    <row r="238" spans="1:13" ht="12.75" customHeight="1">
      <c r="A238" s="212"/>
      <c r="B238" s="212"/>
      <c r="C238" s="212"/>
      <c r="D238" s="212"/>
      <c r="E238" s="212"/>
      <c r="F238" s="212"/>
      <c r="G238" s="212"/>
      <c r="H238" s="212"/>
      <c r="J238" s="212"/>
      <c r="K238" s="212"/>
      <c r="M238" s="344"/>
    </row>
    <row r="239" spans="1:13" ht="12.75" customHeight="1">
      <c r="A239" s="212"/>
      <c r="B239" s="212"/>
      <c r="C239" s="212"/>
      <c r="D239" s="212"/>
      <c r="E239" s="212"/>
      <c r="F239" s="212"/>
      <c r="G239" s="212"/>
      <c r="H239" s="212"/>
      <c r="J239" s="212"/>
      <c r="K239" s="212"/>
      <c r="M239" s="344"/>
    </row>
    <row r="240" spans="1:13" ht="12.75" customHeight="1">
      <c r="A240" s="212"/>
      <c r="B240" s="212"/>
      <c r="C240" s="212"/>
      <c r="D240" s="212"/>
      <c r="E240" s="212"/>
      <c r="F240" s="212"/>
      <c r="G240" s="212"/>
      <c r="H240" s="212"/>
      <c r="J240" s="212"/>
      <c r="K240" s="212"/>
      <c r="M240" s="344"/>
    </row>
    <row r="241" spans="1:13" ht="12.75" customHeight="1">
      <c r="A241" s="212"/>
      <c r="B241" s="212"/>
      <c r="C241" s="212"/>
      <c r="D241" s="212"/>
      <c r="E241" s="212"/>
      <c r="F241" s="212"/>
      <c r="G241" s="212"/>
      <c r="H241" s="212"/>
      <c r="J241" s="212"/>
      <c r="K241" s="212"/>
      <c r="M241" s="344"/>
    </row>
    <row r="242" spans="1:13" ht="12.75" customHeight="1">
      <c r="A242" s="212"/>
      <c r="B242" s="212"/>
      <c r="C242" s="212"/>
      <c r="D242" s="212"/>
      <c r="E242" s="212"/>
      <c r="F242" s="212"/>
      <c r="G242" s="212"/>
      <c r="H242" s="212"/>
      <c r="J242" s="212"/>
      <c r="K242" s="212"/>
      <c r="M242" s="344"/>
    </row>
    <row r="243" spans="1:13" ht="12.75" customHeight="1">
      <c r="A243" s="212"/>
      <c r="B243" s="212"/>
      <c r="C243" s="212"/>
      <c r="D243" s="212"/>
      <c r="E243" s="212"/>
      <c r="F243" s="212"/>
      <c r="G243" s="212"/>
      <c r="H243" s="212"/>
      <c r="J243" s="212"/>
      <c r="K243" s="212"/>
      <c r="M243" s="344"/>
    </row>
    <row r="244" spans="1:13" ht="12.75" customHeight="1">
      <c r="A244" s="212"/>
      <c r="B244" s="212"/>
      <c r="C244" s="212"/>
      <c r="D244" s="212"/>
      <c r="E244" s="212"/>
      <c r="F244" s="212"/>
      <c r="G244" s="212"/>
      <c r="H244" s="212"/>
      <c r="J244" s="212"/>
      <c r="K244" s="212"/>
      <c r="M244" s="344"/>
    </row>
    <row r="245" spans="1:13" ht="12.75" customHeight="1">
      <c r="A245" s="212"/>
      <c r="B245" s="212"/>
      <c r="C245" s="212"/>
      <c r="D245" s="212"/>
      <c r="E245" s="212"/>
      <c r="F245" s="212"/>
      <c r="G245" s="212"/>
      <c r="H245" s="212"/>
      <c r="J245" s="212"/>
      <c r="K245" s="212"/>
      <c r="M245" s="344"/>
    </row>
    <row r="246" spans="1:13" ht="12.75" customHeight="1">
      <c r="A246" s="212"/>
      <c r="B246" s="212"/>
      <c r="C246" s="212"/>
      <c r="D246" s="212"/>
      <c r="E246" s="212"/>
      <c r="F246" s="212"/>
      <c r="G246" s="212"/>
      <c r="H246" s="212"/>
      <c r="J246" s="212"/>
      <c r="K246" s="212"/>
      <c r="M246" s="344"/>
    </row>
    <row r="247" spans="1:13" ht="12.75" customHeight="1">
      <c r="A247" s="212"/>
      <c r="B247" s="212"/>
      <c r="C247" s="212"/>
      <c r="D247" s="212"/>
      <c r="E247" s="212"/>
      <c r="F247" s="212"/>
      <c r="G247" s="212"/>
      <c r="H247" s="212"/>
      <c r="J247" s="212"/>
      <c r="K247" s="212"/>
      <c r="M247" s="344"/>
    </row>
    <row r="248" spans="1:13" ht="12.75" customHeight="1">
      <c r="A248" s="212"/>
      <c r="B248" s="212"/>
      <c r="C248" s="212"/>
      <c r="D248" s="212"/>
      <c r="E248" s="212"/>
      <c r="F248" s="212"/>
      <c r="G248" s="212"/>
      <c r="H248" s="212"/>
      <c r="J248" s="212"/>
      <c r="K248" s="212"/>
      <c r="M248" s="344"/>
    </row>
    <row r="249" spans="1:13" ht="12.75" customHeight="1">
      <c r="A249" s="212"/>
      <c r="B249" s="212"/>
      <c r="C249" s="212"/>
      <c r="D249" s="212"/>
      <c r="E249" s="212"/>
      <c r="F249" s="212"/>
      <c r="G249" s="212"/>
      <c r="H249" s="212"/>
      <c r="J249" s="212"/>
      <c r="K249" s="212"/>
      <c r="M249" s="344"/>
    </row>
    <row r="250" spans="1:13" ht="12.75" customHeight="1">
      <c r="A250" s="212"/>
      <c r="B250" s="212"/>
      <c r="C250" s="212"/>
      <c r="D250" s="212"/>
      <c r="E250" s="212"/>
      <c r="F250" s="212"/>
      <c r="G250" s="212"/>
      <c r="H250" s="212"/>
      <c r="J250" s="212"/>
      <c r="K250" s="212"/>
      <c r="M250" s="344"/>
    </row>
    <row r="251" spans="1:13" ht="12.75" customHeight="1">
      <c r="A251" s="212"/>
      <c r="B251" s="212"/>
      <c r="C251" s="212"/>
      <c r="D251" s="212"/>
      <c r="E251" s="212"/>
      <c r="F251" s="212"/>
      <c r="G251" s="212"/>
      <c r="H251" s="212"/>
      <c r="J251" s="212"/>
      <c r="K251" s="212"/>
      <c r="M251" s="344"/>
    </row>
    <row r="252" spans="1:13" ht="12.75" customHeight="1">
      <c r="A252" s="212"/>
      <c r="B252" s="212"/>
      <c r="C252" s="212"/>
      <c r="D252" s="212"/>
      <c r="E252" s="212"/>
      <c r="F252" s="212"/>
      <c r="G252" s="212"/>
      <c r="H252" s="212"/>
      <c r="J252" s="212"/>
      <c r="K252" s="212"/>
      <c r="M252" s="344"/>
    </row>
    <row r="253" spans="1:13" ht="12.75" customHeight="1">
      <c r="A253" s="212"/>
      <c r="B253" s="212"/>
      <c r="C253" s="212"/>
      <c r="D253" s="212"/>
      <c r="E253" s="212"/>
      <c r="F253" s="212"/>
      <c r="G253" s="212"/>
      <c r="H253" s="212"/>
      <c r="J253" s="212"/>
      <c r="K253" s="212"/>
      <c r="M253" s="344"/>
    </row>
    <row r="254" spans="1:13" ht="12.75" customHeight="1">
      <c r="A254" s="212"/>
      <c r="B254" s="212"/>
      <c r="C254" s="212"/>
      <c r="D254" s="212"/>
      <c r="E254" s="212"/>
      <c r="F254" s="212"/>
      <c r="G254" s="212"/>
      <c r="H254" s="212"/>
      <c r="J254" s="212"/>
      <c r="K254" s="212"/>
      <c r="M254" s="344"/>
    </row>
    <row r="255" spans="1:13" ht="12.75" customHeight="1">
      <c r="A255" s="212"/>
      <c r="B255" s="212"/>
      <c r="C255" s="212"/>
      <c r="D255" s="212"/>
      <c r="E255" s="212"/>
      <c r="F255" s="212"/>
      <c r="G255" s="212"/>
      <c r="H255" s="212"/>
      <c r="J255" s="212"/>
      <c r="K255" s="212"/>
      <c r="M255" s="344"/>
    </row>
    <row r="256" spans="1:13" ht="12.75" customHeight="1">
      <c r="A256" s="212"/>
      <c r="B256" s="212"/>
      <c r="C256" s="212"/>
      <c r="D256" s="212"/>
      <c r="E256" s="212"/>
      <c r="F256" s="212"/>
      <c r="G256" s="212"/>
      <c r="H256" s="212"/>
      <c r="J256" s="212"/>
      <c r="K256" s="212"/>
      <c r="M256" s="344"/>
    </row>
    <row r="257" spans="1:13" ht="12.75" customHeight="1">
      <c r="A257" s="212"/>
      <c r="B257" s="212"/>
      <c r="C257" s="212"/>
      <c r="D257" s="212"/>
      <c r="E257" s="212"/>
      <c r="F257" s="212"/>
      <c r="G257" s="212"/>
      <c r="H257" s="212"/>
      <c r="J257" s="212"/>
      <c r="K257" s="212"/>
      <c r="M257" s="344"/>
    </row>
    <row r="258" spans="1:13" ht="12.75" customHeight="1">
      <c r="A258" s="212"/>
      <c r="B258" s="212"/>
      <c r="C258" s="212"/>
      <c r="D258" s="212"/>
      <c r="E258" s="212"/>
      <c r="F258" s="212"/>
      <c r="G258" s="212"/>
      <c r="H258" s="212"/>
      <c r="J258" s="212"/>
      <c r="K258" s="212"/>
      <c r="M258" s="344"/>
    </row>
    <row r="259" spans="1:13" ht="12.75" customHeight="1">
      <c r="A259" s="212"/>
      <c r="B259" s="212"/>
      <c r="C259" s="212"/>
      <c r="D259" s="212"/>
      <c r="E259" s="212"/>
      <c r="F259" s="212"/>
      <c r="G259" s="212"/>
      <c r="H259" s="212"/>
      <c r="J259" s="212"/>
      <c r="K259" s="212"/>
      <c r="M259" s="344"/>
    </row>
    <row r="260" spans="1:13" ht="12.75" customHeight="1">
      <c r="A260" s="212"/>
      <c r="B260" s="212"/>
      <c r="C260" s="212"/>
      <c r="D260" s="212"/>
      <c r="E260" s="212"/>
      <c r="F260" s="212"/>
      <c r="G260" s="212"/>
      <c r="H260" s="212"/>
      <c r="J260" s="212"/>
      <c r="K260" s="212"/>
      <c r="M260" s="344"/>
    </row>
    <row r="261" spans="1:13" ht="12.75" customHeight="1">
      <c r="A261" s="212"/>
      <c r="B261" s="212"/>
      <c r="C261" s="212"/>
      <c r="D261" s="212"/>
      <c r="E261" s="212"/>
      <c r="F261" s="212"/>
      <c r="G261" s="212"/>
      <c r="H261" s="212"/>
      <c r="J261" s="212"/>
      <c r="K261" s="212"/>
      <c r="M261" s="344"/>
    </row>
    <row r="262" spans="1:13" ht="12.75" customHeight="1">
      <c r="A262" s="212"/>
      <c r="B262" s="212"/>
      <c r="C262" s="212"/>
      <c r="D262" s="212"/>
      <c r="E262" s="212"/>
      <c r="F262" s="212"/>
      <c r="G262" s="212"/>
      <c r="H262" s="212"/>
      <c r="J262" s="212"/>
      <c r="K262" s="212"/>
      <c r="M262" s="344"/>
    </row>
    <row r="263" spans="1:13" ht="12.75" customHeight="1">
      <c r="A263" s="212"/>
      <c r="B263" s="212"/>
      <c r="C263" s="212"/>
      <c r="D263" s="212"/>
      <c r="E263" s="212"/>
      <c r="F263" s="212"/>
      <c r="G263" s="212"/>
      <c r="H263" s="212"/>
      <c r="J263" s="212"/>
      <c r="K263" s="212"/>
      <c r="M263" s="344"/>
    </row>
    <row r="264" spans="1:13" ht="12.75" customHeight="1">
      <c r="A264" s="212"/>
      <c r="B264" s="212"/>
      <c r="C264" s="212"/>
      <c r="D264" s="212"/>
      <c r="E264" s="212"/>
      <c r="F264" s="212"/>
      <c r="G264" s="212"/>
      <c r="H264" s="212"/>
      <c r="J264" s="212"/>
      <c r="K264" s="212"/>
      <c r="M264" s="344"/>
    </row>
    <row r="265" spans="1:13" ht="12.75" customHeight="1">
      <c r="A265" s="212"/>
      <c r="B265" s="212"/>
      <c r="C265" s="212"/>
      <c r="D265" s="212"/>
      <c r="E265" s="212"/>
      <c r="F265" s="212"/>
      <c r="G265" s="212"/>
      <c r="H265" s="212"/>
      <c r="J265" s="212"/>
      <c r="K265" s="212"/>
      <c r="M265" s="344"/>
    </row>
    <row r="266" spans="1:13" ht="12.75" customHeight="1">
      <c r="A266" s="212"/>
      <c r="B266" s="212"/>
      <c r="C266" s="212"/>
      <c r="D266" s="212"/>
      <c r="E266" s="212"/>
      <c r="F266" s="212"/>
      <c r="G266" s="212"/>
      <c r="H266" s="212"/>
      <c r="J266" s="212"/>
      <c r="K266" s="212"/>
      <c r="M266" s="344"/>
    </row>
    <row r="267" spans="1:13" ht="12.75" customHeight="1">
      <c r="A267" s="212"/>
      <c r="B267" s="212"/>
      <c r="C267" s="212"/>
      <c r="D267" s="212"/>
      <c r="E267" s="212"/>
      <c r="F267" s="212"/>
      <c r="G267" s="212"/>
      <c r="H267" s="212"/>
      <c r="J267" s="212"/>
      <c r="K267" s="212"/>
      <c r="M267" s="344"/>
    </row>
    <row r="268" spans="1:13" ht="12.75" customHeight="1">
      <c r="A268" s="212"/>
      <c r="B268" s="212"/>
      <c r="C268" s="212"/>
      <c r="D268" s="212"/>
      <c r="E268" s="212"/>
      <c r="F268" s="212"/>
      <c r="G268" s="212"/>
      <c r="H268" s="212"/>
      <c r="J268" s="212"/>
      <c r="K268" s="212"/>
      <c r="M268" s="344"/>
    </row>
    <row r="269" spans="1:13" ht="12.75" customHeight="1">
      <c r="A269" s="212"/>
      <c r="B269" s="212"/>
      <c r="C269" s="212"/>
      <c r="D269" s="212"/>
      <c r="E269" s="212"/>
      <c r="F269" s="212"/>
      <c r="G269" s="212"/>
      <c r="H269" s="212"/>
      <c r="J269" s="212"/>
      <c r="K269" s="212"/>
      <c r="M269" s="344"/>
    </row>
    <row r="270" spans="1:13" ht="12.75" customHeight="1">
      <c r="A270" s="212"/>
      <c r="B270" s="212"/>
      <c r="C270" s="212"/>
      <c r="D270" s="212"/>
      <c r="E270" s="212"/>
      <c r="F270" s="212"/>
      <c r="G270" s="212"/>
      <c r="H270" s="212"/>
      <c r="J270" s="212"/>
      <c r="K270" s="212"/>
      <c r="M270" s="344"/>
    </row>
    <row r="271" spans="1:13" ht="12.75" customHeight="1">
      <c r="A271" s="212"/>
      <c r="B271" s="212"/>
      <c r="C271" s="212"/>
      <c r="D271" s="212"/>
      <c r="E271" s="212"/>
      <c r="F271" s="212"/>
      <c r="G271" s="212"/>
      <c r="H271" s="212"/>
      <c r="J271" s="212"/>
      <c r="K271" s="212"/>
      <c r="M271" s="344"/>
    </row>
    <row r="272" spans="1:13" ht="12.75" customHeight="1">
      <c r="A272" s="212"/>
      <c r="B272" s="212"/>
      <c r="C272" s="212"/>
      <c r="D272" s="212"/>
      <c r="E272" s="212"/>
      <c r="F272" s="212"/>
      <c r="G272" s="212"/>
      <c r="H272" s="212"/>
      <c r="J272" s="212"/>
      <c r="K272" s="212"/>
      <c r="M272" s="344"/>
    </row>
    <row r="273" spans="1:13" ht="12.75" customHeight="1">
      <c r="A273" s="212"/>
      <c r="B273" s="212"/>
      <c r="C273" s="212"/>
      <c r="D273" s="212"/>
      <c r="E273" s="212"/>
      <c r="F273" s="212"/>
      <c r="G273" s="212"/>
      <c r="H273" s="212"/>
      <c r="J273" s="212"/>
      <c r="K273" s="212"/>
      <c r="M273" s="344"/>
    </row>
    <row r="274" spans="1:13" ht="12.75" customHeight="1">
      <c r="A274" s="212"/>
      <c r="B274" s="212"/>
      <c r="C274" s="212"/>
      <c r="D274" s="212"/>
      <c r="E274" s="212"/>
      <c r="F274" s="212"/>
      <c r="G274" s="212"/>
      <c r="H274" s="212"/>
      <c r="J274" s="212"/>
      <c r="K274" s="212"/>
      <c r="M274" s="344"/>
    </row>
    <row r="275" spans="1:13" ht="12.75" customHeight="1">
      <c r="A275" s="212"/>
      <c r="B275" s="212"/>
      <c r="C275" s="212"/>
      <c r="D275" s="212"/>
      <c r="E275" s="212"/>
      <c r="F275" s="212"/>
      <c r="G275" s="212"/>
      <c r="H275" s="212"/>
      <c r="J275" s="212"/>
      <c r="K275" s="212"/>
      <c r="M275" s="344"/>
    </row>
    <row r="276" spans="1:13" ht="12.75" customHeight="1">
      <c r="A276" s="212"/>
      <c r="B276" s="212"/>
      <c r="C276" s="212"/>
      <c r="D276" s="212"/>
      <c r="E276" s="212"/>
      <c r="F276" s="212"/>
      <c r="G276" s="212"/>
      <c r="H276" s="212"/>
      <c r="J276" s="212"/>
      <c r="K276" s="212"/>
      <c r="M276" s="344"/>
    </row>
    <row r="277" spans="1:13" ht="12.75" customHeight="1">
      <c r="A277" s="212"/>
      <c r="B277" s="212"/>
      <c r="C277" s="212"/>
      <c r="D277" s="212"/>
      <c r="E277" s="212"/>
      <c r="F277" s="212"/>
      <c r="G277" s="212"/>
      <c r="H277" s="212"/>
      <c r="J277" s="212"/>
      <c r="K277" s="212"/>
      <c r="M277" s="344"/>
    </row>
    <row r="278" spans="1:13" ht="12.75" customHeight="1">
      <c r="A278" s="212"/>
      <c r="B278" s="212"/>
      <c r="C278" s="212"/>
      <c r="D278" s="212"/>
      <c r="E278" s="212"/>
      <c r="F278" s="212"/>
      <c r="G278" s="212"/>
      <c r="H278" s="212"/>
      <c r="J278" s="212"/>
      <c r="K278" s="212"/>
      <c r="M278" s="344"/>
    </row>
    <row r="279" spans="1:13" ht="12.75" customHeight="1">
      <c r="A279" s="212"/>
      <c r="B279" s="212"/>
      <c r="C279" s="212"/>
      <c r="D279" s="212"/>
      <c r="E279" s="212"/>
      <c r="F279" s="212"/>
      <c r="G279" s="212"/>
      <c r="H279" s="212"/>
      <c r="J279" s="212"/>
      <c r="K279" s="212"/>
      <c r="M279" s="344"/>
    </row>
    <row r="280" spans="1:13" ht="12.75" customHeight="1">
      <c r="A280" s="212"/>
      <c r="B280" s="212"/>
      <c r="C280" s="212"/>
      <c r="D280" s="212"/>
      <c r="E280" s="212"/>
      <c r="F280" s="212"/>
      <c r="G280" s="212"/>
      <c r="H280" s="212"/>
      <c r="J280" s="212"/>
      <c r="K280" s="212"/>
      <c r="M280" s="344"/>
    </row>
    <row r="281" spans="1:13" ht="12.75" customHeight="1">
      <c r="A281" s="212"/>
      <c r="B281" s="212"/>
      <c r="C281" s="212"/>
      <c r="D281" s="212"/>
      <c r="E281" s="212"/>
      <c r="F281" s="212"/>
      <c r="G281" s="212"/>
      <c r="H281" s="212"/>
      <c r="J281" s="212"/>
      <c r="K281" s="212"/>
      <c r="M281" s="344"/>
    </row>
    <row r="282" spans="1:13" ht="12.75" customHeight="1">
      <c r="A282" s="212"/>
      <c r="B282" s="212"/>
      <c r="C282" s="212"/>
      <c r="D282" s="212"/>
      <c r="E282" s="212"/>
      <c r="F282" s="212"/>
      <c r="G282" s="212"/>
      <c r="H282" s="212"/>
      <c r="J282" s="212"/>
      <c r="K282" s="212"/>
      <c r="M282" s="344"/>
    </row>
    <row r="283" spans="1:13" ht="12.75" customHeight="1">
      <c r="A283" s="212"/>
      <c r="B283" s="212"/>
      <c r="C283" s="212"/>
      <c r="D283" s="212"/>
      <c r="E283" s="212"/>
      <c r="F283" s="212"/>
      <c r="G283" s="212"/>
      <c r="H283" s="212"/>
      <c r="J283" s="212"/>
      <c r="K283" s="212"/>
      <c r="M283" s="344"/>
    </row>
    <row r="284" spans="1:13" ht="12.75" customHeight="1">
      <c r="A284" s="212"/>
      <c r="B284" s="212"/>
      <c r="C284" s="212"/>
      <c r="D284" s="212"/>
      <c r="E284" s="212"/>
      <c r="F284" s="212"/>
      <c r="G284" s="212"/>
      <c r="H284" s="212"/>
      <c r="J284" s="212"/>
      <c r="K284" s="212"/>
      <c r="M284" s="344"/>
    </row>
    <row r="285" spans="1:13" ht="12.75" customHeight="1">
      <c r="A285" s="212"/>
      <c r="B285" s="212"/>
      <c r="C285" s="212"/>
      <c r="D285" s="212"/>
      <c r="E285" s="212"/>
      <c r="F285" s="212"/>
      <c r="G285" s="212"/>
      <c r="H285" s="212"/>
      <c r="J285" s="212"/>
      <c r="K285" s="212"/>
      <c r="M285" s="344"/>
    </row>
    <row r="286" spans="1:13" ht="12.75" customHeight="1">
      <c r="A286" s="212"/>
      <c r="B286" s="212"/>
      <c r="C286" s="212"/>
      <c r="D286" s="212"/>
      <c r="E286" s="212"/>
      <c r="F286" s="212"/>
      <c r="G286" s="212"/>
      <c r="H286" s="212"/>
      <c r="J286" s="212"/>
      <c r="K286" s="212"/>
      <c r="M286" s="344"/>
    </row>
    <row r="287" spans="1:13" ht="12.75" customHeight="1">
      <c r="A287" s="212"/>
      <c r="B287" s="212"/>
      <c r="C287" s="212"/>
      <c r="D287" s="212"/>
      <c r="E287" s="212"/>
      <c r="F287" s="212"/>
      <c r="G287" s="212"/>
      <c r="H287" s="212"/>
      <c r="J287" s="212"/>
      <c r="K287" s="212"/>
      <c r="M287" s="344"/>
    </row>
    <row r="288" spans="1:13" ht="12.75" customHeight="1">
      <c r="A288" s="212"/>
      <c r="B288" s="212"/>
      <c r="C288" s="212"/>
      <c r="D288" s="212"/>
      <c r="E288" s="212"/>
      <c r="F288" s="212"/>
      <c r="G288" s="212"/>
      <c r="H288" s="212"/>
      <c r="J288" s="212"/>
      <c r="K288" s="212"/>
      <c r="M288" s="344"/>
    </row>
    <row r="289" spans="1:13" ht="12.75" customHeight="1">
      <c r="A289" s="212"/>
      <c r="B289" s="212"/>
      <c r="C289" s="212"/>
      <c r="D289" s="212"/>
      <c r="E289" s="212"/>
      <c r="F289" s="212"/>
      <c r="G289" s="212"/>
      <c r="H289" s="212"/>
      <c r="J289" s="212"/>
      <c r="K289" s="212"/>
      <c r="M289" s="344"/>
    </row>
    <row r="290" spans="1:13" ht="12.75" customHeight="1">
      <c r="A290" s="212"/>
      <c r="B290" s="212"/>
      <c r="C290" s="212"/>
      <c r="D290" s="212"/>
      <c r="E290" s="212"/>
      <c r="F290" s="212"/>
      <c r="G290" s="212"/>
      <c r="H290" s="212"/>
      <c r="J290" s="212"/>
      <c r="K290" s="212"/>
      <c r="M290" s="344"/>
    </row>
    <row r="291" spans="1:13" ht="12.75" customHeight="1">
      <c r="A291" s="212"/>
      <c r="B291" s="212"/>
      <c r="C291" s="212"/>
      <c r="D291" s="212"/>
      <c r="E291" s="212"/>
      <c r="F291" s="212"/>
      <c r="G291" s="212"/>
      <c r="H291" s="212"/>
      <c r="J291" s="212"/>
      <c r="K291" s="212"/>
      <c r="M291" s="344"/>
    </row>
    <row r="292" spans="1:13" ht="12.75" customHeight="1">
      <c r="A292" s="212"/>
      <c r="B292" s="212"/>
      <c r="C292" s="212"/>
      <c r="D292" s="212"/>
      <c r="E292" s="212"/>
      <c r="F292" s="212"/>
      <c r="G292" s="212"/>
      <c r="H292" s="212"/>
      <c r="J292" s="212"/>
      <c r="K292" s="212"/>
      <c r="M292" s="344"/>
    </row>
    <row r="293" spans="1:13" ht="12.75" customHeight="1">
      <c r="A293" s="212"/>
      <c r="B293" s="212"/>
      <c r="C293" s="212"/>
      <c r="D293" s="212"/>
      <c r="E293" s="212"/>
      <c r="F293" s="212"/>
      <c r="G293" s="212"/>
      <c r="H293" s="212"/>
      <c r="J293" s="212"/>
      <c r="K293" s="212"/>
      <c r="M293" s="344"/>
    </row>
    <row r="294" spans="1:13" ht="12.75" customHeight="1">
      <c r="A294" s="212"/>
      <c r="B294" s="212"/>
      <c r="C294" s="212"/>
      <c r="D294" s="212"/>
      <c r="E294" s="212"/>
      <c r="F294" s="212"/>
      <c r="G294" s="212"/>
      <c r="H294" s="212"/>
      <c r="J294" s="212"/>
      <c r="K294" s="212"/>
      <c r="M294" s="344"/>
    </row>
    <row r="295" spans="1:13" ht="12.75" customHeight="1">
      <c r="A295" s="212"/>
      <c r="B295" s="212"/>
      <c r="C295" s="212"/>
      <c r="D295" s="212"/>
      <c r="E295" s="212"/>
      <c r="F295" s="212"/>
      <c r="G295" s="212"/>
      <c r="H295" s="212"/>
      <c r="J295" s="212"/>
      <c r="K295" s="212"/>
      <c r="M295" s="344"/>
    </row>
    <row r="296" spans="1:13" ht="12.75" customHeight="1">
      <c r="A296" s="212"/>
      <c r="B296" s="212"/>
      <c r="C296" s="212"/>
      <c r="D296" s="212"/>
      <c r="E296" s="212"/>
      <c r="F296" s="212"/>
      <c r="G296" s="212"/>
      <c r="H296" s="212"/>
      <c r="J296" s="212"/>
      <c r="K296" s="212"/>
      <c r="M296" s="344"/>
    </row>
    <row r="297" spans="1:13" ht="12.75" customHeight="1">
      <c r="A297" s="212"/>
      <c r="B297" s="212"/>
      <c r="C297" s="212"/>
      <c r="D297" s="212"/>
      <c r="E297" s="212"/>
      <c r="F297" s="212"/>
      <c r="G297" s="212"/>
      <c r="H297" s="212"/>
      <c r="J297" s="212"/>
      <c r="K297" s="212"/>
      <c r="M297" s="344"/>
    </row>
    <row r="298" spans="1:13" ht="12.75" customHeight="1">
      <c r="A298" s="212"/>
      <c r="B298" s="212"/>
      <c r="C298" s="212"/>
      <c r="D298" s="212"/>
      <c r="E298" s="212"/>
      <c r="F298" s="212"/>
      <c r="G298" s="212"/>
      <c r="H298" s="212"/>
      <c r="J298" s="212"/>
      <c r="K298" s="212"/>
      <c r="M298" s="344"/>
    </row>
    <row r="299" spans="1:13" ht="12.75" customHeight="1">
      <c r="A299" s="212"/>
      <c r="B299" s="212"/>
      <c r="C299" s="212"/>
      <c r="D299" s="212"/>
      <c r="E299" s="212"/>
      <c r="F299" s="212"/>
      <c r="G299" s="212"/>
      <c r="H299" s="212"/>
      <c r="J299" s="212"/>
      <c r="K299" s="212"/>
      <c r="M299" s="344"/>
    </row>
    <row r="300" spans="1:13" ht="12.75" customHeight="1">
      <c r="A300" s="212"/>
      <c r="B300" s="212"/>
      <c r="C300" s="212"/>
      <c r="D300" s="212"/>
      <c r="E300" s="212"/>
      <c r="F300" s="212"/>
      <c r="G300" s="212"/>
      <c r="H300" s="212"/>
      <c r="J300" s="212"/>
      <c r="K300" s="212"/>
      <c r="M300" s="344"/>
    </row>
    <row r="301" spans="1:13" ht="12.75" customHeight="1">
      <c r="A301" s="212"/>
      <c r="B301" s="212"/>
      <c r="C301" s="212"/>
      <c r="D301" s="212"/>
      <c r="E301" s="212"/>
      <c r="F301" s="212"/>
      <c r="G301" s="212"/>
      <c r="H301" s="212"/>
      <c r="J301" s="212"/>
      <c r="K301" s="212"/>
      <c r="M301" s="344"/>
    </row>
    <row r="302" spans="1:13" ht="12.75" customHeight="1">
      <c r="A302" s="212"/>
      <c r="B302" s="212"/>
      <c r="C302" s="212"/>
      <c r="D302" s="212"/>
      <c r="E302" s="212"/>
      <c r="F302" s="212"/>
      <c r="G302" s="212"/>
      <c r="H302" s="212"/>
      <c r="J302" s="212"/>
      <c r="K302" s="212"/>
      <c r="M302" s="344"/>
    </row>
    <row r="303" spans="1:13" ht="12.75" customHeight="1">
      <c r="A303" s="212"/>
      <c r="B303" s="212"/>
      <c r="C303" s="212"/>
      <c r="D303" s="212"/>
      <c r="E303" s="212"/>
      <c r="F303" s="212"/>
      <c r="G303" s="212"/>
      <c r="H303" s="212"/>
      <c r="J303" s="212"/>
      <c r="K303" s="212"/>
      <c r="M303" s="344"/>
    </row>
    <row r="304" spans="1:13" ht="12.75" customHeight="1">
      <c r="A304" s="212"/>
      <c r="B304" s="212"/>
      <c r="C304" s="212"/>
      <c r="D304" s="212"/>
      <c r="E304" s="212"/>
      <c r="F304" s="212"/>
      <c r="G304" s="212"/>
      <c r="H304" s="212"/>
      <c r="J304" s="212"/>
      <c r="K304" s="212"/>
      <c r="M304" s="344"/>
    </row>
    <row r="305" spans="1:13" ht="12.75" customHeight="1">
      <c r="A305" s="212"/>
      <c r="B305" s="212"/>
      <c r="C305" s="212"/>
      <c r="D305" s="212"/>
      <c r="E305" s="212"/>
      <c r="F305" s="212"/>
      <c r="G305" s="212"/>
      <c r="H305" s="212"/>
      <c r="J305" s="212"/>
      <c r="K305" s="212"/>
      <c r="M305" s="344"/>
    </row>
    <row r="306" spans="1:13" ht="12.75" customHeight="1">
      <c r="A306" s="212"/>
      <c r="B306" s="212"/>
      <c r="C306" s="212"/>
      <c r="D306" s="212"/>
      <c r="E306" s="212"/>
      <c r="F306" s="212"/>
      <c r="G306" s="212"/>
      <c r="H306" s="212"/>
      <c r="J306" s="212"/>
      <c r="K306" s="212"/>
      <c r="M306" s="344"/>
    </row>
    <row r="307" spans="1:13" ht="12.75" customHeight="1">
      <c r="A307" s="212"/>
      <c r="B307" s="212"/>
      <c r="C307" s="212"/>
      <c r="D307" s="212"/>
      <c r="E307" s="212"/>
      <c r="F307" s="212"/>
      <c r="G307" s="212"/>
      <c r="H307" s="212"/>
      <c r="J307" s="212"/>
      <c r="K307" s="212"/>
      <c r="M307" s="344"/>
    </row>
    <row r="308" spans="1:13" ht="12.75" customHeight="1">
      <c r="A308" s="212"/>
      <c r="B308" s="212"/>
      <c r="C308" s="212"/>
      <c r="D308" s="212"/>
      <c r="E308" s="212"/>
      <c r="F308" s="212"/>
      <c r="G308" s="212"/>
      <c r="H308" s="212"/>
      <c r="J308" s="212"/>
      <c r="K308" s="212"/>
      <c r="M308" s="344"/>
    </row>
    <row r="309" spans="1:13" ht="12.75" customHeight="1">
      <c r="A309" s="212"/>
      <c r="B309" s="212"/>
      <c r="C309" s="212"/>
      <c r="D309" s="212"/>
      <c r="E309" s="212"/>
      <c r="F309" s="212"/>
      <c r="G309" s="212"/>
      <c r="H309" s="212"/>
      <c r="J309" s="212"/>
      <c r="K309" s="212"/>
      <c r="M309" s="344"/>
    </row>
    <row r="310" spans="1:13" ht="12.75" customHeight="1">
      <c r="A310" s="212"/>
      <c r="B310" s="212"/>
      <c r="C310" s="212"/>
      <c r="D310" s="212"/>
      <c r="E310" s="212"/>
      <c r="F310" s="212"/>
      <c r="G310" s="212"/>
      <c r="H310" s="212"/>
      <c r="J310" s="212"/>
      <c r="K310" s="212"/>
      <c r="M310" s="344"/>
    </row>
    <row r="311" spans="1:13" ht="12.75" customHeight="1">
      <c r="A311" s="212"/>
      <c r="B311" s="212"/>
      <c r="C311" s="212"/>
      <c r="D311" s="212"/>
      <c r="E311" s="212"/>
      <c r="F311" s="212"/>
      <c r="G311" s="212"/>
      <c r="H311" s="212"/>
      <c r="J311" s="212"/>
      <c r="K311" s="212"/>
      <c r="M311" s="344"/>
    </row>
    <row r="312" spans="1:13" ht="12.75" customHeight="1">
      <c r="A312" s="212"/>
      <c r="B312" s="212"/>
      <c r="C312" s="212"/>
      <c r="D312" s="212"/>
      <c r="E312" s="212"/>
      <c r="F312" s="212"/>
      <c r="G312" s="212"/>
      <c r="H312" s="212"/>
      <c r="J312" s="212"/>
      <c r="K312" s="212"/>
      <c r="M312" s="344"/>
    </row>
    <row r="313" spans="1:13" ht="12.75" customHeight="1">
      <c r="A313" s="212"/>
      <c r="B313" s="212"/>
      <c r="C313" s="212"/>
      <c r="D313" s="212"/>
      <c r="E313" s="212"/>
      <c r="F313" s="212"/>
      <c r="G313" s="212"/>
      <c r="H313" s="212"/>
      <c r="J313" s="212"/>
      <c r="K313" s="212"/>
      <c r="M313" s="344"/>
    </row>
    <row r="314" spans="1:13" ht="12.75" customHeight="1">
      <c r="A314" s="212"/>
      <c r="B314" s="212"/>
      <c r="C314" s="212"/>
      <c r="D314" s="212"/>
      <c r="E314" s="212"/>
      <c r="F314" s="212"/>
      <c r="G314" s="212"/>
      <c r="H314" s="212"/>
      <c r="J314" s="212"/>
      <c r="K314" s="212"/>
      <c r="M314" s="344"/>
    </row>
    <row r="315" spans="1:13" ht="12.75" customHeight="1">
      <c r="A315" s="212"/>
      <c r="B315" s="212"/>
      <c r="C315" s="212"/>
      <c r="D315" s="212"/>
      <c r="E315" s="212"/>
      <c r="F315" s="212"/>
      <c r="G315" s="212"/>
      <c r="H315" s="212"/>
      <c r="J315" s="212"/>
      <c r="K315" s="212"/>
      <c r="M315" s="344"/>
    </row>
    <row r="316" spans="1:13" ht="12.75" customHeight="1">
      <c r="A316" s="212"/>
      <c r="B316" s="212"/>
      <c r="C316" s="212"/>
      <c r="D316" s="212"/>
      <c r="E316" s="212"/>
      <c r="F316" s="212"/>
      <c r="G316" s="212"/>
      <c r="H316" s="212"/>
      <c r="J316" s="212"/>
      <c r="K316" s="212"/>
      <c r="M316" s="344"/>
    </row>
    <row r="317" spans="1:13" ht="12.75" customHeight="1">
      <c r="A317" s="212"/>
      <c r="B317" s="212"/>
      <c r="C317" s="212"/>
      <c r="D317" s="212"/>
      <c r="E317" s="212"/>
      <c r="F317" s="212"/>
      <c r="G317" s="212"/>
      <c r="H317" s="212"/>
      <c r="J317" s="212"/>
      <c r="K317" s="212"/>
      <c r="M317" s="344"/>
    </row>
    <row r="318" spans="1:13" ht="12.75" customHeight="1">
      <c r="A318" s="212"/>
      <c r="B318" s="212"/>
      <c r="C318" s="212"/>
      <c r="D318" s="212"/>
      <c r="E318" s="212"/>
      <c r="F318" s="212"/>
      <c r="G318" s="212"/>
      <c r="H318" s="212"/>
      <c r="J318" s="212"/>
      <c r="K318" s="212"/>
      <c r="M318" s="344"/>
    </row>
    <row r="319" spans="1:13" ht="12.75" customHeight="1">
      <c r="A319" s="212"/>
      <c r="B319" s="212"/>
      <c r="C319" s="212"/>
      <c r="D319" s="212"/>
      <c r="E319" s="212"/>
      <c r="F319" s="212"/>
      <c r="G319" s="212"/>
      <c r="H319" s="212"/>
      <c r="J319" s="212"/>
      <c r="K319" s="212"/>
      <c r="M319" s="344"/>
    </row>
    <row r="320" spans="1:13" ht="12.75" customHeight="1">
      <c r="A320" s="212"/>
      <c r="B320" s="212"/>
      <c r="C320" s="212"/>
      <c r="D320" s="212"/>
      <c r="E320" s="212"/>
      <c r="F320" s="212"/>
      <c r="G320" s="212"/>
      <c r="H320" s="212"/>
      <c r="J320" s="212"/>
      <c r="K320" s="212"/>
      <c r="M320" s="344"/>
    </row>
    <row r="321" spans="1:13" ht="12.75" customHeight="1">
      <c r="A321" s="212"/>
      <c r="B321" s="212"/>
      <c r="C321" s="212"/>
      <c r="D321" s="212"/>
      <c r="E321" s="212"/>
      <c r="F321" s="212"/>
      <c r="G321" s="212"/>
      <c r="H321" s="212"/>
      <c r="J321" s="212"/>
      <c r="K321" s="212"/>
      <c r="M321" s="344"/>
    </row>
    <row r="322" spans="1:13" ht="12.75" customHeight="1">
      <c r="A322" s="212"/>
      <c r="B322" s="212"/>
      <c r="C322" s="212"/>
      <c r="D322" s="212"/>
      <c r="E322" s="212"/>
      <c r="F322" s="212"/>
      <c r="G322" s="212"/>
      <c r="H322" s="212"/>
      <c r="J322" s="212"/>
      <c r="K322" s="212"/>
      <c r="M322" s="344"/>
    </row>
    <row r="323" spans="1:13" ht="12.75" customHeight="1">
      <c r="A323" s="212"/>
      <c r="B323" s="212"/>
      <c r="C323" s="212"/>
      <c r="D323" s="212"/>
      <c r="E323" s="212"/>
      <c r="F323" s="212"/>
      <c r="G323" s="212"/>
      <c r="H323" s="212"/>
      <c r="J323" s="212"/>
      <c r="K323" s="212"/>
      <c r="M323" s="344"/>
    </row>
    <row r="324" spans="1:13" ht="12.75" customHeight="1">
      <c r="A324" s="212"/>
      <c r="B324" s="212"/>
      <c r="C324" s="212"/>
      <c r="D324" s="212"/>
      <c r="E324" s="212"/>
      <c r="F324" s="212"/>
      <c r="G324" s="212"/>
      <c r="H324" s="212"/>
      <c r="J324" s="212"/>
      <c r="K324" s="212"/>
      <c r="M324" s="344"/>
    </row>
    <row r="325" spans="1:13" ht="12.75" customHeight="1">
      <c r="A325" s="212"/>
      <c r="B325" s="212"/>
      <c r="C325" s="212"/>
      <c r="D325" s="212"/>
      <c r="E325" s="212"/>
      <c r="F325" s="212"/>
      <c r="G325" s="212"/>
      <c r="H325" s="212"/>
      <c r="J325" s="212"/>
      <c r="K325" s="212"/>
      <c r="M325" s="344"/>
    </row>
    <row r="326" spans="1:13" ht="12.75" customHeight="1">
      <c r="A326" s="212"/>
      <c r="B326" s="212"/>
      <c r="C326" s="212"/>
      <c r="D326" s="212"/>
      <c r="E326" s="212"/>
      <c r="F326" s="212"/>
      <c r="G326" s="212"/>
      <c r="H326" s="212"/>
      <c r="J326" s="212"/>
      <c r="K326" s="212"/>
      <c r="M326" s="344"/>
    </row>
    <row r="327" spans="1:13" ht="12.75" customHeight="1">
      <c r="A327" s="212"/>
      <c r="B327" s="212"/>
      <c r="C327" s="212"/>
      <c r="D327" s="212"/>
      <c r="E327" s="212"/>
      <c r="F327" s="212"/>
      <c r="G327" s="212"/>
      <c r="H327" s="212"/>
      <c r="J327" s="212"/>
      <c r="K327" s="212"/>
      <c r="M327" s="344"/>
    </row>
    <row r="328" spans="1:13" ht="12.75" customHeight="1">
      <c r="A328" s="212"/>
      <c r="B328" s="212"/>
      <c r="C328" s="212"/>
      <c r="D328" s="212"/>
      <c r="E328" s="212"/>
      <c r="F328" s="212"/>
      <c r="G328" s="212"/>
      <c r="H328" s="212"/>
      <c r="J328" s="212"/>
      <c r="K328" s="212"/>
      <c r="M328" s="344"/>
    </row>
    <row r="329" spans="1:13" ht="12.75" customHeight="1">
      <c r="A329" s="212"/>
      <c r="B329" s="212"/>
      <c r="C329" s="212"/>
      <c r="D329" s="212"/>
      <c r="E329" s="212"/>
      <c r="F329" s="212"/>
      <c r="G329" s="212"/>
      <c r="H329" s="212"/>
      <c r="J329" s="212"/>
      <c r="K329" s="212"/>
      <c r="M329" s="344"/>
    </row>
    <row r="330" spans="1:13" ht="12.75" customHeight="1">
      <c r="A330" s="212"/>
      <c r="B330" s="212"/>
      <c r="C330" s="212"/>
      <c r="D330" s="212"/>
      <c r="E330" s="212"/>
      <c r="F330" s="212"/>
      <c r="G330" s="212"/>
      <c r="H330" s="212"/>
      <c r="J330" s="212"/>
      <c r="K330" s="212"/>
      <c r="M330" s="344"/>
    </row>
    <row r="331" spans="1:13" ht="12.75" customHeight="1">
      <c r="A331" s="212"/>
      <c r="B331" s="212"/>
      <c r="C331" s="212"/>
      <c r="D331" s="212"/>
      <c r="E331" s="212"/>
      <c r="F331" s="212"/>
      <c r="G331" s="212"/>
      <c r="H331" s="212"/>
      <c r="J331" s="212"/>
      <c r="K331" s="212"/>
      <c r="M331" s="344"/>
    </row>
    <row r="332" spans="1:13" ht="12.75" customHeight="1">
      <c r="A332" s="212"/>
      <c r="B332" s="212"/>
      <c r="C332" s="212"/>
      <c r="D332" s="212"/>
      <c r="E332" s="212"/>
      <c r="F332" s="212"/>
      <c r="G332" s="212"/>
      <c r="H332" s="212"/>
      <c r="J332" s="212"/>
      <c r="K332" s="212"/>
      <c r="M332" s="344"/>
    </row>
    <row r="333" spans="1:13" ht="12.75" customHeight="1">
      <c r="A333" s="212"/>
      <c r="B333" s="212"/>
      <c r="C333" s="212"/>
      <c r="D333" s="212"/>
      <c r="E333" s="212"/>
      <c r="F333" s="212"/>
      <c r="G333" s="212"/>
      <c r="H333" s="212"/>
      <c r="J333" s="212"/>
      <c r="K333" s="212"/>
      <c r="M333" s="344"/>
    </row>
    <row r="334" spans="1:13" ht="12.75" customHeight="1">
      <c r="A334" s="212"/>
      <c r="B334" s="212"/>
      <c r="C334" s="212"/>
      <c r="D334" s="212"/>
      <c r="E334" s="212"/>
      <c r="F334" s="212"/>
      <c r="G334" s="212"/>
      <c r="H334" s="212"/>
      <c r="J334" s="212"/>
      <c r="K334" s="212"/>
      <c r="M334" s="344"/>
    </row>
    <row r="335" spans="1:13" ht="12.75" customHeight="1">
      <c r="A335" s="212"/>
      <c r="B335" s="212"/>
      <c r="C335" s="212"/>
      <c r="D335" s="212"/>
      <c r="E335" s="212"/>
      <c r="F335" s="212"/>
      <c r="G335" s="212"/>
      <c r="H335" s="212"/>
      <c r="J335" s="212"/>
      <c r="K335" s="212"/>
      <c r="M335" s="344"/>
    </row>
    <row r="336" spans="1:13" ht="12.75" customHeight="1">
      <c r="A336" s="212"/>
      <c r="B336" s="212"/>
      <c r="C336" s="212"/>
      <c r="D336" s="212"/>
      <c r="E336" s="212"/>
      <c r="F336" s="212"/>
      <c r="G336" s="212"/>
      <c r="H336" s="212"/>
      <c r="J336" s="212"/>
      <c r="K336" s="212"/>
      <c r="M336" s="344"/>
    </row>
    <row r="337" spans="1:13" ht="12.75" customHeight="1">
      <c r="A337" s="212"/>
      <c r="B337" s="212"/>
      <c r="C337" s="212"/>
      <c r="D337" s="212"/>
      <c r="E337" s="212"/>
      <c r="F337" s="212"/>
      <c r="G337" s="212"/>
      <c r="H337" s="212"/>
      <c r="J337" s="212"/>
      <c r="K337" s="212"/>
      <c r="M337" s="344"/>
    </row>
    <row r="338" spans="1:13" ht="12.75" customHeight="1">
      <c r="A338" s="212"/>
      <c r="B338" s="212"/>
      <c r="C338" s="212"/>
      <c r="D338" s="212"/>
      <c r="E338" s="212"/>
      <c r="F338" s="212"/>
      <c r="G338" s="212"/>
      <c r="H338" s="212"/>
      <c r="J338" s="212"/>
      <c r="K338" s="212"/>
      <c r="M338" s="344"/>
    </row>
    <row r="339" spans="1:13" ht="12.75" customHeight="1">
      <c r="A339" s="212"/>
      <c r="B339" s="212"/>
      <c r="C339" s="212"/>
      <c r="D339" s="212"/>
      <c r="E339" s="212"/>
      <c r="F339" s="212"/>
      <c r="G339" s="212"/>
      <c r="H339" s="212"/>
      <c r="J339" s="212"/>
      <c r="K339" s="212"/>
      <c r="M339" s="344"/>
    </row>
    <row r="340" spans="1:13" ht="12.75" customHeight="1">
      <c r="A340" s="212"/>
      <c r="B340" s="212"/>
      <c r="C340" s="212"/>
      <c r="D340" s="212"/>
      <c r="E340" s="212"/>
      <c r="F340" s="212"/>
      <c r="G340" s="212"/>
      <c r="H340" s="212"/>
      <c r="J340" s="212"/>
      <c r="K340" s="212"/>
      <c r="M340" s="344"/>
    </row>
    <row r="341" spans="1:13" ht="12.75" customHeight="1">
      <c r="A341" s="212"/>
      <c r="B341" s="212"/>
      <c r="C341" s="212"/>
      <c r="D341" s="212"/>
      <c r="E341" s="212"/>
      <c r="F341" s="212"/>
      <c r="G341" s="212"/>
      <c r="H341" s="212"/>
      <c r="J341" s="212"/>
      <c r="K341" s="212"/>
      <c r="M341" s="344"/>
    </row>
    <row r="342" spans="1:13" ht="12.75" customHeight="1">
      <c r="A342" s="212"/>
      <c r="B342" s="212"/>
      <c r="C342" s="212"/>
      <c r="D342" s="212"/>
      <c r="E342" s="212"/>
      <c r="F342" s="212"/>
      <c r="G342" s="212"/>
      <c r="H342" s="212"/>
      <c r="J342" s="212"/>
      <c r="K342" s="212"/>
      <c r="M342" s="344"/>
    </row>
    <row r="343" spans="1:13" ht="12.75" customHeight="1">
      <c r="A343" s="212"/>
      <c r="B343" s="212"/>
      <c r="C343" s="212"/>
      <c r="D343" s="212"/>
      <c r="E343" s="212"/>
      <c r="F343" s="212"/>
      <c r="G343" s="212"/>
      <c r="H343" s="212"/>
      <c r="J343" s="212"/>
      <c r="K343" s="212"/>
      <c r="M343" s="344"/>
    </row>
    <row r="344" spans="1:13" ht="12.75" customHeight="1">
      <c r="A344" s="212"/>
      <c r="B344" s="212"/>
      <c r="C344" s="212"/>
      <c r="D344" s="212"/>
      <c r="E344" s="212"/>
      <c r="F344" s="212"/>
      <c r="G344" s="212"/>
      <c r="H344" s="212"/>
      <c r="J344" s="212"/>
      <c r="K344" s="212"/>
      <c r="M344" s="344"/>
    </row>
    <row r="345" spans="1:13" ht="12.75" customHeight="1">
      <c r="A345" s="212"/>
      <c r="B345" s="212"/>
      <c r="C345" s="212"/>
      <c r="D345" s="212"/>
      <c r="E345" s="212"/>
      <c r="F345" s="212"/>
      <c r="G345" s="212"/>
      <c r="H345" s="212"/>
      <c r="J345" s="212"/>
      <c r="K345" s="212"/>
      <c r="M345" s="344"/>
    </row>
    <row r="346" spans="1:13" ht="12.75" customHeight="1">
      <c r="A346" s="212"/>
      <c r="B346" s="212"/>
      <c r="C346" s="212"/>
      <c r="D346" s="212"/>
      <c r="E346" s="212"/>
      <c r="F346" s="212"/>
      <c r="G346" s="212"/>
      <c r="H346" s="212"/>
      <c r="J346" s="212"/>
      <c r="K346" s="212"/>
      <c r="M346" s="344"/>
    </row>
    <row r="347" spans="1:13" ht="12.75" customHeight="1">
      <c r="A347" s="212"/>
      <c r="B347" s="212"/>
      <c r="C347" s="212"/>
      <c r="D347" s="212"/>
      <c r="E347" s="212"/>
      <c r="F347" s="212"/>
      <c r="G347" s="212"/>
      <c r="H347" s="212"/>
      <c r="J347" s="212"/>
      <c r="K347" s="212"/>
      <c r="M347" s="344"/>
    </row>
    <row r="348" spans="1:13" ht="12.75" customHeight="1">
      <c r="A348" s="212"/>
      <c r="B348" s="212"/>
      <c r="C348" s="212"/>
      <c r="D348" s="212"/>
      <c r="E348" s="212"/>
      <c r="F348" s="212"/>
      <c r="G348" s="212"/>
      <c r="H348" s="212"/>
      <c r="J348" s="212"/>
      <c r="K348" s="212"/>
      <c r="M348" s="344"/>
    </row>
    <row r="349" spans="1:13" ht="12.75" customHeight="1">
      <c r="A349" s="212"/>
      <c r="B349" s="212"/>
      <c r="C349" s="212"/>
      <c r="D349" s="212"/>
      <c r="E349" s="212"/>
      <c r="F349" s="212"/>
      <c r="G349" s="212"/>
      <c r="H349" s="212"/>
      <c r="J349" s="212"/>
      <c r="K349" s="212"/>
      <c r="M349" s="344"/>
    </row>
    <row r="350" spans="1:13" ht="12.75" customHeight="1">
      <c r="A350" s="212"/>
      <c r="B350" s="212"/>
      <c r="C350" s="212"/>
      <c r="D350" s="212"/>
      <c r="E350" s="212"/>
      <c r="F350" s="212"/>
      <c r="G350" s="212"/>
      <c r="H350" s="212"/>
      <c r="J350" s="212"/>
      <c r="K350" s="212"/>
      <c r="M350" s="344"/>
    </row>
    <row r="351" spans="1:13" ht="12.75" customHeight="1">
      <c r="A351" s="212"/>
      <c r="B351" s="212"/>
      <c r="C351" s="212"/>
      <c r="D351" s="212"/>
      <c r="E351" s="212"/>
      <c r="F351" s="212"/>
      <c r="G351" s="212"/>
      <c r="H351" s="212"/>
      <c r="J351" s="212"/>
      <c r="K351" s="212"/>
      <c r="M351" s="344"/>
    </row>
    <row r="352" spans="1:13" ht="12.75" customHeight="1">
      <c r="A352" s="212"/>
      <c r="B352" s="212"/>
      <c r="C352" s="212"/>
      <c r="D352" s="212"/>
      <c r="E352" s="212"/>
      <c r="F352" s="212"/>
      <c r="G352" s="212"/>
      <c r="H352" s="212"/>
      <c r="J352" s="212"/>
      <c r="K352" s="212"/>
      <c r="M352" s="344"/>
    </row>
    <row r="353" spans="1:13" ht="12.75" customHeight="1">
      <c r="A353" s="212"/>
      <c r="B353" s="212"/>
      <c r="C353" s="212"/>
      <c r="D353" s="212"/>
      <c r="E353" s="212"/>
      <c r="F353" s="212"/>
      <c r="G353" s="212"/>
      <c r="H353" s="212"/>
      <c r="J353" s="212"/>
      <c r="K353" s="212"/>
      <c r="M353" s="344"/>
    </row>
    <row r="354" spans="1:13" ht="12.75" customHeight="1">
      <c r="A354" s="212"/>
      <c r="B354" s="212"/>
      <c r="C354" s="212"/>
      <c r="D354" s="212"/>
      <c r="E354" s="212"/>
      <c r="F354" s="212"/>
      <c r="G354" s="212"/>
      <c r="H354" s="212"/>
      <c r="J354" s="212"/>
      <c r="K354" s="212"/>
      <c r="M354" s="344"/>
    </row>
    <row r="355" spans="1:13" ht="12.75" customHeight="1">
      <c r="A355" s="212"/>
      <c r="B355" s="212"/>
      <c r="C355" s="212"/>
      <c r="D355" s="212"/>
      <c r="E355" s="212"/>
      <c r="F355" s="212"/>
      <c r="G355" s="212"/>
      <c r="H355" s="212"/>
      <c r="J355" s="212"/>
      <c r="K355" s="212"/>
      <c r="M355" s="344"/>
    </row>
    <row r="356" spans="1:13" ht="12.75" customHeight="1">
      <c r="A356" s="212"/>
      <c r="B356" s="212"/>
      <c r="C356" s="212"/>
      <c r="D356" s="212"/>
      <c r="E356" s="212"/>
      <c r="F356" s="212"/>
      <c r="G356" s="212"/>
      <c r="H356" s="212"/>
      <c r="J356" s="212"/>
      <c r="K356" s="212"/>
      <c r="M356" s="344"/>
    </row>
    <row r="357" spans="1:13" ht="12.75" customHeight="1">
      <c r="A357" s="212"/>
      <c r="B357" s="212"/>
      <c r="C357" s="212"/>
      <c r="D357" s="212"/>
      <c r="E357" s="212"/>
      <c r="F357" s="212"/>
      <c r="G357" s="212"/>
      <c r="H357" s="212"/>
      <c r="J357" s="212"/>
      <c r="K357" s="212"/>
      <c r="M357" s="344"/>
    </row>
    <row r="358" spans="1:13" ht="12.75" customHeight="1">
      <c r="A358" s="212"/>
      <c r="B358" s="212"/>
      <c r="C358" s="212"/>
      <c r="D358" s="212"/>
      <c r="E358" s="212"/>
      <c r="F358" s="212"/>
      <c r="G358" s="212"/>
      <c r="H358" s="212"/>
      <c r="J358" s="212"/>
      <c r="K358" s="212"/>
      <c r="M358" s="344"/>
    </row>
    <row r="359" spans="1:13" ht="12.75" customHeight="1">
      <c r="A359" s="212"/>
      <c r="B359" s="212"/>
      <c r="C359" s="212"/>
      <c r="D359" s="212"/>
      <c r="E359" s="212"/>
      <c r="F359" s="212"/>
      <c r="G359" s="212"/>
      <c r="H359" s="212"/>
      <c r="J359" s="212"/>
      <c r="K359" s="212"/>
      <c r="M359" s="344"/>
    </row>
    <row r="360" spans="1:13" ht="12.75" customHeight="1">
      <c r="A360" s="212"/>
      <c r="B360" s="212"/>
      <c r="C360" s="212"/>
      <c r="D360" s="212"/>
      <c r="E360" s="212"/>
      <c r="F360" s="212"/>
      <c r="G360" s="212"/>
      <c r="H360" s="212"/>
      <c r="J360" s="212"/>
      <c r="K360" s="212"/>
      <c r="M360" s="344"/>
    </row>
    <row r="361" spans="1:13" ht="12.75" customHeight="1">
      <c r="A361" s="212"/>
      <c r="B361" s="212"/>
      <c r="C361" s="212"/>
      <c r="D361" s="212"/>
      <c r="E361" s="212"/>
      <c r="F361" s="212"/>
      <c r="G361" s="212"/>
      <c r="H361" s="212"/>
      <c r="J361" s="212"/>
      <c r="K361" s="212"/>
      <c r="M361" s="344"/>
    </row>
    <row r="362" spans="1:13" ht="12.75" customHeight="1">
      <c r="A362" s="212"/>
      <c r="B362" s="212"/>
      <c r="C362" s="212"/>
      <c r="D362" s="212"/>
      <c r="E362" s="212"/>
      <c r="F362" s="212"/>
      <c r="G362" s="212"/>
      <c r="H362" s="212"/>
      <c r="J362" s="212"/>
      <c r="K362" s="212"/>
      <c r="M362" s="344"/>
    </row>
    <row r="363" spans="1:13" ht="12.75" customHeight="1">
      <c r="A363" s="212"/>
      <c r="B363" s="212"/>
      <c r="C363" s="212"/>
      <c r="D363" s="212"/>
      <c r="E363" s="212"/>
      <c r="F363" s="212"/>
      <c r="G363" s="212"/>
      <c r="H363" s="212"/>
      <c r="J363" s="212"/>
      <c r="K363" s="212"/>
      <c r="M363" s="344"/>
    </row>
    <row r="364" spans="1:13" ht="12.75" customHeight="1">
      <c r="A364" s="212"/>
      <c r="B364" s="212"/>
      <c r="C364" s="212"/>
      <c r="D364" s="212"/>
      <c r="E364" s="212"/>
      <c r="F364" s="212"/>
      <c r="G364" s="212"/>
      <c r="H364" s="212"/>
      <c r="J364" s="212"/>
      <c r="K364" s="212"/>
      <c r="M364" s="344"/>
    </row>
    <row r="365" spans="1:13" ht="12.75" customHeight="1">
      <c r="A365" s="212"/>
      <c r="B365" s="212"/>
      <c r="C365" s="212"/>
      <c r="D365" s="212"/>
      <c r="E365" s="212"/>
      <c r="F365" s="212"/>
      <c r="G365" s="212"/>
      <c r="H365" s="212"/>
      <c r="J365" s="212"/>
      <c r="K365" s="212"/>
      <c r="M365" s="344"/>
    </row>
    <row r="366" spans="1:13" ht="12.75" customHeight="1">
      <c r="A366" s="212"/>
      <c r="B366" s="212"/>
      <c r="C366" s="212"/>
      <c r="D366" s="212"/>
      <c r="E366" s="212"/>
      <c r="F366" s="212"/>
      <c r="G366" s="212"/>
      <c r="H366" s="212"/>
      <c r="J366" s="212"/>
      <c r="K366" s="212"/>
      <c r="M366" s="344"/>
    </row>
    <row r="367" spans="1:13" ht="12.75" customHeight="1">
      <c r="A367" s="212"/>
      <c r="B367" s="212"/>
      <c r="C367" s="212"/>
      <c r="D367" s="212"/>
      <c r="E367" s="212"/>
      <c r="F367" s="212"/>
      <c r="G367" s="212"/>
      <c r="H367" s="212"/>
      <c r="J367" s="212"/>
      <c r="K367" s="212"/>
      <c r="M367" s="344"/>
    </row>
    <row r="368" spans="1:13" ht="12.75" customHeight="1">
      <c r="A368" s="212"/>
      <c r="B368" s="212"/>
      <c r="C368" s="212"/>
      <c r="D368" s="212"/>
      <c r="E368" s="212"/>
      <c r="F368" s="212"/>
      <c r="G368" s="212"/>
      <c r="H368" s="212"/>
      <c r="J368" s="212"/>
      <c r="K368" s="212"/>
      <c r="M368" s="344"/>
    </row>
    <row r="369" spans="1:13" ht="12.75" customHeight="1">
      <c r="A369" s="212"/>
      <c r="B369" s="212"/>
      <c r="C369" s="212"/>
      <c r="D369" s="212"/>
      <c r="E369" s="212"/>
      <c r="F369" s="212"/>
      <c r="G369" s="212"/>
      <c r="H369" s="212"/>
      <c r="J369" s="212"/>
      <c r="K369" s="212"/>
      <c r="M369" s="344"/>
    </row>
    <row r="370" spans="1:13" ht="12.75" customHeight="1">
      <c r="A370" s="212"/>
      <c r="B370" s="212"/>
      <c r="C370" s="212"/>
      <c r="D370" s="212"/>
      <c r="E370" s="212"/>
      <c r="F370" s="212"/>
      <c r="G370" s="212"/>
      <c r="H370" s="212"/>
      <c r="J370" s="212"/>
      <c r="K370" s="212"/>
      <c r="M370" s="344"/>
    </row>
    <row r="371" spans="1:13" ht="12.75" customHeight="1">
      <c r="A371" s="212"/>
      <c r="B371" s="212"/>
      <c r="C371" s="212"/>
      <c r="D371" s="212"/>
      <c r="E371" s="212"/>
      <c r="F371" s="212"/>
      <c r="G371" s="212"/>
      <c r="H371" s="212"/>
      <c r="J371" s="212"/>
      <c r="K371" s="212"/>
      <c r="M371" s="344"/>
    </row>
    <row r="372" spans="1:13" ht="12.75" customHeight="1">
      <c r="A372" s="212"/>
      <c r="B372" s="212"/>
      <c r="C372" s="212"/>
      <c r="D372" s="212"/>
      <c r="E372" s="212"/>
      <c r="F372" s="212"/>
      <c r="G372" s="212"/>
      <c r="H372" s="212"/>
      <c r="J372" s="212"/>
      <c r="K372" s="212"/>
      <c r="M372" s="344"/>
    </row>
    <row r="373" spans="1:13" ht="12.75" customHeight="1">
      <c r="A373" s="212"/>
      <c r="B373" s="212"/>
      <c r="C373" s="212"/>
      <c r="D373" s="212"/>
      <c r="E373" s="212"/>
      <c r="F373" s="212"/>
      <c r="G373" s="212"/>
      <c r="H373" s="212"/>
      <c r="J373" s="212"/>
      <c r="K373" s="212"/>
      <c r="M373" s="344"/>
    </row>
    <row r="374" spans="1:13" ht="12.75" customHeight="1">
      <c r="A374" s="212"/>
      <c r="B374" s="212"/>
      <c r="C374" s="212"/>
      <c r="D374" s="212"/>
      <c r="E374" s="212"/>
      <c r="F374" s="212"/>
      <c r="G374" s="212"/>
      <c r="H374" s="212"/>
      <c r="J374" s="212"/>
      <c r="K374" s="212"/>
      <c r="M374" s="344"/>
    </row>
    <row r="375" spans="1:13" ht="12.75" customHeight="1">
      <c r="A375" s="212"/>
      <c r="B375" s="212"/>
      <c r="C375" s="212"/>
      <c r="D375" s="212"/>
      <c r="E375" s="212"/>
      <c r="F375" s="212"/>
      <c r="G375" s="212"/>
      <c r="H375" s="212"/>
      <c r="J375" s="212"/>
      <c r="K375" s="212"/>
      <c r="M375" s="344"/>
    </row>
    <row r="376" spans="1:13" ht="12.75" customHeight="1">
      <c r="A376" s="212"/>
      <c r="B376" s="212"/>
      <c r="C376" s="212"/>
      <c r="D376" s="212"/>
      <c r="E376" s="212"/>
      <c r="F376" s="212"/>
      <c r="G376" s="212"/>
      <c r="H376" s="212"/>
      <c r="J376" s="212"/>
      <c r="K376" s="212"/>
      <c r="M376" s="344"/>
    </row>
    <row r="377" spans="1:13" ht="12.75" customHeight="1">
      <c r="A377" s="212"/>
      <c r="B377" s="212"/>
      <c r="C377" s="212"/>
      <c r="D377" s="212"/>
      <c r="E377" s="212"/>
      <c r="F377" s="212"/>
      <c r="G377" s="212"/>
      <c r="H377" s="212"/>
      <c r="J377" s="212"/>
      <c r="K377" s="212"/>
      <c r="M377" s="344"/>
    </row>
    <row r="378" spans="1:13" ht="12.75" customHeight="1">
      <c r="A378" s="212"/>
      <c r="B378" s="212"/>
      <c r="C378" s="212"/>
      <c r="D378" s="212"/>
      <c r="E378" s="212"/>
      <c r="F378" s="212"/>
      <c r="G378" s="212"/>
      <c r="H378" s="212"/>
      <c r="J378" s="212"/>
      <c r="K378" s="212"/>
      <c r="M378" s="344"/>
    </row>
    <row r="379" spans="1:13" ht="12.75" customHeight="1">
      <c r="A379" s="212"/>
      <c r="B379" s="212"/>
      <c r="C379" s="212"/>
      <c r="D379" s="212"/>
      <c r="E379" s="212"/>
      <c r="F379" s="212"/>
      <c r="G379" s="212"/>
      <c r="H379" s="212"/>
      <c r="J379" s="212"/>
      <c r="K379" s="212"/>
      <c r="M379" s="344"/>
    </row>
    <row r="380" spans="1:13" ht="12.75" customHeight="1">
      <c r="A380" s="212"/>
      <c r="B380" s="212"/>
      <c r="C380" s="212"/>
      <c r="D380" s="212"/>
      <c r="E380" s="212"/>
      <c r="F380" s="212"/>
      <c r="G380" s="212"/>
      <c r="H380" s="212"/>
      <c r="J380" s="212"/>
      <c r="K380" s="212"/>
      <c r="M380" s="344"/>
    </row>
    <row r="381" spans="1:13" ht="12.75" customHeight="1">
      <c r="A381" s="212"/>
      <c r="B381" s="212"/>
      <c r="C381" s="212"/>
      <c r="D381" s="212"/>
      <c r="E381" s="212"/>
      <c r="F381" s="212"/>
      <c r="G381" s="212"/>
      <c r="H381" s="212"/>
      <c r="J381" s="212"/>
      <c r="K381" s="212"/>
      <c r="M381" s="344"/>
    </row>
    <row r="382" spans="1:13" ht="12.75" customHeight="1">
      <c r="A382" s="212"/>
      <c r="B382" s="212"/>
      <c r="C382" s="212"/>
      <c r="D382" s="212"/>
      <c r="E382" s="212"/>
      <c r="F382" s="212"/>
      <c r="G382" s="212"/>
      <c r="H382" s="212"/>
      <c r="J382" s="212"/>
      <c r="K382" s="212"/>
      <c r="M382" s="344"/>
    </row>
    <row r="383" spans="1:13" ht="12.75" customHeight="1">
      <c r="A383" s="212"/>
      <c r="B383" s="212"/>
      <c r="C383" s="212"/>
      <c r="D383" s="212"/>
      <c r="E383" s="212"/>
      <c r="F383" s="212"/>
      <c r="G383" s="212"/>
      <c r="H383" s="212"/>
      <c r="J383" s="212"/>
      <c r="K383" s="212"/>
      <c r="M383" s="344"/>
    </row>
    <row r="384" spans="1:13" ht="12.75" customHeight="1">
      <c r="A384" s="212"/>
      <c r="B384" s="212"/>
      <c r="C384" s="212"/>
      <c r="D384" s="212"/>
      <c r="E384" s="212"/>
      <c r="F384" s="212"/>
      <c r="G384" s="212"/>
      <c r="H384" s="212"/>
      <c r="J384" s="212"/>
      <c r="K384" s="212"/>
      <c r="M384" s="344"/>
    </row>
    <row r="385" spans="1:13" ht="12.75" customHeight="1">
      <c r="A385" s="212"/>
      <c r="B385" s="212"/>
      <c r="C385" s="212"/>
      <c r="D385" s="212"/>
      <c r="E385" s="212"/>
      <c r="F385" s="212"/>
      <c r="G385" s="212"/>
      <c r="H385" s="212"/>
      <c r="J385" s="212"/>
      <c r="K385" s="212"/>
      <c r="M385" s="344"/>
    </row>
    <row r="386" spans="1:13" ht="12.75" customHeight="1">
      <c r="A386" s="212"/>
      <c r="B386" s="212"/>
      <c r="C386" s="212"/>
      <c r="D386" s="212"/>
      <c r="E386" s="212"/>
      <c r="F386" s="212"/>
      <c r="G386" s="212"/>
      <c r="H386" s="212"/>
      <c r="J386" s="212"/>
      <c r="K386" s="212"/>
      <c r="M386" s="344"/>
    </row>
    <row r="387" spans="1:13" ht="12.75" customHeight="1">
      <c r="A387" s="212"/>
      <c r="B387" s="212"/>
      <c r="C387" s="212"/>
      <c r="D387" s="212"/>
      <c r="E387" s="212"/>
      <c r="F387" s="212"/>
      <c r="G387" s="212"/>
      <c r="H387" s="212"/>
      <c r="J387" s="212"/>
      <c r="K387" s="212"/>
      <c r="M387" s="344"/>
    </row>
    <row r="388" spans="1:13" ht="12.75" customHeight="1">
      <c r="A388" s="212"/>
      <c r="B388" s="212"/>
      <c r="C388" s="212"/>
      <c r="D388" s="212"/>
      <c r="E388" s="212"/>
      <c r="F388" s="212"/>
      <c r="G388" s="212"/>
      <c r="H388" s="212"/>
      <c r="J388" s="212"/>
      <c r="K388" s="212"/>
      <c r="M388" s="344"/>
    </row>
    <row r="389" spans="1:13" ht="12.75" customHeight="1">
      <c r="A389" s="212"/>
      <c r="B389" s="212"/>
      <c r="C389" s="212"/>
      <c r="D389" s="212"/>
      <c r="E389" s="212"/>
      <c r="F389" s="212"/>
      <c r="G389" s="212"/>
      <c r="H389" s="212"/>
      <c r="J389" s="212"/>
      <c r="K389" s="212"/>
      <c r="M389" s="344"/>
    </row>
    <row r="390" spans="1:13" ht="12.75" customHeight="1">
      <c r="A390" s="212"/>
      <c r="B390" s="212"/>
      <c r="C390" s="212"/>
      <c r="D390" s="212"/>
      <c r="E390" s="212"/>
      <c r="F390" s="212"/>
      <c r="G390" s="212"/>
      <c r="H390" s="212"/>
      <c r="J390" s="212"/>
      <c r="K390" s="212"/>
      <c r="M390" s="344"/>
    </row>
    <row r="391" spans="1:13" ht="12.75" customHeight="1">
      <c r="A391" s="212"/>
      <c r="B391" s="212"/>
      <c r="C391" s="212"/>
      <c r="D391" s="212"/>
      <c r="E391" s="212"/>
      <c r="F391" s="212"/>
      <c r="G391" s="212"/>
      <c r="H391" s="212"/>
      <c r="J391" s="212"/>
      <c r="K391" s="212"/>
      <c r="M391" s="344"/>
    </row>
    <row r="392" spans="1:13" ht="12.75" customHeight="1">
      <c r="A392" s="212"/>
      <c r="B392" s="212"/>
      <c r="C392" s="212"/>
      <c r="D392" s="212"/>
      <c r="E392" s="212"/>
      <c r="F392" s="212"/>
      <c r="G392" s="212"/>
      <c r="H392" s="212"/>
      <c r="J392" s="212"/>
      <c r="K392" s="212"/>
      <c r="M392" s="344"/>
    </row>
    <row r="393" spans="1:13" ht="12.75" customHeight="1">
      <c r="A393" s="212"/>
      <c r="B393" s="212"/>
      <c r="C393" s="212"/>
      <c r="D393" s="212"/>
      <c r="E393" s="212"/>
      <c r="F393" s="212"/>
      <c r="G393" s="212"/>
      <c r="H393" s="212"/>
      <c r="J393" s="212"/>
      <c r="K393" s="212"/>
      <c r="M393" s="344"/>
    </row>
    <row r="394" spans="1:13" ht="12.75" customHeight="1">
      <c r="A394" s="212"/>
      <c r="B394" s="212"/>
      <c r="C394" s="212"/>
      <c r="D394" s="212"/>
      <c r="E394" s="212"/>
      <c r="F394" s="212"/>
      <c r="G394" s="212"/>
      <c r="H394" s="212"/>
      <c r="J394" s="212"/>
      <c r="K394" s="212"/>
      <c r="M394" s="344"/>
    </row>
    <row r="395" spans="1:13" ht="12.75" customHeight="1">
      <c r="A395" s="212"/>
      <c r="B395" s="212"/>
      <c r="C395" s="212"/>
      <c r="D395" s="212"/>
      <c r="E395" s="212"/>
      <c r="F395" s="212"/>
      <c r="G395" s="212"/>
      <c r="H395" s="212"/>
      <c r="J395" s="212"/>
      <c r="K395" s="212"/>
      <c r="M395" s="344"/>
    </row>
    <row r="396" spans="1:13" ht="12.75" customHeight="1">
      <c r="A396" s="212"/>
      <c r="B396" s="212"/>
      <c r="C396" s="212"/>
      <c r="D396" s="212"/>
      <c r="E396" s="212"/>
      <c r="F396" s="212"/>
      <c r="G396" s="212"/>
      <c r="H396" s="212"/>
      <c r="J396" s="212"/>
      <c r="K396" s="212"/>
      <c r="M396" s="344"/>
    </row>
    <row r="397" spans="1:13" ht="12.75" customHeight="1">
      <c r="A397" s="212"/>
      <c r="B397" s="212"/>
      <c r="C397" s="212"/>
      <c r="D397" s="212"/>
      <c r="E397" s="212"/>
      <c r="F397" s="212"/>
      <c r="G397" s="212"/>
      <c r="H397" s="212"/>
      <c r="J397" s="212"/>
      <c r="K397" s="212"/>
      <c r="M397" s="344"/>
    </row>
    <row r="398" spans="1:13" ht="12.75" customHeight="1">
      <c r="A398" s="212"/>
      <c r="B398" s="212"/>
      <c r="C398" s="212"/>
      <c r="D398" s="212"/>
      <c r="E398" s="212"/>
      <c r="F398" s="212"/>
      <c r="G398" s="212"/>
      <c r="H398" s="212"/>
      <c r="J398" s="212"/>
      <c r="K398" s="212"/>
      <c r="M398" s="344"/>
    </row>
    <row r="399" spans="1:13" ht="12.75" customHeight="1">
      <c r="A399" s="212"/>
      <c r="B399" s="212"/>
      <c r="C399" s="212"/>
      <c r="D399" s="212"/>
      <c r="E399" s="212"/>
      <c r="F399" s="212"/>
      <c r="G399" s="212"/>
      <c r="H399" s="212"/>
      <c r="J399" s="212"/>
      <c r="K399" s="212"/>
      <c r="M399" s="344"/>
    </row>
    <row r="400" spans="1:13" ht="12.75" customHeight="1">
      <c r="A400" s="212"/>
      <c r="B400" s="212"/>
      <c r="C400" s="212"/>
      <c r="D400" s="212"/>
      <c r="E400" s="212"/>
      <c r="F400" s="212"/>
      <c r="G400" s="212"/>
      <c r="H400" s="212"/>
      <c r="J400" s="212"/>
      <c r="K400" s="212"/>
      <c r="M400" s="344"/>
    </row>
    <row r="401" spans="1:13" ht="12.75" customHeight="1">
      <c r="A401" s="212"/>
      <c r="B401" s="212"/>
      <c r="C401" s="212"/>
      <c r="D401" s="212"/>
      <c r="E401" s="212"/>
      <c r="F401" s="212"/>
      <c r="G401" s="212"/>
      <c r="H401" s="212"/>
      <c r="J401" s="212"/>
      <c r="K401" s="212"/>
      <c r="M401" s="344"/>
    </row>
    <row r="402" spans="1:13" ht="12.75" customHeight="1">
      <c r="A402" s="212"/>
      <c r="B402" s="212"/>
      <c r="C402" s="212"/>
      <c r="D402" s="212"/>
      <c r="E402" s="212"/>
      <c r="F402" s="212"/>
      <c r="G402" s="212"/>
      <c r="H402" s="212"/>
      <c r="J402" s="212"/>
      <c r="K402" s="212"/>
      <c r="M402" s="344"/>
    </row>
    <row r="403" spans="1:13" ht="12.75" customHeight="1">
      <c r="A403" s="212"/>
      <c r="B403" s="212"/>
      <c r="C403" s="212"/>
      <c r="D403" s="212"/>
      <c r="E403" s="212"/>
      <c r="F403" s="212"/>
      <c r="G403" s="212"/>
      <c r="H403" s="212"/>
      <c r="J403" s="212"/>
      <c r="K403" s="212"/>
      <c r="M403" s="344"/>
    </row>
    <row r="404" spans="1:13" ht="12.75" customHeight="1">
      <c r="A404" s="212"/>
      <c r="B404" s="212"/>
      <c r="C404" s="212"/>
      <c r="D404" s="212"/>
      <c r="E404" s="212"/>
      <c r="F404" s="212"/>
      <c r="G404" s="212"/>
      <c r="H404" s="212"/>
      <c r="J404" s="212"/>
      <c r="K404" s="212"/>
      <c r="M404" s="344"/>
    </row>
    <row r="405" spans="1:13" ht="12.75" customHeight="1">
      <c r="A405" s="212"/>
      <c r="B405" s="212"/>
      <c r="C405" s="212"/>
      <c r="D405" s="212"/>
      <c r="E405" s="212"/>
      <c r="F405" s="212"/>
      <c r="G405" s="212"/>
      <c r="H405" s="212"/>
      <c r="J405" s="212"/>
      <c r="K405" s="212"/>
      <c r="M405" s="344"/>
    </row>
    <row r="406" spans="1:13" ht="12.75" customHeight="1">
      <c r="A406" s="212"/>
      <c r="B406" s="212"/>
      <c r="C406" s="212"/>
      <c r="D406" s="212"/>
      <c r="E406" s="212"/>
      <c r="F406" s="212"/>
      <c r="G406" s="212"/>
      <c r="H406" s="212"/>
      <c r="J406" s="212"/>
      <c r="K406" s="212"/>
      <c r="M406" s="344"/>
    </row>
    <row r="407" spans="1:13" ht="12.75" customHeight="1">
      <c r="A407" s="212"/>
      <c r="B407" s="212"/>
      <c r="C407" s="212"/>
      <c r="D407" s="212"/>
      <c r="E407" s="212"/>
      <c r="F407" s="212"/>
      <c r="G407" s="212"/>
      <c r="H407" s="212"/>
      <c r="J407" s="212"/>
      <c r="K407" s="212"/>
      <c r="M407" s="344"/>
    </row>
    <row r="408" spans="1:13" ht="12.75" customHeight="1">
      <c r="A408" s="212"/>
      <c r="B408" s="212"/>
      <c r="C408" s="212"/>
      <c r="D408" s="212"/>
      <c r="E408" s="212"/>
      <c r="F408" s="212"/>
      <c r="G408" s="212"/>
      <c r="H408" s="212"/>
      <c r="J408" s="212"/>
      <c r="K408" s="212"/>
      <c r="M408" s="344"/>
    </row>
    <row r="409" spans="1:13" ht="12.75" customHeight="1">
      <c r="A409" s="212"/>
      <c r="B409" s="212"/>
      <c r="C409" s="212"/>
      <c r="D409" s="212"/>
      <c r="E409" s="212"/>
      <c r="F409" s="212"/>
      <c r="G409" s="212"/>
      <c r="H409" s="212"/>
      <c r="J409" s="212"/>
      <c r="K409" s="212"/>
      <c r="M409" s="344"/>
    </row>
    <row r="410" spans="1:13" ht="12.75" customHeight="1">
      <c r="A410" s="212"/>
      <c r="B410" s="212"/>
      <c r="C410" s="212"/>
      <c r="D410" s="212"/>
      <c r="E410" s="212"/>
      <c r="F410" s="212"/>
      <c r="G410" s="212"/>
      <c r="H410" s="212"/>
      <c r="J410" s="212"/>
      <c r="K410" s="212"/>
      <c r="M410" s="344"/>
    </row>
    <row r="411" spans="1:13" ht="12.75" customHeight="1">
      <c r="A411" s="212"/>
      <c r="B411" s="212"/>
      <c r="C411" s="212"/>
      <c r="D411" s="212"/>
      <c r="E411" s="212"/>
      <c r="F411" s="212"/>
      <c r="G411" s="212"/>
      <c r="H411" s="212"/>
      <c r="J411" s="212"/>
      <c r="K411" s="212"/>
      <c r="M411" s="344"/>
    </row>
    <row r="412" spans="1:13" ht="12.75" customHeight="1">
      <c r="A412" s="212"/>
      <c r="B412" s="212"/>
      <c r="C412" s="212"/>
      <c r="D412" s="212"/>
      <c r="E412" s="212"/>
      <c r="F412" s="212"/>
      <c r="G412" s="212"/>
      <c r="H412" s="212"/>
      <c r="J412" s="212"/>
      <c r="K412" s="212"/>
      <c r="M412" s="344"/>
    </row>
    <row r="413" spans="1:13" ht="12.75" customHeight="1">
      <c r="A413" s="212"/>
      <c r="B413" s="212"/>
      <c r="C413" s="212"/>
      <c r="D413" s="212"/>
      <c r="E413" s="212"/>
      <c r="F413" s="212"/>
      <c r="G413" s="212"/>
      <c r="H413" s="212"/>
      <c r="J413" s="212"/>
      <c r="K413" s="212"/>
      <c r="M413" s="344"/>
    </row>
    <row r="414" spans="1:13" ht="12.75" customHeight="1">
      <c r="A414" s="212"/>
      <c r="B414" s="212"/>
      <c r="C414" s="212"/>
      <c r="D414" s="212"/>
      <c r="E414" s="212"/>
      <c r="F414" s="212"/>
      <c r="G414" s="212"/>
      <c r="H414" s="212"/>
      <c r="J414" s="212"/>
      <c r="K414" s="212"/>
      <c r="M414" s="344"/>
    </row>
    <row r="415" spans="1:13" ht="12.75" customHeight="1">
      <c r="A415" s="212"/>
      <c r="B415" s="212"/>
      <c r="C415" s="212"/>
      <c r="D415" s="212"/>
      <c r="E415" s="212"/>
      <c r="F415" s="212"/>
      <c r="G415" s="212"/>
      <c r="H415" s="212"/>
      <c r="J415" s="212"/>
      <c r="K415" s="212"/>
      <c r="M415" s="344"/>
    </row>
    <row r="416" spans="1:13" ht="12.75" customHeight="1">
      <c r="A416" s="212"/>
      <c r="B416" s="212"/>
      <c r="C416" s="212"/>
      <c r="D416" s="212"/>
      <c r="E416" s="212"/>
      <c r="F416" s="212"/>
      <c r="G416" s="212"/>
      <c r="H416" s="212"/>
      <c r="J416" s="212"/>
      <c r="K416" s="212"/>
      <c r="M416" s="344"/>
    </row>
    <row r="417" spans="1:13" ht="12.75" customHeight="1">
      <c r="A417" s="212"/>
      <c r="B417" s="212"/>
      <c r="C417" s="212"/>
      <c r="D417" s="212"/>
      <c r="E417" s="212"/>
      <c r="F417" s="212"/>
      <c r="G417" s="212"/>
      <c r="H417" s="212"/>
      <c r="J417" s="212"/>
      <c r="K417" s="212"/>
      <c r="M417" s="344"/>
    </row>
    <row r="418" spans="1:13" ht="12.75" customHeight="1">
      <c r="A418" s="212"/>
      <c r="B418" s="212"/>
      <c r="C418" s="212"/>
      <c r="D418" s="212"/>
      <c r="E418" s="212"/>
      <c r="F418" s="212"/>
      <c r="G418" s="212"/>
      <c r="H418" s="212"/>
      <c r="J418" s="212"/>
      <c r="K418" s="212"/>
      <c r="M418" s="344"/>
    </row>
    <row r="419" spans="1:13" ht="12.75" customHeight="1">
      <c r="A419" s="212"/>
      <c r="B419" s="212"/>
      <c r="C419" s="212"/>
      <c r="D419" s="212"/>
      <c r="E419" s="212"/>
      <c r="F419" s="212"/>
      <c r="G419" s="212"/>
      <c r="H419" s="212"/>
      <c r="J419" s="212"/>
      <c r="K419" s="212"/>
      <c r="M419" s="344"/>
    </row>
    <row r="420" spans="1:13" ht="12.75" customHeight="1">
      <c r="A420" s="212"/>
      <c r="B420" s="212"/>
      <c r="C420" s="212"/>
      <c r="D420" s="212"/>
      <c r="E420" s="212"/>
      <c r="F420" s="212"/>
      <c r="G420" s="212"/>
      <c r="H420" s="212"/>
      <c r="J420" s="212"/>
      <c r="K420" s="212"/>
      <c r="M420" s="344"/>
    </row>
    <row r="421" spans="1:13" ht="12.75" customHeight="1">
      <c r="A421" s="212"/>
      <c r="B421" s="212"/>
      <c r="C421" s="212"/>
      <c r="D421" s="212"/>
      <c r="E421" s="212"/>
      <c r="F421" s="212"/>
      <c r="G421" s="212"/>
      <c r="H421" s="212"/>
      <c r="J421" s="212"/>
      <c r="K421" s="212"/>
      <c r="M421" s="344"/>
    </row>
    <row r="422" spans="1:13" ht="12.75" customHeight="1">
      <c r="A422" s="212"/>
      <c r="B422" s="212"/>
      <c r="C422" s="212"/>
      <c r="D422" s="212"/>
      <c r="E422" s="212"/>
      <c r="F422" s="212"/>
      <c r="G422" s="212"/>
      <c r="H422" s="212"/>
      <c r="J422" s="212"/>
      <c r="K422" s="212"/>
      <c r="M422" s="344"/>
    </row>
    <row r="423" spans="1:13" ht="12.75" customHeight="1">
      <c r="A423" s="212"/>
      <c r="B423" s="212"/>
      <c r="C423" s="212"/>
      <c r="D423" s="212"/>
      <c r="E423" s="212"/>
      <c r="F423" s="212"/>
      <c r="G423" s="212"/>
      <c r="H423" s="212"/>
      <c r="J423" s="212"/>
      <c r="K423" s="212"/>
      <c r="M423" s="344"/>
    </row>
    <row r="424" spans="1:13" ht="12.75" customHeight="1">
      <c r="A424" s="212"/>
      <c r="B424" s="212"/>
      <c r="C424" s="212"/>
      <c r="D424" s="212"/>
      <c r="E424" s="212"/>
      <c r="F424" s="212"/>
      <c r="G424" s="212"/>
      <c r="H424" s="212"/>
      <c r="J424" s="212"/>
      <c r="K424" s="212"/>
      <c r="M424" s="344"/>
    </row>
    <row r="425" spans="1:13" ht="12.75" customHeight="1">
      <c r="A425" s="212"/>
      <c r="B425" s="212"/>
      <c r="C425" s="212"/>
      <c r="D425" s="212"/>
      <c r="E425" s="212"/>
      <c r="F425" s="212"/>
      <c r="G425" s="212"/>
      <c r="H425" s="212"/>
      <c r="J425" s="212"/>
      <c r="K425" s="212"/>
      <c r="M425" s="344"/>
    </row>
    <row r="426" spans="1:13" ht="12.75" customHeight="1">
      <c r="A426" s="212"/>
      <c r="B426" s="212"/>
      <c r="C426" s="212"/>
      <c r="D426" s="212"/>
      <c r="E426" s="212"/>
      <c r="F426" s="212"/>
      <c r="G426" s="212"/>
      <c r="H426" s="212"/>
      <c r="J426" s="212"/>
      <c r="K426" s="212"/>
      <c r="M426" s="344"/>
    </row>
    <row r="427" spans="1:13" ht="12.75" customHeight="1">
      <c r="A427" s="212"/>
      <c r="B427" s="212"/>
      <c r="C427" s="212"/>
      <c r="D427" s="212"/>
      <c r="E427" s="212"/>
      <c r="F427" s="212"/>
      <c r="G427" s="212"/>
      <c r="H427" s="212"/>
      <c r="J427" s="212"/>
      <c r="K427" s="212"/>
      <c r="M427" s="344"/>
    </row>
    <row r="428" spans="1:13" ht="12.75" customHeight="1">
      <c r="A428" s="212"/>
      <c r="B428" s="212"/>
      <c r="C428" s="212"/>
      <c r="D428" s="212"/>
      <c r="E428" s="212"/>
      <c r="F428" s="212"/>
      <c r="G428" s="212"/>
      <c r="H428" s="212"/>
      <c r="J428" s="212"/>
      <c r="K428" s="212"/>
      <c r="M428" s="344"/>
    </row>
    <row r="429" spans="1:13" ht="12.75" customHeight="1">
      <c r="A429" s="212"/>
      <c r="B429" s="212"/>
      <c r="C429" s="212"/>
      <c r="D429" s="212"/>
      <c r="E429" s="212"/>
      <c r="F429" s="212"/>
      <c r="G429" s="212"/>
      <c r="H429" s="212"/>
      <c r="J429" s="212"/>
      <c r="K429" s="212"/>
      <c r="M429" s="344"/>
    </row>
    <row r="430" spans="1:13" ht="12.75" customHeight="1">
      <c r="A430" s="212"/>
      <c r="B430" s="212"/>
      <c r="C430" s="212"/>
      <c r="D430" s="212"/>
      <c r="E430" s="212"/>
      <c r="F430" s="212"/>
      <c r="G430" s="212"/>
      <c r="H430" s="212"/>
      <c r="J430" s="212"/>
      <c r="K430" s="212"/>
      <c r="M430" s="344"/>
    </row>
    <row r="431" spans="1:13" ht="12.75" customHeight="1">
      <c r="A431" s="212"/>
      <c r="B431" s="212"/>
      <c r="C431" s="212"/>
      <c r="D431" s="212"/>
      <c r="E431" s="212"/>
      <c r="F431" s="212"/>
      <c r="G431" s="212"/>
      <c r="H431" s="212"/>
      <c r="J431" s="212"/>
      <c r="K431" s="212"/>
      <c r="M431" s="344"/>
    </row>
    <row r="432" spans="1:13" ht="12.75" customHeight="1">
      <c r="A432" s="212"/>
      <c r="B432" s="212"/>
      <c r="C432" s="212"/>
      <c r="D432" s="212"/>
      <c r="E432" s="212"/>
      <c r="F432" s="212"/>
      <c r="G432" s="212"/>
      <c r="H432" s="212"/>
      <c r="J432" s="212"/>
      <c r="K432" s="212"/>
      <c r="M432" s="344"/>
    </row>
    <row r="433" spans="1:13" ht="12.75" customHeight="1">
      <c r="A433" s="212"/>
      <c r="B433" s="212"/>
      <c r="C433" s="212"/>
      <c r="D433" s="212"/>
      <c r="E433" s="212"/>
      <c r="F433" s="212"/>
      <c r="G433" s="212"/>
      <c r="H433" s="212"/>
      <c r="J433" s="212"/>
      <c r="K433" s="212"/>
      <c r="M433" s="344"/>
    </row>
    <row r="434" spans="1:13" ht="12.75" customHeight="1">
      <c r="A434" s="212"/>
      <c r="B434" s="212"/>
      <c r="C434" s="212"/>
      <c r="D434" s="212"/>
      <c r="E434" s="212"/>
      <c r="F434" s="212"/>
      <c r="G434" s="212"/>
      <c r="H434" s="212"/>
      <c r="J434" s="212"/>
      <c r="K434" s="212"/>
      <c r="M434" s="344"/>
    </row>
    <row r="435" spans="1:13" ht="12.75" customHeight="1">
      <c r="A435" s="212"/>
      <c r="B435" s="212"/>
      <c r="C435" s="212"/>
      <c r="D435" s="212"/>
      <c r="E435" s="212"/>
      <c r="F435" s="212"/>
      <c r="G435" s="212"/>
      <c r="H435" s="212"/>
      <c r="J435" s="212"/>
      <c r="K435" s="212"/>
      <c r="M435" s="344"/>
    </row>
    <row r="436" spans="1:13" ht="12.75" customHeight="1">
      <c r="A436" s="212"/>
      <c r="B436" s="212"/>
      <c r="C436" s="212"/>
      <c r="D436" s="212"/>
      <c r="E436" s="212"/>
      <c r="F436" s="212"/>
      <c r="G436" s="212"/>
      <c r="H436" s="212"/>
      <c r="J436" s="212"/>
      <c r="K436" s="212"/>
      <c r="M436" s="344"/>
    </row>
    <row r="437" spans="1:13" ht="12.75" customHeight="1">
      <c r="A437" s="212"/>
      <c r="B437" s="212"/>
      <c r="C437" s="212"/>
      <c r="D437" s="212"/>
      <c r="E437" s="212"/>
      <c r="F437" s="212"/>
      <c r="G437" s="212"/>
      <c r="H437" s="212"/>
      <c r="J437" s="212"/>
      <c r="K437" s="212"/>
      <c r="M437" s="344"/>
    </row>
    <row r="438" spans="1:13" ht="12.75" customHeight="1">
      <c r="A438" s="212"/>
      <c r="B438" s="212"/>
      <c r="C438" s="212"/>
      <c r="D438" s="212"/>
      <c r="E438" s="212"/>
      <c r="F438" s="212"/>
      <c r="G438" s="212"/>
      <c r="H438" s="212"/>
      <c r="J438" s="212"/>
      <c r="K438" s="212"/>
      <c r="M438" s="344"/>
    </row>
    <row r="439" spans="1:13" ht="12.75" customHeight="1">
      <c r="A439" s="212"/>
      <c r="B439" s="212"/>
      <c r="C439" s="212"/>
      <c r="D439" s="212"/>
      <c r="E439" s="212"/>
      <c r="F439" s="212"/>
      <c r="G439" s="212"/>
      <c r="H439" s="212"/>
      <c r="J439" s="212"/>
      <c r="K439" s="212"/>
      <c r="M439" s="344"/>
    </row>
    <row r="440" spans="1:13" ht="12.75" customHeight="1">
      <c r="A440" s="212"/>
      <c r="B440" s="212"/>
      <c r="C440" s="212"/>
      <c r="D440" s="212"/>
      <c r="E440" s="212"/>
      <c r="F440" s="212"/>
      <c r="G440" s="212"/>
      <c r="H440" s="212"/>
      <c r="J440" s="212"/>
      <c r="K440" s="212"/>
      <c r="M440" s="344"/>
    </row>
    <row r="441" spans="1:13" ht="12.75" customHeight="1">
      <c r="A441" s="212"/>
      <c r="B441" s="212"/>
      <c r="C441" s="212"/>
      <c r="D441" s="212"/>
      <c r="E441" s="212"/>
      <c r="F441" s="212"/>
      <c r="G441" s="212"/>
      <c r="H441" s="212"/>
      <c r="J441" s="212"/>
      <c r="K441" s="212"/>
      <c r="M441" s="344"/>
    </row>
    <row r="442" spans="1:13" ht="12.75" customHeight="1">
      <c r="A442" s="212"/>
      <c r="B442" s="212"/>
      <c r="C442" s="212"/>
      <c r="D442" s="212"/>
      <c r="E442" s="212"/>
      <c r="F442" s="212"/>
      <c r="G442" s="212"/>
      <c r="H442" s="212"/>
      <c r="J442" s="212"/>
      <c r="K442" s="212"/>
      <c r="M442" s="344"/>
    </row>
    <row r="443" spans="1:13" ht="12.75" customHeight="1">
      <c r="A443" s="212"/>
      <c r="B443" s="212"/>
      <c r="C443" s="212"/>
      <c r="D443" s="212"/>
      <c r="E443" s="212"/>
      <c r="F443" s="212"/>
      <c r="G443" s="212"/>
      <c r="H443" s="212"/>
      <c r="J443" s="212"/>
      <c r="K443" s="212"/>
      <c r="M443" s="344"/>
    </row>
    <row r="444" spans="1:13" ht="12.75" customHeight="1">
      <c r="A444" s="212"/>
      <c r="B444" s="212"/>
      <c r="C444" s="212"/>
      <c r="D444" s="212"/>
      <c r="E444" s="212"/>
      <c r="F444" s="212"/>
      <c r="G444" s="212"/>
      <c r="H444" s="212"/>
      <c r="J444" s="212"/>
      <c r="K444" s="212"/>
      <c r="M444" s="344"/>
    </row>
    <row r="445" spans="1:13" ht="12.75" customHeight="1">
      <c r="A445" s="212"/>
      <c r="B445" s="212"/>
      <c r="C445" s="212"/>
      <c r="D445" s="212"/>
      <c r="E445" s="212"/>
      <c r="F445" s="212"/>
      <c r="G445" s="212"/>
      <c r="H445" s="212"/>
      <c r="J445" s="212"/>
      <c r="K445" s="212"/>
      <c r="M445" s="344"/>
    </row>
    <row r="446" spans="1:13" ht="12.75" customHeight="1">
      <c r="A446" s="212"/>
      <c r="B446" s="212"/>
      <c r="C446" s="212"/>
      <c r="D446" s="212"/>
      <c r="E446" s="212"/>
      <c r="F446" s="212"/>
      <c r="G446" s="212"/>
      <c r="H446" s="212"/>
      <c r="J446" s="212"/>
      <c r="K446" s="212"/>
      <c r="M446" s="344"/>
    </row>
    <row r="447" spans="1:13" ht="12.75" customHeight="1">
      <c r="A447" s="212"/>
      <c r="B447" s="212"/>
      <c r="C447" s="212"/>
      <c r="D447" s="212"/>
      <c r="E447" s="212"/>
      <c r="F447" s="212"/>
      <c r="G447" s="212"/>
      <c r="H447" s="212"/>
      <c r="J447" s="212"/>
      <c r="K447" s="212"/>
      <c r="M447" s="344"/>
    </row>
    <row r="448" spans="1:13" ht="12.75" customHeight="1">
      <c r="A448" s="212"/>
      <c r="B448" s="212"/>
      <c r="C448" s="212"/>
      <c r="D448" s="212"/>
      <c r="E448" s="212"/>
      <c r="F448" s="212"/>
      <c r="G448" s="212"/>
      <c r="H448" s="212"/>
      <c r="J448" s="212"/>
      <c r="K448" s="212"/>
      <c r="M448" s="344"/>
    </row>
    <row r="449" spans="1:13" ht="12.75" customHeight="1">
      <c r="A449" s="212"/>
      <c r="B449" s="212"/>
      <c r="C449" s="212"/>
      <c r="D449" s="212"/>
      <c r="E449" s="212"/>
      <c r="F449" s="212"/>
      <c r="G449" s="212"/>
      <c r="H449" s="212"/>
      <c r="J449" s="212"/>
      <c r="K449" s="212"/>
      <c r="M449" s="344"/>
    </row>
    <row r="450" spans="1:13" ht="12.75" customHeight="1">
      <c r="A450" s="212"/>
      <c r="B450" s="212"/>
      <c r="C450" s="212"/>
      <c r="D450" s="212"/>
      <c r="E450" s="212"/>
      <c r="F450" s="212"/>
      <c r="G450" s="212"/>
      <c r="H450" s="212"/>
      <c r="J450" s="212"/>
      <c r="K450" s="212"/>
      <c r="M450" s="344"/>
    </row>
    <row r="451" spans="1:13" ht="12.75" customHeight="1">
      <c r="A451" s="212"/>
      <c r="B451" s="212"/>
      <c r="C451" s="212"/>
      <c r="D451" s="212"/>
      <c r="E451" s="212"/>
      <c r="F451" s="212"/>
      <c r="G451" s="212"/>
      <c r="H451" s="212"/>
      <c r="J451" s="212"/>
      <c r="K451" s="212"/>
      <c r="M451" s="344"/>
    </row>
    <row r="452" spans="1:13" ht="12.75" customHeight="1">
      <c r="A452" s="212"/>
      <c r="B452" s="212"/>
      <c r="C452" s="212"/>
      <c r="D452" s="212"/>
      <c r="E452" s="212"/>
      <c r="F452" s="212"/>
      <c r="G452" s="212"/>
      <c r="H452" s="212"/>
      <c r="J452" s="212"/>
      <c r="K452" s="212"/>
      <c r="M452" s="344"/>
    </row>
    <row r="453" spans="1:13" ht="12.75" customHeight="1">
      <c r="A453" s="212"/>
      <c r="B453" s="212"/>
      <c r="C453" s="212"/>
      <c r="D453" s="212"/>
      <c r="E453" s="212"/>
      <c r="F453" s="212"/>
      <c r="G453" s="212"/>
      <c r="H453" s="212"/>
      <c r="J453" s="212"/>
      <c r="K453" s="212"/>
      <c r="M453" s="344"/>
    </row>
    <row r="454" spans="1:13" ht="12.75" customHeight="1">
      <c r="A454" s="212"/>
      <c r="B454" s="212"/>
      <c r="C454" s="212"/>
      <c r="D454" s="212"/>
      <c r="E454" s="212"/>
      <c r="F454" s="212"/>
      <c r="G454" s="212"/>
      <c r="H454" s="212"/>
      <c r="J454" s="212"/>
      <c r="K454" s="212"/>
      <c r="M454" s="344"/>
    </row>
    <row r="455" spans="1:13" ht="12.75" customHeight="1">
      <c r="A455" s="212"/>
      <c r="B455" s="212"/>
      <c r="C455" s="212"/>
      <c r="D455" s="212"/>
      <c r="E455" s="212"/>
      <c r="F455" s="212"/>
      <c r="G455" s="212"/>
      <c r="H455" s="212"/>
      <c r="J455" s="212"/>
      <c r="K455" s="212"/>
      <c r="M455" s="344"/>
    </row>
    <row r="456" spans="1:13" ht="12.75" customHeight="1">
      <c r="A456" s="212"/>
      <c r="B456" s="212"/>
      <c r="C456" s="212"/>
      <c r="D456" s="212"/>
      <c r="E456" s="212"/>
      <c r="F456" s="212"/>
      <c r="G456" s="212"/>
      <c r="H456" s="212"/>
      <c r="J456" s="212"/>
      <c r="K456" s="212"/>
      <c r="M456" s="344"/>
    </row>
    <row r="457" spans="1:13" ht="12.75" customHeight="1">
      <c r="A457" s="212"/>
      <c r="B457" s="212"/>
      <c r="C457" s="212"/>
      <c r="D457" s="212"/>
      <c r="E457" s="212"/>
      <c r="F457" s="212"/>
      <c r="G457" s="212"/>
      <c r="H457" s="212"/>
      <c r="J457" s="212"/>
      <c r="K457" s="212"/>
      <c r="M457" s="344"/>
    </row>
    <row r="458" spans="1:13" ht="12.75" customHeight="1">
      <c r="A458" s="212"/>
      <c r="B458" s="212"/>
      <c r="C458" s="212"/>
      <c r="D458" s="212"/>
      <c r="E458" s="212"/>
      <c r="F458" s="212"/>
      <c r="G458" s="212"/>
      <c r="H458" s="212"/>
      <c r="J458" s="212"/>
      <c r="K458" s="212"/>
      <c r="M458" s="344"/>
    </row>
    <row r="459" spans="1:13" ht="12.75" customHeight="1">
      <c r="A459" s="212"/>
      <c r="B459" s="212"/>
      <c r="C459" s="212"/>
      <c r="D459" s="212"/>
      <c r="E459" s="212"/>
      <c r="F459" s="212"/>
      <c r="G459" s="212"/>
      <c r="H459" s="212"/>
      <c r="J459" s="212"/>
      <c r="K459" s="212"/>
      <c r="M459" s="344"/>
    </row>
    <row r="460" spans="1:13" ht="12.75" customHeight="1">
      <c r="A460" s="212"/>
      <c r="B460" s="212"/>
      <c r="C460" s="212"/>
      <c r="D460" s="212"/>
      <c r="E460" s="212"/>
      <c r="F460" s="212"/>
      <c r="G460" s="212"/>
      <c r="H460" s="212"/>
      <c r="J460" s="212"/>
      <c r="K460" s="212"/>
      <c r="M460" s="344"/>
    </row>
    <row r="461" spans="1:13" ht="12.75" customHeight="1">
      <c r="A461" s="212"/>
      <c r="B461" s="212"/>
      <c r="C461" s="212"/>
      <c r="D461" s="212"/>
      <c r="E461" s="212"/>
      <c r="F461" s="212"/>
      <c r="G461" s="212"/>
      <c r="H461" s="212"/>
      <c r="J461" s="212"/>
      <c r="K461" s="212"/>
      <c r="M461" s="344"/>
    </row>
    <row r="462" spans="1:13" ht="12.75" customHeight="1">
      <c r="A462" s="212"/>
      <c r="B462" s="212"/>
      <c r="C462" s="212"/>
      <c r="D462" s="212"/>
      <c r="E462" s="212"/>
      <c r="F462" s="212"/>
      <c r="G462" s="212"/>
      <c r="H462" s="212"/>
      <c r="J462" s="212"/>
      <c r="K462" s="212"/>
      <c r="M462" s="344"/>
    </row>
    <row r="463" spans="1:13" ht="12.75" customHeight="1">
      <c r="A463" s="212"/>
      <c r="B463" s="212"/>
      <c r="C463" s="212"/>
      <c r="D463" s="212"/>
      <c r="E463" s="212"/>
      <c r="F463" s="212"/>
      <c r="G463" s="212"/>
      <c r="H463" s="212"/>
      <c r="J463" s="212"/>
      <c r="K463" s="212"/>
      <c r="M463" s="344"/>
    </row>
    <row r="464" spans="1:13" ht="12.75" customHeight="1">
      <c r="A464" s="212"/>
      <c r="B464" s="212"/>
      <c r="C464" s="212"/>
      <c r="D464" s="212"/>
      <c r="E464" s="212"/>
      <c r="F464" s="212"/>
      <c r="G464" s="212"/>
      <c r="H464" s="212"/>
      <c r="J464" s="212"/>
      <c r="K464" s="212"/>
      <c r="M464" s="344"/>
    </row>
    <row r="465" spans="1:13" ht="12.75" customHeight="1">
      <c r="A465" s="212"/>
      <c r="B465" s="212"/>
      <c r="C465" s="212"/>
      <c r="D465" s="212"/>
      <c r="E465" s="212"/>
      <c r="F465" s="212"/>
      <c r="G465" s="212"/>
      <c r="H465" s="212"/>
      <c r="J465" s="212"/>
      <c r="K465" s="212"/>
      <c r="M465" s="344"/>
    </row>
    <row r="466" spans="1:13" ht="12.75" customHeight="1">
      <c r="A466" s="212"/>
      <c r="B466" s="212"/>
      <c r="C466" s="212"/>
      <c r="D466" s="212"/>
      <c r="E466" s="212"/>
      <c r="F466" s="212"/>
      <c r="G466" s="212"/>
      <c r="H466" s="212"/>
      <c r="J466" s="212"/>
      <c r="K466" s="212"/>
      <c r="M466" s="344"/>
    </row>
    <row r="467" spans="1:13" ht="12.75" customHeight="1">
      <c r="A467" s="212"/>
      <c r="B467" s="212"/>
      <c r="C467" s="212"/>
      <c r="D467" s="212"/>
      <c r="E467" s="212"/>
      <c r="F467" s="212"/>
      <c r="G467" s="212"/>
      <c r="H467" s="212"/>
      <c r="J467" s="212"/>
      <c r="K467" s="212"/>
      <c r="M467" s="344"/>
    </row>
    <row r="468" spans="1:13" ht="12.75" customHeight="1">
      <c r="A468" s="212"/>
      <c r="B468" s="212"/>
      <c r="C468" s="212"/>
      <c r="D468" s="212"/>
      <c r="E468" s="212"/>
      <c r="F468" s="212"/>
      <c r="G468" s="212"/>
      <c r="H468" s="212"/>
      <c r="J468" s="212"/>
      <c r="K468" s="212"/>
      <c r="M468" s="344"/>
    </row>
    <row r="469" spans="1:13" ht="12.75" customHeight="1">
      <c r="A469" s="212"/>
      <c r="B469" s="212"/>
      <c r="C469" s="212"/>
      <c r="D469" s="212"/>
      <c r="E469" s="212"/>
      <c r="F469" s="212"/>
      <c r="G469" s="212"/>
      <c r="H469" s="212"/>
      <c r="J469" s="212"/>
      <c r="K469" s="212"/>
      <c r="M469" s="344"/>
    </row>
    <row r="470" spans="1:13" ht="12.75" customHeight="1">
      <c r="A470" s="212"/>
      <c r="B470" s="212"/>
      <c r="C470" s="212"/>
      <c r="D470" s="212"/>
      <c r="E470" s="212"/>
      <c r="F470" s="212"/>
      <c r="G470" s="212"/>
      <c r="H470" s="212"/>
      <c r="J470" s="212"/>
      <c r="K470" s="212"/>
      <c r="M470" s="344"/>
    </row>
    <row r="471" spans="1:13" ht="12.75" customHeight="1">
      <c r="A471" s="212"/>
      <c r="B471" s="212"/>
      <c r="C471" s="212"/>
      <c r="D471" s="212"/>
      <c r="E471" s="212"/>
      <c r="F471" s="212"/>
      <c r="G471" s="212"/>
      <c r="H471" s="212"/>
      <c r="J471" s="212"/>
      <c r="K471" s="212"/>
      <c r="M471" s="344"/>
    </row>
    <row r="472" spans="1:13" ht="12.75" customHeight="1">
      <c r="A472" s="212"/>
      <c r="B472" s="212"/>
      <c r="C472" s="212"/>
      <c r="D472" s="212"/>
      <c r="E472" s="212"/>
      <c r="F472" s="212"/>
      <c r="G472" s="212"/>
      <c r="H472" s="212"/>
      <c r="J472" s="212"/>
      <c r="K472" s="212"/>
      <c r="M472" s="344"/>
    </row>
    <row r="473" spans="1:13" ht="12.75" customHeight="1">
      <c r="A473" s="212"/>
      <c r="B473" s="212"/>
      <c r="C473" s="212"/>
      <c r="D473" s="212"/>
      <c r="E473" s="212"/>
      <c r="F473" s="212"/>
      <c r="G473" s="212"/>
      <c r="H473" s="212"/>
      <c r="J473" s="212"/>
      <c r="K473" s="212"/>
      <c r="M473" s="344"/>
    </row>
    <row r="474" spans="1:13" ht="12.75" customHeight="1">
      <c r="A474" s="212"/>
      <c r="B474" s="212"/>
      <c r="C474" s="212"/>
      <c r="D474" s="212"/>
      <c r="E474" s="212"/>
      <c r="F474" s="212"/>
      <c r="G474" s="212"/>
      <c r="H474" s="212"/>
      <c r="J474" s="212"/>
      <c r="K474" s="212"/>
      <c r="M474" s="344"/>
    </row>
    <row r="475" spans="1:13" ht="12.75" customHeight="1">
      <c r="A475" s="212"/>
      <c r="B475" s="212"/>
      <c r="C475" s="212"/>
      <c r="D475" s="212"/>
      <c r="E475" s="212"/>
      <c r="F475" s="212"/>
      <c r="G475" s="212"/>
      <c r="H475" s="212"/>
      <c r="J475" s="212"/>
      <c r="K475" s="212"/>
      <c r="M475" s="344"/>
    </row>
    <row r="476" spans="1:13" ht="12.75" customHeight="1">
      <c r="A476" s="212"/>
      <c r="B476" s="212"/>
      <c r="C476" s="212"/>
      <c r="D476" s="212"/>
      <c r="E476" s="212"/>
      <c r="F476" s="212"/>
      <c r="G476" s="212"/>
      <c r="H476" s="212"/>
      <c r="J476" s="212"/>
      <c r="K476" s="212"/>
      <c r="M476" s="344"/>
    </row>
    <row r="477" spans="1:13" ht="12.75" customHeight="1">
      <c r="A477" s="212"/>
      <c r="B477" s="212"/>
      <c r="C477" s="212"/>
      <c r="D477" s="212"/>
      <c r="E477" s="212"/>
      <c r="F477" s="212"/>
      <c r="G477" s="212"/>
      <c r="H477" s="212"/>
      <c r="J477" s="212"/>
      <c r="K477" s="212"/>
      <c r="M477" s="344"/>
    </row>
    <row r="478" spans="1:13" ht="12.75" customHeight="1">
      <c r="A478" s="212"/>
      <c r="B478" s="212"/>
      <c r="C478" s="212"/>
      <c r="D478" s="212"/>
      <c r="E478" s="212"/>
      <c r="F478" s="212"/>
      <c r="G478" s="212"/>
      <c r="H478" s="212"/>
      <c r="J478" s="212"/>
      <c r="K478" s="212"/>
      <c r="M478" s="344"/>
    </row>
    <row r="479" spans="1:13" ht="12.75" customHeight="1">
      <c r="A479" s="212"/>
      <c r="B479" s="212"/>
      <c r="C479" s="212"/>
      <c r="D479" s="212"/>
      <c r="E479" s="212"/>
      <c r="F479" s="212"/>
      <c r="G479" s="212"/>
      <c r="H479" s="212"/>
      <c r="J479" s="212"/>
      <c r="K479" s="212"/>
      <c r="M479" s="344"/>
    </row>
    <row r="480" spans="1:13" ht="12.75" customHeight="1">
      <c r="A480" s="212"/>
      <c r="B480" s="212"/>
      <c r="C480" s="212"/>
      <c r="D480" s="212"/>
      <c r="E480" s="212"/>
      <c r="F480" s="212"/>
      <c r="G480" s="212"/>
      <c r="H480" s="212"/>
      <c r="J480" s="212"/>
      <c r="K480" s="212"/>
      <c r="M480" s="344"/>
    </row>
    <row r="481" spans="1:13" ht="12.75" customHeight="1">
      <c r="A481" s="212"/>
      <c r="B481" s="212"/>
      <c r="C481" s="212"/>
      <c r="D481" s="212"/>
      <c r="E481" s="212"/>
      <c r="F481" s="212"/>
      <c r="G481" s="212"/>
      <c r="H481" s="212"/>
      <c r="J481" s="212"/>
      <c r="K481" s="212"/>
      <c r="M481" s="344"/>
    </row>
    <row r="482" spans="1:13" ht="12.75" customHeight="1">
      <c r="A482" s="212"/>
      <c r="B482" s="212"/>
      <c r="C482" s="212"/>
      <c r="D482" s="212"/>
      <c r="E482" s="212"/>
      <c r="F482" s="212"/>
      <c r="G482" s="212"/>
      <c r="H482" s="212"/>
      <c r="J482" s="212"/>
      <c r="K482" s="212"/>
      <c r="M482" s="344"/>
    </row>
    <row r="483" spans="1:13" ht="12.75" customHeight="1">
      <c r="A483" s="212"/>
      <c r="B483" s="212"/>
      <c r="C483" s="212"/>
      <c r="D483" s="212"/>
      <c r="E483" s="212"/>
      <c r="F483" s="212"/>
      <c r="G483" s="212"/>
      <c r="H483" s="212"/>
      <c r="J483" s="212"/>
      <c r="K483" s="212"/>
      <c r="M483" s="344"/>
    </row>
    <row r="484" spans="1:13" ht="12.75" customHeight="1">
      <c r="A484" s="212"/>
      <c r="B484" s="212"/>
      <c r="C484" s="212"/>
      <c r="D484" s="212"/>
      <c r="E484" s="212"/>
      <c r="F484" s="212"/>
      <c r="G484" s="212"/>
      <c r="H484" s="212"/>
      <c r="J484" s="212"/>
      <c r="K484" s="212"/>
      <c r="M484" s="344"/>
    </row>
    <row r="485" spans="1:13" ht="12.75" customHeight="1">
      <c r="A485" s="212"/>
      <c r="B485" s="212"/>
      <c r="C485" s="212"/>
      <c r="D485" s="212"/>
      <c r="E485" s="212"/>
      <c r="F485" s="212"/>
      <c r="G485" s="212"/>
      <c r="H485" s="212"/>
      <c r="J485" s="212"/>
      <c r="K485" s="212"/>
      <c r="M485" s="344"/>
    </row>
    <row r="486" spans="1:13" ht="12.75" customHeight="1">
      <c r="A486" s="212"/>
      <c r="B486" s="212"/>
      <c r="C486" s="212"/>
      <c r="D486" s="212"/>
      <c r="E486" s="212"/>
      <c r="F486" s="212"/>
      <c r="G486" s="212"/>
      <c r="H486" s="212"/>
      <c r="J486" s="212"/>
      <c r="K486" s="212"/>
      <c r="M486" s="344"/>
    </row>
    <row r="487" spans="1:13" ht="12.75" customHeight="1">
      <c r="A487" s="212"/>
      <c r="B487" s="212"/>
      <c r="C487" s="212"/>
      <c r="D487" s="212"/>
      <c r="E487" s="212"/>
      <c r="F487" s="212"/>
      <c r="G487" s="212"/>
      <c r="H487" s="212"/>
      <c r="J487" s="212"/>
      <c r="K487" s="212"/>
      <c r="M487" s="344"/>
    </row>
    <row r="488" spans="1:13" ht="12.75" customHeight="1">
      <c r="A488" s="212"/>
      <c r="B488" s="212"/>
      <c r="C488" s="212"/>
      <c r="D488" s="212"/>
      <c r="E488" s="212"/>
      <c r="F488" s="212"/>
      <c r="G488" s="212"/>
      <c r="H488" s="212"/>
      <c r="J488" s="212"/>
      <c r="K488" s="212"/>
      <c r="M488" s="344"/>
    </row>
    <row r="489" spans="1:13" ht="12.75" customHeight="1">
      <c r="A489" s="212"/>
      <c r="B489" s="212"/>
      <c r="C489" s="212"/>
      <c r="D489" s="212"/>
      <c r="E489" s="212"/>
      <c r="F489" s="212"/>
      <c r="G489" s="212"/>
      <c r="H489" s="212"/>
      <c r="J489" s="212"/>
      <c r="K489" s="212"/>
      <c r="M489" s="344"/>
    </row>
    <row r="490" spans="1:13" ht="12.75" customHeight="1">
      <c r="A490" s="212"/>
      <c r="B490" s="212"/>
      <c r="C490" s="212"/>
      <c r="D490" s="212"/>
      <c r="E490" s="212"/>
      <c r="F490" s="212"/>
      <c r="G490" s="212"/>
      <c r="H490" s="212"/>
      <c r="J490" s="212"/>
      <c r="K490" s="212"/>
      <c r="M490" s="344"/>
    </row>
    <row r="491" spans="1:13" ht="12.75" customHeight="1">
      <c r="A491" s="212"/>
      <c r="B491" s="212"/>
      <c r="C491" s="212"/>
      <c r="D491" s="212"/>
      <c r="E491" s="212"/>
      <c r="F491" s="212"/>
      <c r="G491" s="212"/>
      <c r="H491" s="212"/>
      <c r="J491" s="212"/>
      <c r="K491" s="212"/>
      <c r="M491" s="344"/>
    </row>
    <row r="492" spans="1:13" ht="12.75" customHeight="1">
      <c r="A492" s="212"/>
      <c r="B492" s="212"/>
      <c r="C492" s="212"/>
      <c r="D492" s="212"/>
      <c r="E492" s="212"/>
      <c r="F492" s="212"/>
      <c r="G492" s="212"/>
      <c r="H492" s="212"/>
      <c r="J492" s="212"/>
      <c r="K492" s="212"/>
      <c r="M492" s="344"/>
    </row>
    <row r="493" spans="1:13" ht="12.75" customHeight="1">
      <c r="A493" s="212"/>
      <c r="B493" s="212"/>
      <c r="C493" s="212"/>
      <c r="D493" s="212"/>
      <c r="E493" s="212"/>
      <c r="F493" s="212"/>
      <c r="G493" s="212"/>
      <c r="H493" s="212"/>
      <c r="J493" s="212"/>
      <c r="K493" s="212"/>
      <c r="M493" s="344"/>
    </row>
    <row r="494" spans="1:13" ht="12.75" customHeight="1">
      <c r="A494" s="212"/>
      <c r="B494" s="212"/>
      <c r="C494" s="212"/>
      <c r="D494" s="212"/>
      <c r="E494" s="212"/>
      <c r="F494" s="212"/>
      <c r="G494" s="212"/>
      <c r="H494" s="212"/>
      <c r="J494" s="212"/>
      <c r="K494" s="212"/>
      <c r="M494" s="344"/>
    </row>
    <row r="495" spans="1:13" ht="12.75" customHeight="1">
      <c r="A495" s="212"/>
      <c r="B495" s="212"/>
      <c r="C495" s="212"/>
      <c r="D495" s="212"/>
      <c r="E495" s="212"/>
      <c r="F495" s="212"/>
      <c r="G495" s="212"/>
      <c r="H495" s="212"/>
      <c r="J495" s="212"/>
      <c r="K495" s="212"/>
      <c r="M495" s="344"/>
    </row>
    <row r="496" spans="1:13" ht="12.75" customHeight="1">
      <c r="A496" s="212"/>
      <c r="B496" s="212"/>
      <c r="C496" s="212"/>
      <c r="D496" s="212"/>
      <c r="E496" s="212"/>
      <c r="F496" s="212"/>
      <c r="G496" s="212"/>
      <c r="H496" s="212"/>
      <c r="J496" s="212"/>
      <c r="K496" s="212"/>
      <c r="M496" s="344"/>
    </row>
    <row r="497" spans="1:13" ht="12.75" customHeight="1">
      <c r="A497" s="212"/>
      <c r="B497" s="212"/>
      <c r="C497" s="212"/>
      <c r="D497" s="212"/>
      <c r="E497" s="212"/>
      <c r="F497" s="212"/>
      <c r="G497" s="212"/>
      <c r="H497" s="212"/>
      <c r="J497" s="212"/>
      <c r="K497" s="212"/>
      <c r="M497" s="344"/>
    </row>
    <row r="498" spans="1:13" ht="12.75" customHeight="1">
      <c r="A498" s="212"/>
      <c r="B498" s="212"/>
      <c r="C498" s="212"/>
      <c r="D498" s="212"/>
      <c r="E498" s="212"/>
      <c r="F498" s="212"/>
      <c r="G498" s="212"/>
      <c r="H498" s="212"/>
      <c r="J498" s="212"/>
      <c r="K498" s="212"/>
      <c r="M498" s="344"/>
    </row>
    <row r="499" spans="1:13" ht="12.75" customHeight="1">
      <c r="A499" s="212"/>
      <c r="B499" s="212"/>
      <c r="C499" s="212"/>
      <c r="D499" s="212"/>
      <c r="E499" s="212"/>
      <c r="F499" s="212"/>
      <c r="G499" s="212"/>
      <c r="H499" s="212"/>
      <c r="J499" s="212"/>
      <c r="K499" s="212"/>
      <c r="M499" s="344"/>
    </row>
    <row r="500" spans="1:13" ht="12.75" customHeight="1">
      <c r="A500" s="212"/>
      <c r="B500" s="212"/>
      <c r="C500" s="212"/>
      <c r="D500" s="212"/>
      <c r="E500" s="212"/>
      <c r="F500" s="212"/>
      <c r="G500" s="212"/>
      <c r="H500" s="212"/>
      <c r="J500" s="212"/>
      <c r="K500" s="212"/>
      <c r="M500" s="344"/>
    </row>
    <row r="501" spans="1:13" ht="12.75" customHeight="1">
      <c r="A501" s="212"/>
      <c r="B501" s="212"/>
      <c r="C501" s="212"/>
      <c r="D501" s="212"/>
      <c r="E501" s="212"/>
      <c r="F501" s="212"/>
      <c r="G501" s="212"/>
      <c r="H501" s="212"/>
      <c r="J501" s="212"/>
      <c r="K501" s="212"/>
      <c r="M501" s="344"/>
    </row>
    <row r="502" spans="1:13" ht="12.75" customHeight="1">
      <c r="A502" s="212"/>
      <c r="B502" s="212"/>
      <c r="C502" s="212"/>
      <c r="D502" s="212"/>
      <c r="E502" s="212"/>
      <c r="F502" s="212"/>
      <c r="G502" s="212"/>
      <c r="H502" s="212"/>
      <c r="J502" s="212"/>
      <c r="K502" s="212"/>
      <c r="M502" s="344"/>
    </row>
    <row r="503" spans="1:13" ht="12.75" customHeight="1">
      <c r="A503" s="212"/>
      <c r="B503" s="212"/>
      <c r="C503" s="212"/>
      <c r="D503" s="212"/>
      <c r="E503" s="212"/>
      <c r="F503" s="212"/>
      <c r="G503" s="212"/>
      <c r="H503" s="212"/>
      <c r="J503" s="212"/>
      <c r="K503" s="212"/>
      <c r="M503" s="344"/>
    </row>
    <row r="504" spans="1:13" ht="12.75" customHeight="1">
      <c r="A504" s="212"/>
      <c r="B504" s="212"/>
      <c r="C504" s="212"/>
      <c r="D504" s="212"/>
      <c r="E504" s="212"/>
      <c r="F504" s="212"/>
      <c r="G504" s="212"/>
      <c r="H504" s="212"/>
      <c r="J504" s="212"/>
      <c r="K504" s="212"/>
      <c r="M504" s="344"/>
    </row>
    <row r="505" spans="1:13" ht="12.75" customHeight="1">
      <c r="A505" s="212"/>
      <c r="B505" s="212"/>
      <c r="C505" s="212"/>
      <c r="D505" s="212"/>
      <c r="E505" s="212"/>
      <c r="F505" s="212"/>
      <c r="G505" s="212"/>
      <c r="H505" s="212"/>
      <c r="J505" s="212"/>
      <c r="K505" s="212"/>
      <c r="M505" s="344"/>
    </row>
    <row r="506" spans="1:13" ht="12.75" customHeight="1">
      <c r="A506" s="212"/>
      <c r="B506" s="212"/>
      <c r="C506" s="212"/>
      <c r="D506" s="212"/>
      <c r="E506" s="212"/>
      <c r="F506" s="212"/>
      <c r="G506" s="212"/>
      <c r="H506" s="212"/>
      <c r="J506" s="212"/>
      <c r="K506" s="212"/>
      <c r="M506" s="344"/>
    </row>
    <row r="507" spans="1:13" ht="12.75" customHeight="1">
      <c r="A507" s="212"/>
      <c r="B507" s="212"/>
      <c r="C507" s="212"/>
      <c r="D507" s="212"/>
      <c r="E507" s="212"/>
      <c r="F507" s="212"/>
      <c r="G507" s="212"/>
      <c r="H507" s="212"/>
      <c r="J507" s="212"/>
      <c r="K507" s="212"/>
      <c r="M507" s="344"/>
    </row>
    <row r="508" spans="1:13" ht="12.75" customHeight="1">
      <c r="A508" s="212"/>
      <c r="B508" s="212"/>
      <c r="C508" s="212"/>
      <c r="D508" s="212"/>
      <c r="E508" s="212"/>
      <c r="F508" s="212"/>
      <c r="G508" s="212"/>
      <c r="H508" s="212"/>
      <c r="J508" s="212"/>
      <c r="K508" s="212"/>
      <c r="M508" s="344"/>
    </row>
    <row r="509" spans="1:13" ht="12.75" customHeight="1">
      <c r="A509" s="212"/>
      <c r="B509" s="212"/>
      <c r="C509" s="212"/>
      <c r="D509" s="212"/>
      <c r="E509" s="212"/>
      <c r="F509" s="212"/>
      <c r="G509" s="212"/>
      <c r="H509" s="212"/>
      <c r="J509" s="212"/>
      <c r="K509" s="212"/>
      <c r="M509" s="344"/>
    </row>
    <row r="510" spans="1:13" ht="12.75" customHeight="1">
      <c r="A510" s="212"/>
      <c r="B510" s="212"/>
      <c r="C510" s="212"/>
      <c r="D510" s="212"/>
      <c r="E510" s="212"/>
      <c r="F510" s="212"/>
      <c r="G510" s="212"/>
      <c r="H510" s="212"/>
      <c r="J510" s="212"/>
      <c r="K510" s="212"/>
      <c r="M510" s="344"/>
    </row>
    <row r="511" spans="1:13" ht="12.75" customHeight="1">
      <c r="A511" s="212"/>
      <c r="B511" s="212"/>
      <c r="C511" s="212"/>
      <c r="D511" s="212"/>
      <c r="E511" s="212"/>
      <c r="F511" s="212"/>
      <c r="G511" s="212"/>
      <c r="H511" s="212"/>
      <c r="J511" s="212"/>
      <c r="K511" s="212"/>
      <c r="M511" s="344"/>
    </row>
    <row r="512" spans="1:13" ht="12.75" customHeight="1">
      <c r="A512" s="212"/>
      <c r="B512" s="212"/>
      <c r="C512" s="212"/>
      <c r="D512" s="212"/>
      <c r="E512" s="212"/>
      <c r="F512" s="212"/>
      <c r="G512" s="212"/>
      <c r="H512" s="212"/>
      <c r="J512" s="212"/>
      <c r="K512" s="212"/>
      <c r="M512" s="344"/>
    </row>
    <row r="513" spans="1:13" ht="12.75" customHeight="1">
      <c r="A513" s="212"/>
      <c r="B513" s="212"/>
      <c r="C513" s="212"/>
      <c r="D513" s="212"/>
      <c r="E513" s="212"/>
      <c r="F513" s="212"/>
      <c r="G513" s="212"/>
      <c r="H513" s="212"/>
      <c r="J513" s="212"/>
      <c r="K513" s="212"/>
      <c r="M513" s="344"/>
    </row>
    <row r="514" spans="1:13" ht="12.75" customHeight="1">
      <c r="A514" s="212"/>
      <c r="B514" s="212"/>
      <c r="C514" s="212"/>
      <c r="D514" s="212"/>
      <c r="E514" s="212"/>
      <c r="F514" s="212"/>
      <c r="G514" s="212"/>
      <c r="H514" s="212"/>
      <c r="J514" s="212"/>
      <c r="K514" s="212"/>
      <c r="M514" s="344"/>
    </row>
    <row r="515" spans="1:13" ht="12.75" customHeight="1">
      <c r="A515" s="212"/>
      <c r="B515" s="212"/>
      <c r="C515" s="212"/>
      <c r="D515" s="212"/>
      <c r="E515" s="212"/>
      <c r="F515" s="212"/>
      <c r="G515" s="212"/>
      <c r="H515" s="212"/>
      <c r="J515" s="212"/>
      <c r="K515" s="212"/>
      <c r="M515" s="344"/>
    </row>
    <row r="516" spans="1:13" ht="12.75" customHeight="1">
      <c r="A516" s="212"/>
      <c r="B516" s="212"/>
      <c r="C516" s="212"/>
      <c r="D516" s="212"/>
      <c r="E516" s="212"/>
      <c r="F516" s="212"/>
      <c r="G516" s="212"/>
      <c r="H516" s="212"/>
      <c r="J516" s="212"/>
      <c r="K516" s="212"/>
      <c r="M516" s="344"/>
    </row>
    <row r="517" spans="1:13" ht="12.75" customHeight="1">
      <c r="A517" s="212"/>
      <c r="B517" s="212"/>
      <c r="C517" s="212"/>
      <c r="D517" s="212"/>
      <c r="E517" s="212"/>
      <c r="F517" s="212"/>
      <c r="G517" s="212"/>
      <c r="H517" s="212"/>
      <c r="J517" s="212"/>
      <c r="K517" s="212"/>
      <c r="M517" s="344"/>
    </row>
    <row r="518" spans="1:13" ht="12.75" customHeight="1">
      <c r="A518" s="212"/>
      <c r="B518" s="212"/>
      <c r="C518" s="212"/>
      <c r="D518" s="212"/>
      <c r="E518" s="212"/>
      <c r="F518" s="212"/>
      <c r="G518" s="212"/>
      <c r="H518" s="212"/>
      <c r="J518" s="212"/>
      <c r="K518" s="212"/>
      <c r="M518" s="344"/>
    </row>
    <row r="519" spans="1:13" ht="12.75" customHeight="1">
      <c r="A519" s="212"/>
      <c r="B519" s="212"/>
      <c r="C519" s="212"/>
      <c r="D519" s="212"/>
      <c r="E519" s="212"/>
      <c r="F519" s="212"/>
      <c r="G519" s="212"/>
      <c r="H519" s="212"/>
      <c r="J519" s="212"/>
      <c r="K519" s="212"/>
      <c r="M519" s="344"/>
    </row>
    <row r="520" spans="1:13" ht="12.75" customHeight="1">
      <c r="A520" s="212"/>
      <c r="B520" s="212"/>
      <c r="C520" s="212"/>
      <c r="D520" s="212"/>
      <c r="E520" s="212"/>
      <c r="F520" s="212"/>
      <c r="G520" s="212"/>
      <c r="H520" s="212"/>
      <c r="J520" s="212"/>
      <c r="K520" s="212"/>
      <c r="M520" s="344"/>
    </row>
    <row r="521" spans="1:13" ht="12.75" customHeight="1">
      <c r="A521" s="212"/>
      <c r="B521" s="212"/>
      <c r="C521" s="212"/>
      <c r="D521" s="212"/>
      <c r="E521" s="212"/>
      <c r="F521" s="212"/>
      <c r="G521" s="212"/>
      <c r="H521" s="212"/>
      <c r="J521" s="212"/>
      <c r="K521" s="212"/>
      <c r="M521" s="344"/>
    </row>
    <row r="522" spans="1:13" ht="12.75" customHeight="1">
      <c r="A522" s="212"/>
      <c r="B522" s="212"/>
      <c r="C522" s="212"/>
      <c r="D522" s="212"/>
      <c r="E522" s="212"/>
      <c r="F522" s="212"/>
      <c r="G522" s="212"/>
      <c r="H522" s="212"/>
      <c r="J522" s="212"/>
      <c r="K522" s="212"/>
      <c r="M522" s="344"/>
    </row>
    <row r="523" spans="1:13" ht="12.75" customHeight="1">
      <c r="A523" s="212"/>
      <c r="B523" s="212"/>
      <c r="C523" s="212"/>
      <c r="D523" s="212"/>
      <c r="E523" s="212"/>
      <c r="F523" s="212"/>
      <c r="G523" s="212"/>
      <c r="H523" s="212"/>
      <c r="J523" s="212"/>
      <c r="K523" s="212"/>
      <c r="M523" s="344"/>
    </row>
    <row r="524" spans="1:13" ht="12.75" customHeight="1">
      <c r="A524" s="212"/>
      <c r="B524" s="212"/>
      <c r="C524" s="212"/>
      <c r="D524" s="212"/>
      <c r="E524" s="212"/>
      <c r="F524" s="212"/>
      <c r="G524" s="212"/>
      <c r="H524" s="212"/>
      <c r="J524" s="212"/>
      <c r="K524" s="212"/>
      <c r="M524" s="344"/>
    </row>
    <row r="525" spans="1:13" ht="12.75" customHeight="1">
      <c r="A525" s="212"/>
      <c r="B525" s="212"/>
      <c r="C525" s="212"/>
      <c r="D525" s="212"/>
      <c r="E525" s="212"/>
      <c r="F525" s="212"/>
      <c r="G525" s="212"/>
      <c r="H525" s="212"/>
      <c r="J525" s="212"/>
      <c r="K525" s="212"/>
      <c r="M525" s="344"/>
    </row>
    <row r="526" spans="1:13" ht="12.75" customHeight="1">
      <c r="A526" s="212"/>
      <c r="B526" s="212"/>
      <c r="C526" s="212"/>
      <c r="D526" s="212"/>
      <c r="E526" s="212"/>
      <c r="F526" s="212"/>
      <c r="G526" s="212"/>
      <c r="H526" s="212"/>
      <c r="J526" s="212"/>
      <c r="K526" s="212"/>
      <c r="M526" s="344"/>
    </row>
    <row r="527" spans="1:13" ht="12.75" customHeight="1">
      <c r="A527" s="212"/>
      <c r="B527" s="212"/>
      <c r="C527" s="212"/>
      <c r="D527" s="212"/>
      <c r="E527" s="212"/>
      <c r="F527" s="212"/>
      <c r="G527" s="212"/>
      <c r="H527" s="212"/>
      <c r="J527" s="212"/>
      <c r="K527" s="212"/>
      <c r="M527" s="344"/>
    </row>
    <row r="528" spans="1:13" ht="12.75" customHeight="1">
      <c r="A528" s="212"/>
      <c r="B528" s="212"/>
      <c r="C528" s="212"/>
      <c r="D528" s="212"/>
      <c r="E528" s="212"/>
      <c r="F528" s="212"/>
      <c r="G528" s="212"/>
      <c r="H528" s="212"/>
      <c r="J528" s="212"/>
      <c r="K528" s="212"/>
      <c r="M528" s="344"/>
    </row>
    <row r="529" spans="1:13" ht="12.75" customHeight="1">
      <c r="A529" s="212"/>
      <c r="B529" s="212"/>
      <c r="C529" s="212"/>
      <c r="D529" s="212"/>
      <c r="E529" s="212"/>
      <c r="F529" s="212"/>
      <c r="G529" s="212"/>
      <c r="H529" s="212"/>
      <c r="J529" s="212"/>
      <c r="K529" s="212"/>
      <c r="M529" s="344"/>
    </row>
    <row r="530" spans="1:13" ht="12.75" customHeight="1">
      <c r="A530" s="212"/>
      <c r="B530" s="212"/>
      <c r="C530" s="212"/>
      <c r="D530" s="212"/>
      <c r="E530" s="212"/>
      <c r="F530" s="212"/>
      <c r="G530" s="212"/>
      <c r="H530" s="212"/>
      <c r="J530" s="212"/>
      <c r="K530" s="212"/>
      <c r="M530" s="344"/>
    </row>
    <row r="531" spans="1:13" ht="12.75" customHeight="1">
      <c r="A531" s="212"/>
      <c r="B531" s="212"/>
      <c r="C531" s="212"/>
      <c r="D531" s="212"/>
      <c r="E531" s="212"/>
      <c r="F531" s="212"/>
      <c r="G531" s="212"/>
      <c r="H531" s="212"/>
      <c r="J531" s="212"/>
      <c r="K531" s="212"/>
      <c r="M531" s="344"/>
    </row>
    <row r="532" spans="1:13" ht="12.75" customHeight="1">
      <c r="A532" s="212"/>
      <c r="B532" s="212"/>
      <c r="C532" s="212"/>
      <c r="D532" s="212"/>
      <c r="E532" s="212"/>
      <c r="F532" s="212"/>
      <c r="G532" s="212"/>
      <c r="H532" s="212"/>
      <c r="J532" s="212"/>
      <c r="K532" s="212"/>
      <c r="M532" s="344"/>
    </row>
    <row r="533" spans="1:13" ht="12.75" customHeight="1">
      <c r="A533" s="212"/>
      <c r="B533" s="212"/>
      <c r="C533" s="212"/>
      <c r="D533" s="212"/>
      <c r="E533" s="212"/>
      <c r="F533" s="212"/>
      <c r="G533" s="212"/>
      <c r="H533" s="212"/>
      <c r="J533" s="212"/>
      <c r="K533" s="212"/>
      <c r="M533" s="344"/>
    </row>
    <row r="534" spans="1:13" ht="12.75" customHeight="1">
      <c r="A534" s="212"/>
      <c r="B534" s="212"/>
      <c r="C534" s="212"/>
      <c r="D534" s="212"/>
      <c r="E534" s="212"/>
      <c r="F534" s="212"/>
      <c r="G534" s="212"/>
      <c r="H534" s="212"/>
      <c r="J534" s="212"/>
      <c r="K534" s="212"/>
      <c r="M534" s="344"/>
    </row>
    <row r="535" spans="1:13" ht="12.75" customHeight="1">
      <c r="A535" s="212"/>
      <c r="B535" s="212"/>
      <c r="C535" s="212"/>
      <c r="D535" s="212"/>
      <c r="E535" s="212"/>
      <c r="F535" s="212"/>
      <c r="G535" s="212"/>
      <c r="H535" s="212"/>
      <c r="J535" s="212"/>
      <c r="K535" s="212"/>
      <c r="M535" s="344"/>
    </row>
    <row r="536" spans="1:13" ht="12.75" customHeight="1">
      <c r="A536" s="212"/>
      <c r="B536" s="212"/>
      <c r="C536" s="212"/>
      <c r="D536" s="212"/>
      <c r="E536" s="212"/>
      <c r="F536" s="212"/>
      <c r="G536" s="212"/>
      <c r="H536" s="212"/>
      <c r="J536" s="212"/>
      <c r="K536" s="212"/>
      <c r="M536" s="344"/>
    </row>
    <row r="537" spans="1:13" ht="12.75" customHeight="1">
      <c r="A537" s="212"/>
      <c r="B537" s="212"/>
      <c r="C537" s="212"/>
      <c r="D537" s="212"/>
      <c r="E537" s="212"/>
      <c r="F537" s="212"/>
      <c r="G537" s="212"/>
      <c r="H537" s="212"/>
      <c r="J537" s="212"/>
      <c r="K537" s="212"/>
      <c r="M537" s="344"/>
    </row>
    <row r="538" spans="1:13" ht="12.75" customHeight="1">
      <c r="A538" s="212"/>
      <c r="B538" s="212"/>
      <c r="C538" s="212"/>
      <c r="D538" s="212"/>
      <c r="E538" s="212"/>
      <c r="F538" s="212"/>
      <c r="G538" s="212"/>
      <c r="H538" s="212"/>
      <c r="J538" s="212"/>
      <c r="K538" s="212"/>
      <c r="M538" s="344"/>
    </row>
    <row r="539" spans="1:13" ht="12.75" customHeight="1">
      <c r="A539" s="212"/>
      <c r="B539" s="212"/>
      <c r="C539" s="212"/>
      <c r="D539" s="212"/>
      <c r="E539" s="212"/>
      <c r="F539" s="212"/>
      <c r="G539" s="212"/>
      <c r="H539" s="212"/>
      <c r="J539" s="212"/>
      <c r="K539" s="212"/>
      <c r="M539" s="344"/>
    </row>
    <row r="540" spans="1:13" ht="12.75" customHeight="1">
      <c r="A540" s="212"/>
      <c r="B540" s="212"/>
      <c r="C540" s="212"/>
      <c r="D540" s="212"/>
      <c r="E540" s="212"/>
      <c r="F540" s="212"/>
      <c r="G540" s="212"/>
      <c r="H540" s="212"/>
      <c r="J540" s="212"/>
      <c r="K540" s="212"/>
      <c r="M540" s="344"/>
    </row>
    <row r="541" spans="1:13" ht="12.75" customHeight="1">
      <c r="A541" s="212"/>
      <c r="B541" s="212"/>
      <c r="C541" s="212"/>
      <c r="D541" s="212"/>
      <c r="E541" s="212"/>
      <c r="F541" s="212"/>
      <c r="G541" s="212"/>
      <c r="H541" s="212"/>
      <c r="J541" s="212"/>
      <c r="K541" s="212"/>
      <c r="M541" s="344"/>
    </row>
    <row r="542" spans="1:13" ht="12.75" customHeight="1">
      <c r="A542" s="212"/>
      <c r="B542" s="212"/>
      <c r="C542" s="212"/>
      <c r="D542" s="212"/>
      <c r="E542" s="212"/>
      <c r="F542" s="212"/>
      <c r="G542" s="212"/>
      <c r="H542" s="212"/>
      <c r="J542" s="212"/>
      <c r="K542" s="212"/>
      <c r="M542" s="344"/>
    </row>
    <row r="543" spans="1:13" ht="12.75" customHeight="1">
      <c r="A543" s="212"/>
      <c r="B543" s="212"/>
      <c r="C543" s="212"/>
      <c r="D543" s="212"/>
      <c r="E543" s="212"/>
      <c r="F543" s="212"/>
      <c r="G543" s="212"/>
      <c r="H543" s="212"/>
      <c r="J543" s="212"/>
      <c r="K543" s="212"/>
      <c r="M543" s="344"/>
    </row>
    <row r="544" spans="1:13" ht="12.75" customHeight="1">
      <c r="A544" s="212"/>
      <c r="B544" s="212"/>
      <c r="C544" s="212"/>
      <c r="D544" s="212"/>
      <c r="E544" s="212"/>
      <c r="F544" s="212"/>
      <c r="G544" s="212"/>
      <c r="H544" s="212"/>
      <c r="J544" s="212"/>
      <c r="K544" s="212"/>
      <c r="M544" s="344"/>
    </row>
    <row r="545" spans="1:13" ht="12.75" customHeight="1">
      <c r="A545" s="212"/>
      <c r="B545" s="212"/>
      <c r="C545" s="212"/>
      <c r="D545" s="212"/>
      <c r="E545" s="212"/>
      <c r="F545" s="212"/>
      <c r="G545" s="212"/>
      <c r="H545" s="212"/>
      <c r="J545" s="212"/>
      <c r="K545" s="212"/>
      <c r="M545" s="344"/>
    </row>
    <row r="546" spans="1:13" ht="12.75" customHeight="1">
      <c r="A546" s="212"/>
      <c r="B546" s="212"/>
      <c r="C546" s="212"/>
      <c r="D546" s="212"/>
      <c r="E546" s="212"/>
      <c r="F546" s="212"/>
      <c r="G546" s="212"/>
      <c r="H546" s="212"/>
      <c r="J546" s="212"/>
      <c r="K546" s="212"/>
      <c r="M546" s="344"/>
    </row>
    <row r="547" spans="1:13" ht="12.75" customHeight="1">
      <c r="A547" s="212"/>
      <c r="B547" s="212"/>
      <c r="C547" s="212"/>
      <c r="D547" s="212"/>
      <c r="E547" s="212"/>
      <c r="F547" s="212"/>
      <c r="G547" s="212"/>
      <c r="H547" s="212"/>
      <c r="J547" s="212"/>
      <c r="K547" s="212"/>
      <c r="M547" s="344"/>
    </row>
    <row r="548" spans="1:13" ht="12.75" customHeight="1">
      <c r="A548" s="212"/>
      <c r="B548" s="212"/>
      <c r="C548" s="212"/>
      <c r="D548" s="212"/>
      <c r="E548" s="212"/>
      <c r="F548" s="212"/>
      <c r="G548" s="212"/>
      <c r="H548" s="212"/>
      <c r="J548" s="212"/>
      <c r="K548" s="212"/>
      <c r="M548" s="344"/>
    </row>
    <row r="549" spans="1:13" ht="12.75" customHeight="1">
      <c r="A549" s="212"/>
      <c r="B549" s="212"/>
      <c r="C549" s="212"/>
      <c r="D549" s="212"/>
      <c r="E549" s="212"/>
      <c r="F549" s="212"/>
      <c r="G549" s="212"/>
      <c r="H549" s="212"/>
      <c r="J549" s="212"/>
      <c r="K549" s="212"/>
      <c r="M549" s="344"/>
    </row>
    <row r="550" spans="1:13" ht="12.75" customHeight="1">
      <c r="A550" s="212"/>
      <c r="B550" s="212"/>
      <c r="C550" s="212"/>
      <c r="D550" s="212"/>
      <c r="E550" s="212"/>
      <c r="F550" s="212"/>
      <c r="G550" s="212"/>
      <c r="H550" s="212"/>
      <c r="J550" s="212"/>
      <c r="K550" s="212"/>
      <c r="M550" s="344"/>
    </row>
    <row r="551" spans="1:13" ht="12.75" customHeight="1">
      <c r="A551" s="212"/>
      <c r="B551" s="212"/>
      <c r="C551" s="212"/>
      <c r="D551" s="212"/>
      <c r="E551" s="212"/>
      <c r="F551" s="212"/>
      <c r="G551" s="212"/>
      <c r="H551" s="212"/>
      <c r="J551" s="212"/>
      <c r="K551" s="212"/>
      <c r="M551" s="344"/>
    </row>
    <row r="552" spans="1:13" ht="12.75" customHeight="1">
      <c r="A552" s="212"/>
      <c r="B552" s="212"/>
      <c r="C552" s="212"/>
      <c r="D552" s="212"/>
      <c r="E552" s="212"/>
      <c r="F552" s="212"/>
      <c r="G552" s="212"/>
      <c r="H552" s="212"/>
      <c r="J552" s="212"/>
      <c r="K552" s="212"/>
      <c r="M552" s="344"/>
    </row>
    <row r="553" spans="1:13" ht="12.75" customHeight="1">
      <c r="A553" s="212"/>
      <c r="B553" s="212"/>
      <c r="C553" s="212"/>
      <c r="D553" s="212"/>
      <c r="E553" s="212"/>
      <c r="F553" s="212"/>
      <c r="G553" s="212"/>
      <c r="H553" s="212"/>
      <c r="J553" s="212"/>
      <c r="K553" s="212"/>
      <c r="M553" s="344"/>
    </row>
    <row r="554" spans="1:13" ht="12.75" customHeight="1">
      <c r="A554" s="212"/>
      <c r="B554" s="212"/>
      <c r="C554" s="212"/>
      <c r="D554" s="212"/>
      <c r="E554" s="212"/>
      <c r="F554" s="212"/>
      <c r="G554" s="212"/>
      <c r="H554" s="212"/>
      <c r="J554" s="212"/>
      <c r="K554" s="212"/>
      <c r="M554" s="344"/>
    </row>
    <row r="555" spans="1:13" ht="12.75" customHeight="1">
      <c r="A555" s="212"/>
      <c r="B555" s="212"/>
      <c r="C555" s="212"/>
      <c r="D555" s="212"/>
      <c r="E555" s="212"/>
      <c r="F555" s="212"/>
      <c r="G555" s="212"/>
      <c r="H555" s="212"/>
      <c r="J555" s="212"/>
      <c r="K555" s="212"/>
      <c r="M555" s="344"/>
    </row>
    <row r="556" spans="1:13" ht="12.75" customHeight="1">
      <c r="A556" s="212"/>
      <c r="B556" s="212"/>
      <c r="C556" s="212"/>
      <c r="D556" s="212"/>
      <c r="E556" s="212"/>
      <c r="F556" s="212"/>
      <c r="G556" s="212"/>
      <c r="H556" s="212"/>
      <c r="J556" s="212"/>
      <c r="K556" s="212"/>
      <c r="M556" s="344"/>
    </row>
    <row r="557" spans="1:13" ht="12.75" customHeight="1">
      <c r="A557" s="212"/>
      <c r="B557" s="212"/>
      <c r="C557" s="212"/>
      <c r="D557" s="212"/>
      <c r="E557" s="212"/>
      <c r="F557" s="212"/>
      <c r="G557" s="212"/>
      <c r="H557" s="212"/>
      <c r="J557" s="212"/>
      <c r="K557" s="212"/>
      <c r="M557" s="344"/>
    </row>
    <row r="558" spans="1:13" ht="12.75" customHeight="1">
      <c r="A558" s="212"/>
      <c r="B558" s="212"/>
      <c r="C558" s="212"/>
      <c r="D558" s="212"/>
      <c r="E558" s="212"/>
      <c r="F558" s="212"/>
      <c r="G558" s="212"/>
      <c r="H558" s="212"/>
      <c r="J558" s="212"/>
      <c r="K558" s="212"/>
      <c r="M558" s="344"/>
    </row>
    <row r="559" spans="1:13" ht="12.75" customHeight="1">
      <c r="A559" s="212"/>
      <c r="B559" s="212"/>
      <c r="C559" s="212"/>
      <c r="D559" s="212"/>
      <c r="E559" s="212"/>
      <c r="F559" s="212"/>
      <c r="G559" s="212"/>
      <c r="H559" s="212"/>
      <c r="J559" s="212"/>
      <c r="K559" s="212"/>
      <c r="M559" s="344"/>
    </row>
    <row r="560" spans="1:13" ht="12.75" customHeight="1">
      <c r="A560" s="212"/>
      <c r="B560" s="212"/>
      <c r="C560" s="212"/>
      <c r="D560" s="212"/>
      <c r="E560" s="212"/>
      <c r="F560" s="212"/>
      <c r="G560" s="212"/>
      <c r="H560" s="212"/>
      <c r="J560" s="212"/>
      <c r="K560" s="212"/>
      <c r="M560" s="344"/>
    </row>
    <row r="561" spans="1:13" ht="12.75" customHeight="1">
      <c r="A561" s="212"/>
      <c r="B561" s="212"/>
      <c r="C561" s="212"/>
      <c r="D561" s="212"/>
      <c r="E561" s="212"/>
      <c r="F561" s="212"/>
      <c r="G561" s="212"/>
      <c r="H561" s="212"/>
      <c r="J561" s="212"/>
      <c r="K561" s="212"/>
      <c r="M561" s="344"/>
    </row>
    <row r="562" spans="1:13" ht="12.75" customHeight="1">
      <c r="A562" s="212"/>
      <c r="B562" s="212"/>
      <c r="C562" s="212"/>
      <c r="D562" s="212"/>
      <c r="E562" s="212"/>
      <c r="F562" s="212"/>
      <c r="G562" s="212"/>
      <c r="H562" s="212"/>
      <c r="J562" s="212"/>
      <c r="K562" s="212"/>
      <c r="M562" s="344"/>
    </row>
    <row r="563" spans="1:13" ht="12.75" customHeight="1">
      <c r="A563" s="212"/>
      <c r="B563" s="212"/>
      <c r="C563" s="212"/>
      <c r="D563" s="212"/>
      <c r="E563" s="212"/>
      <c r="F563" s="212"/>
      <c r="G563" s="212"/>
      <c r="H563" s="212"/>
      <c r="J563" s="212"/>
      <c r="K563" s="212"/>
      <c r="M563" s="344"/>
    </row>
    <row r="564" spans="1:13" ht="12.75" customHeight="1">
      <c r="A564" s="212"/>
      <c r="B564" s="212"/>
      <c r="C564" s="212"/>
      <c r="D564" s="212"/>
      <c r="E564" s="212"/>
      <c r="F564" s="212"/>
      <c r="G564" s="212"/>
      <c r="H564" s="212"/>
      <c r="J564" s="212"/>
      <c r="K564" s="212"/>
      <c r="M564" s="344"/>
    </row>
    <row r="565" spans="1:13" ht="12.75" customHeight="1">
      <c r="A565" s="212"/>
      <c r="B565" s="212"/>
      <c r="C565" s="212"/>
      <c r="D565" s="212"/>
      <c r="E565" s="212"/>
      <c r="F565" s="212"/>
      <c r="G565" s="212"/>
      <c r="H565" s="212"/>
      <c r="J565" s="212"/>
      <c r="K565" s="212"/>
      <c r="M565" s="344"/>
    </row>
    <row r="566" spans="1:13" ht="12.75" customHeight="1">
      <c r="A566" s="212"/>
      <c r="B566" s="212"/>
      <c r="C566" s="212"/>
      <c r="D566" s="212"/>
      <c r="E566" s="212"/>
      <c r="F566" s="212"/>
      <c r="G566" s="212"/>
      <c r="H566" s="212"/>
      <c r="J566" s="212"/>
      <c r="K566" s="212"/>
      <c r="M566" s="344"/>
    </row>
    <row r="567" spans="1:13" ht="12.75" customHeight="1">
      <c r="A567" s="212"/>
      <c r="B567" s="212"/>
      <c r="C567" s="212"/>
      <c r="D567" s="212"/>
      <c r="E567" s="212"/>
      <c r="F567" s="212"/>
      <c r="G567" s="212"/>
      <c r="H567" s="212"/>
      <c r="J567" s="212"/>
      <c r="K567" s="212"/>
      <c r="M567" s="344"/>
    </row>
    <row r="568" spans="1:13" ht="12.75" customHeight="1">
      <c r="A568" s="212"/>
      <c r="B568" s="212"/>
      <c r="C568" s="212"/>
      <c r="D568" s="212"/>
      <c r="E568" s="212"/>
      <c r="F568" s="212"/>
      <c r="G568" s="212"/>
      <c r="H568" s="212"/>
      <c r="J568" s="212"/>
      <c r="K568" s="212"/>
      <c r="M568" s="344"/>
    </row>
    <row r="569" spans="1:13" ht="12.75" customHeight="1">
      <c r="A569" s="212"/>
      <c r="B569" s="212"/>
      <c r="C569" s="212"/>
      <c r="D569" s="212"/>
      <c r="E569" s="212"/>
      <c r="F569" s="212"/>
      <c r="G569" s="212"/>
      <c r="H569" s="212"/>
      <c r="J569" s="212"/>
      <c r="K569" s="212"/>
      <c r="M569" s="344"/>
    </row>
    <row r="570" spans="1:13" ht="12.75" customHeight="1">
      <c r="A570" s="212"/>
      <c r="B570" s="212"/>
      <c r="C570" s="212"/>
      <c r="D570" s="212"/>
      <c r="E570" s="212"/>
      <c r="F570" s="212"/>
      <c r="G570" s="212"/>
      <c r="H570" s="212"/>
      <c r="J570" s="212"/>
      <c r="K570" s="212"/>
      <c r="M570" s="344"/>
    </row>
    <row r="571" spans="1:13" ht="12.75" customHeight="1">
      <c r="A571" s="212"/>
      <c r="B571" s="212"/>
      <c r="C571" s="212"/>
      <c r="D571" s="212"/>
      <c r="E571" s="212"/>
      <c r="F571" s="212"/>
      <c r="G571" s="212"/>
      <c r="H571" s="212"/>
      <c r="J571" s="212"/>
      <c r="K571" s="212"/>
      <c r="M571" s="344"/>
    </row>
    <row r="572" spans="1:13" ht="12.75" customHeight="1">
      <c r="A572" s="212"/>
      <c r="B572" s="212"/>
      <c r="C572" s="212"/>
      <c r="D572" s="212"/>
      <c r="E572" s="212"/>
      <c r="F572" s="212"/>
      <c r="G572" s="212"/>
      <c r="H572" s="212"/>
      <c r="J572" s="212"/>
      <c r="K572" s="212"/>
      <c r="M572" s="344"/>
    </row>
    <row r="573" spans="1:13" ht="12.75" customHeight="1">
      <c r="A573" s="212"/>
      <c r="B573" s="212"/>
      <c r="C573" s="212"/>
      <c r="D573" s="212"/>
      <c r="E573" s="212"/>
      <c r="F573" s="212"/>
      <c r="G573" s="212"/>
      <c r="H573" s="212"/>
      <c r="J573" s="212"/>
      <c r="K573" s="212"/>
      <c r="M573" s="344"/>
    </row>
    <row r="574" spans="1:13" ht="12.75" customHeight="1">
      <c r="A574" s="212"/>
      <c r="B574" s="212"/>
      <c r="C574" s="212"/>
      <c r="D574" s="212"/>
      <c r="E574" s="212"/>
      <c r="F574" s="212"/>
      <c r="G574" s="212"/>
      <c r="H574" s="212"/>
      <c r="J574" s="212"/>
      <c r="K574" s="212"/>
      <c r="M574" s="344"/>
    </row>
    <row r="575" spans="1:13" ht="12.75" customHeight="1">
      <c r="A575" s="212"/>
      <c r="B575" s="212"/>
      <c r="C575" s="212"/>
      <c r="D575" s="212"/>
      <c r="E575" s="212"/>
      <c r="F575" s="212"/>
      <c r="G575" s="212"/>
      <c r="H575" s="212"/>
      <c r="J575" s="212"/>
      <c r="K575" s="212"/>
      <c r="M575" s="344"/>
    </row>
    <row r="576" spans="1:13" ht="12.75" customHeight="1">
      <c r="A576" s="212"/>
      <c r="B576" s="212"/>
      <c r="C576" s="212"/>
      <c r="D576" s="212"/>
      <c r="E576" s="212"/>
      <c r="F576" s="212"/>
      <c r="G576" s="212"/>
      <c r="H576" s="212"/>
      <c r="J576" s="212"/>
      <c r="K576" s="212"/>
      <c r="M576" s="344"/>
    </row>
    <row r="577" spans="1:13" ht="12.75" customHeight="1">
      <c r="A577" s="212"/>
      <c r="B577" s="212"/>
      <c r="C577" s="212"/>
      <c r="D577" s="212"/>
      <c r="E577" s="212"/>
      <c r="F577" s="212"/>
      <c r="G577" s="212"/>
      <c r="H577" s="212"/>
      <c r="J577" s="212"/>
      <c r="K577" s="212"/>
      <c r="M577" s="344"/>
    </row>
    <row r="578" spans="1:13" ht="12.75" customHeight="1">
      <c r="A578" s="212"/>
      <c r="B578" s="212"/>
      <c r="C578" s="212"/>
      <c r="D578" s="212"/>
      <c r="E578" s="212"/>
      <c r="F578" s="212"/>
      <c r="G578" s="212"/>
      <c r="H578" s="212"/>
      <c r="J578" s="212"/>
      <c r="K578" s="212"/>
      <c r="M578" s="344"/>
    </row>
    <row r="579" spans="1:13" ht="12.75" customHeight="1">
      <c r="A579" s="212"/>
      <c r="B579" s="212"/>
      <c r="C579" s="212"/>
      <c r="D579" s="212"/>
      <c r="E579" s="212"/>
      <c r="F579" s="212"/>
      <c r="G579" s="212"/>
      <c r="H579" s="212"/>
      <c r="J579" s="212"/>
      <c r="K579" s="212"/>
      <c r="M579" s="344"/>
    </row>
    <row r="580" spans="1:13" ht="12.75" customHeight="1">
      <c r="A580" s="212"/>
      <c r="B580" s="212"/>
      <c r="C580" s="212"/>
      <c r="D580" s="212"/>
      <c r="E580" s="212"/>
      <c r="F580" s="212"/>
      <c r="G580" s="212"/>
      <c r="H580" s="212"/>
      <c r="J580" s="212"/>
      <c r="K580" s="212"/>
      <c r="M580" s="344"/>
    </row>
    <row r="581" spans="1:13" ht="12.75" customHeight="1">
      <c r="A581" s="212"/>
      <c r="B581" s="212"/>
      <c r="C581" s="212"/>
      <c r="D581" s="212"/>
      <c r="E581" s="212"/>
      <c r="F581" s="212"/>
      <c r="G581" s="212"/>
      <c r="H581" s="212"/>
      <c r="J581" s="212"/>
      <c r="K581" s="212"/>
      <c r="M581" s="344"/>
    </row>
    <row r="582" spans="1:13" ht="12.75" customHeight="1">
      <c r="A582" s="212"/>
      <c r="B582" s="212"/>
      <c r="C582" s="212"/>
      <c r="D582" s="212"/>
      <c r="E582" s="212"/>
      <c r="F582" s="212"/>
      <c r="G582" s="212"/>
      <c r="H582" s="212"/>
      <c r="J582" s="212"/>
      <c r="K582" s="212"/>
      <c r="M582" s="344"/>
    </row>
    <row r="583" spans="1:13" ht="12.75" customHeight="1">
      <c r="A583" s="212"/>
      <c r="B583" s="212"/>
      <c r="C583" s="212"/>
      <c r="D583" s="212"/>
      <c r="E583" s="212"/>
      <c r="F583" s="212"/>
      <c r="G583" s="212"/>
      <c r="H583" s="212"/>
      <c r="J583" s="212"/>
      <c r="K583" s="212"/>
      <c r="M583" s="344"/>
    </row>
    <row r="584" spans="1:13" ht="12.75" customHeight="1">
      <c r="A584" s="212"/>
      <c r="B584" s="212"/>
      <c r="C584" s="212"/>
      <c r="D584" s="212"/>
      <c r="E584" s="212"/>
      <c r="F584" s="212"/>
      <c r="G584" s="212"/>
      <c r="H584" s="212"/>
      <c r="J584" s="212"/>
      <c r="K584" s="212"/>
      <c r="M584" s="344"/>
    </row>
    <row r="585" spans="1:13" ht="12.75" customHeight="1">
      <c r="A585" s="212"/>
      <c r="B585" s="212"/>
      <c r="C585" s="212"/>
      <c r="D585" s="212"/>
      <c r="E585" s="212"/>
      <c r="F585" s="212"/>
      <c r="G585" s="212"/>
      <c r="H585" s="212"/>
      <c r="J585" s="212"/>
      <c r="K585" s="212"/>
      <c r="M585" s="344"/>
    </row>
    <row r="586" spans="1:13" ht="12.75" customHeight="1">
      <c r="A586" s="212"/>
      <c r="B586" s="212"/>
      <c r="C586" s="212"/>
      <c r="D586" s="212"/>
      <c r="E586" s="212"/>
      <c r="F586" s="212"/>
      <c r="G586" s="212"/>
      <c r="H586" s="212"/>
      <c r="J586" s="212"/>
      <c r="K586" s="212"/>
      <c r="M586" s="344"/>
    </row>
    <row r="587" spans="1:13" ht="12.75" customHeight="1">
      <c r="A587" s="212"/>
      <c r="B587" s="212"/>
      <c r="C587" s="212"/>
      <c r="D587" s="212"/>
      <c r="E587" s="212"/>
      <c r="F587" s="212"/>
      <c r="G587" s="212"/>
      <c r="H587" s="212"/>
      <c r="J587" s="212"/>
      <c r="K587" s="212"/>
      <c r="M587" s="344"/>
    </row>
    <row r="588" spans="1:13" ht="12.75" customHeight="1">
      <c r="A588" s="212"/>
      <c r="B588" s="212"/>
      <c r="C588" s="212"/>
      <c r="D588" s="212"/>
      <c r="E588" s="212"/>
      <c r="F588" s="212"/>
      <c r="G588" s="212"/>
      <c r="H588" s="212"/>
      <c r="J588" s="212"/>
      <c r="K588" s="212"/>
      <c r="M588" s="344"/>
    </row>
    <row r="589" spans="1:13" ht="12.75" customHeight="1">
      <c r="A589" s="212"/>
      <c r="B589" s="212"/>
      <c r="C589" s="212"/>
      <c r="D589" s="212"/>
      <c r="E589" s="212"/>
      <c r="F589" s="212"/>
      <c r="G589" s="212"/>
      <c r="H589" s="212"/>
      <c r="J589" s="212"/>
      <c r="K589" s="212"/>
      <c r="M589" s="344"/>
    </row>
    <row r="590" spans="1:13" ht="12.75" customHeight="1">
      <c r="A590" s="212"/>
      <c r="B590" s="212"/>
      <c r="C590" s="212"/>
      <c r="D590" s="212"/>
      <c r="E590" s="212"/>
      <c r="F590" s="212"/>
      <c r="G590" s="212"/>
      <c r="H590" s="212"/>
      <c r="J590" s="212"/>
      <c r="K590" s="212"/>
      <c r="M590" s="344"/>
    </row>
    <row r="591" spans="1:13" ht="12.75" customHeight="1">
      <c r="A591" s="212"/>
      <c r="B591" s="212"/>
      <c r="C591" s="212"/>
      <c r="D591" s="212"/>
      <c r="E591" s="212"/>
      <c r="F591" s="212"/>
      <c r="G591" s="212"/>
      <c r="H591" s="212"/>
      <c r="J591" s="212"/>
      <c r="K591" s="212"/>
      <c r="M591" s="344"/>
    </row>
    <row r="592" spans="1:13" ht="12.75" customHeight="1">
      <c r="A592" s="212"/>
      <c r="B592" s="212"/>
      <c r="C592" s="212"/>
      <c r="D592" s="212"/>
      <c r="E592" s="212"/>
      <c r="F592" s="212"/>
      <c r="G592" s="212"/>
      <c r="H592" s="212"/>
      <c r="J592" s="212"/>
      <c r="K592" s="212"/>
      <c r="M592" s="344"/>
    </row>
    <row r="593" spans="1:13" ht="12.75" customHeight="1">
      <c r="A593" s="212"/>
      <c r="B593" s="212"/>
      <c r="C593" s="212"/>
      <c r="D593" s="212"/>
      <c r="E593" s="212"/>
      <c r="F593" s="212"/>
      <c r="G593" s="212"/>
      <c r="H593" s="212"/>
      <c r="J593" s="212"/>
      <c r="K593" s="212"/>
      <c r="M593" s="344"/>
    </row>
    <row r="594" spans="1:13" ht="12.75" customHeight="1">
      <c r="A594" s="212"/>
      <c r="B594" s="212"/>
      <c r="C594" s="212"/>
      <c r="D594" s="212"/>
      <c r="E594" s="212"/>
      <c r="F594" s="212"/>
      <c r="G594" s="212"/>
      <c r="H594" s="212"/>
      <c r="J594" s="212"/>
      <c r="K594" s="212"/>
      <c r="M594" s="344"/>
    </row>
    <row r="595" spans="1:13" ht="12.75" customHeight="1">
      <c r="A595" s="212"/>
      <c r="B595" s="212"/>
      <c r="C595" s="212"/>
      <c r="D595" s="212"/>
      <c r="E595" s="212"/>
      <c r="F595" s="212"/>
      <c r="G595" s="212"/>
      <c r="H595" s="212"/>
      <c r="J595" s="212"/>
      <c r="K595" s="212"/>
      <c r="M595" s="344"/>
    </row>
    <row r="596" spans="1:13" ht="12.75" customHeight="1">
      <c r="A596" s="212"/>
      <c r="B596" s="212"/>
      <c r="C596" s="212"/>
      <c r="D596" s="212"/>
      <c r="E596" s="212"/>
      <c r="F596" s="212"/>
      <c r="G596" s="212"/>
      <c r="H596" s="212"/>
      <c r="J596" s="212"/>
      <c r="K596" s="212"/>
      <c r="M596" s="344"/>
    </row>
    <row r="597" spans="1:13" ht="12.75" customHeight="1">
      <c r="A597" s="212"/>
      <c r="B597" s="212"/>
      <c r="C597" s="212"/>
      <c r="D597" s="212"/>
      <c r="E597" s="212"/>
      <c r="F597" s="212"/>
      <c r="G597" s="212"/>
      <c r="H597" s="212"/>
      <c r="J597" s="212"/>
      <c r="K597" s="212"/>
      <c r="M597" s="344"/>
    </row>
    <row r="598" spans="1:13" ht="12.75" customHeight="1">
      <c r="A598" s="212"/>
      <c r="B598" s="212"/>
      <c r="C598" s="212"/>
      <c r="D598" s="212"/>
      <c r="E598" s="212"/>
      <c r="F598" s="212"/>
      <c r="G598" s="212"/>
      <c r="H598" s="212"/>
      <c r="J598" s="212"/>
      <c r="K598" s="212"/>
      <c r="M598" s="344"/>
    </row>
    <row r="599" spans="1:13" ht="12.75" customHeight="1">
      <c r="A599" s="212"/>
      <c r="B599" s="212"/>
      <c r="C599" s="212"/>
      <c r="D599" s="212"/>
      <c r="E599" s="212"/>
      <c r="F599" s="212"/>
      <c r="G599" s="212"/>
      <c r="H599" s="212"/>
      <c r="J599" s="212"/>
      <c r="K599" s="212"/>
      <c r="M599" s="344"/>
    </row>
    <row r="600" spans="1:13" ht="12.75" customHeight="1">
      <c r="A600" s="212"/>
      <c r="B600" s="212"/>
      <c r="C600" s="212"/>
      <c r="D600" s="212"/>
      <c r="E600" s="212"/>
      <c r="F600" s="212"/>
      <c r="G600" s="212"/>
      <c r="H600" s="212"/>
      <c r="J600" s="212"/>
      <c r="K600" s="212"/>
      <c r="M600" s="344"/>
    </row>
    <row r="601" spans="1:13" ht="12.75" customHeight="1">
      <c r="A601" s="212"/>
      <c r="B601" s="212"/>
      <c r="C601" s="212"/>
      <c r="D601" s="212"/>
      <c r="E601" s="212"/>
      <c r="F601" s="212"/>
      <c r="G601" s="212"/>
      <c r="H601" s="212"/>
      <c r="J601" s="212"/>
      <c r="K601" s="212"/>
      <c r="M601" s="344"/>
    </row>
    <row r="602" spans="1:13" ht="12.75" customHeight="1">
      <c r="A602" s="212"/>
      <c r="B602" s="212"/>
      <c r="C602" s="212"/>
      <c r="D602" s="212"/>
      <c r="E602" s="212"/>
      <c r="F602" s="212"/>
      <c r="G602" s="212"/>
      <c r="H602" s="212"/>
      <c r="J602" s="212"/>
      <c r="K602" s="212"/>
      <c r="M602" s="344"/>
    </row>
    <row r="603" spans="1:13" ht="12.75" customHeight="1">
      <c r="A603" s="212"/>
      <c r="B603" s="212"/>
      <c r="C603" s="212"/>
      <c r="D603" s="212"/>
      <c r="E603" s="212"/>
      <c r="F603" s="212"/>
      <c r="G603" s="212"/>
      <c r="H603" s="212"/>
      <c r="J603" s="212"/>
      <c r="K603" s="212"/>
      <c r="M603" s="344"/>
    </row>
    <row r="604" spans="1:13" ht="12.75" customHeight="1">
      <c r="A604" s="212"/>
      <c r="B604" s="212"/>
      <c r="C604" s="212"/>
      <c r="D604" s="212"/>
      <c r="E604" s="212"/>
      <c r="F604" s="212"/>
      <c r="G604" s="212"/>
      <c r="H604" s="212"/>
      <c r="J604" s="212"/>
      <c r="K604" s="212"/>
      <c r="M604" s="344"/>
    </row>
    <row r="605" spans="1:13" ht="12.75" customHeight="1">
      <c r="A605" s="212"/>
      <c r="B605" s="212"/>
      <c r="C605" s="212"/>
      <c r="D605" s="212"/>
      <c r="E605" s="212"/>
      <c r="F605" s="212"/>
      <c r="G605" s="212"/>
      <c r="H605" s="212"/>
      <c r="J605" s="212"/>
      <c r="K605" s="212"/>
      <c r="M605" s="344"/>
    </row>
    <row r="606" spans="1:13" ht="12.75" customHeight="1">
      <c r="A606" s="212"/>
      <c r="B606" s="212"/>
      <c r="C606" s="212"/>
      <c r="D606" s="212"/>
      <c r="E606" s="212"/>
      <c r="F606" s="212"/>
      <c r="G606" s="212"/>
      <c r="H606" s="212"/>
      <c r="J606" s="212"/>
      <c r="K606" s="212"/>
      <c r="M606" s="344"/>
    </row>
    <row r="607" spans="1:13" ht="12.75" customHeight="1">
      <c r="A607" s="212"/>
      <c r="B607" s="212"/>
      <c r="C607" s="212"/>
      <c r="D607" s="212"/>
      <c r="E607" s="212"/>
      <c r="F607" s="212"/>
      <c r="G607" s="212"/>
      <c r="H607" s="212"/>
      <c r="J607" s="212"/>
      <c r="K607" s="212"/>
      <c r="M607" s="344"/>
    </row>
    <row r="608" spans="1:13" ht="12.75" customHeight="1">
      <c r="A608" s="212"/>
      <c r="B608" s="212"/>
      <c r="C608" s="212"/>
      <c r="D608" s="212"/>
      <c r="E608" s="212"/>
      <c r="F608" s="212"/>
      <c r="G608" s="212"/>
      <c r="H608" s="212"/>
      <c r="J608" s="212"/>
      <c r="K608" s="212"/>
      <c r="M608" s="344"/>
    </row>
    <row r="609" spans="1:13" ht="12.75" customHeight="1">
      <c r="A609" s="212"/>
      <c r="B609" s="212"/>
      <c r="C609" s="212"/>
      <c r="D609" s="212"/>
      <c r="E609" s="212"/>
      <c r="F609" s="212"/>
      <c r="G609" s="212"/>
      <c r="H609" s="212"/>
      <c r="J609" s="212"/>
      <c r="K609" s="212"/>
      <c r="M609" s="344"/>
    </row>
    <row r="610" spans="1:13" ht="12.75" customHeight="1">
      <c r="A610" s="212"/>
      <c r="B610" s="212"/>
      <c r="C610" s="212"/>
      <c r="D610" s="212"/>
      <c r="E610" s="212"/>
      <c r="F610" s="212"/>
      <c r="G610" s="212"/>
      <c r="H610" s="212"/>
      <c r="J610" s="212"/>
      <c r="K610" s="212"/>
      <c r="M610" s="344"/>
    </row>
    <row r="611" spans="1:13" ht="12.75" customHeight="1">
      <c r="A611" s="212"/>
      <c r="B611" s="212"/>
      <c r="C611" s="212"/>
      <c r="D611" s="212"/>
      <c r="E611" s="212"/>
      <c r="F611" s="212"/>
      <c r="G611" s="212"/>
      <c r="H611" s="212"/>
      <c r="J611" s="212"/>
      <c r="K611" s="212"/>
      <c r="M611" s="344"/>
    </row>
    <row r="612" spans="1:13" ht="12.75" customHeight="1">
      <c r="A612" s="212"/>
      <c r="B612" s="212"/>
      <c r="C612" s="212"/>
      <c r="D612" s="212"/>
      <c r="E612" s="212"/>
      <c r="F612" s="212"/>
      <c r="G612" s="212"/>
      <c r="H612" s="212"/>
      <c r="J612" s="212"/>
      <c r="K612" s="212"/>
      <c r="M612" s="344"/>
    </row>
    <row r="613" spans="1:13" ht="12.75" customHeight="1">
      <c r="A613" s="212"/>
      <c r="B613" s="212"/>
      <c r="C613" s="212"/>
      <c r="D613" s="212"/>
      <c r="E613" s="212"/>
      <c r="F613" s="212"/>
      <c r="G613" s="212"/>
      <c r="H613" s="212"/>
      <c r="J613" s="212"/>
      <c r="K613" s="212"/>
      <c r="M613" s="344"/>
    </row>
    <row r="614" spans="1:13" ht="12.75" customHeight="1">
      <c r="A614" s="212"/>
      <c r="B614" s="212"/>
      <c r="C614" s="212"/>
      <c r="D614" s="212"/>
      <c r="E614" s="212"/>
      <c r="F614" s="212"/>
      <c r="G614" s="212"/>
      <c r="H614" s="212"/>
      <c r="J614" s="212"/>
      <c r="K614" s="212"/>
      <c r="M614" s="344"/>
    </row>
    <row r="615" spans="1:13" ht="12.75" customHeight="1">
      <c r="A615" s="212"/>
      <c r="B615" s="212"/>
      <c r="C615" s="212"/>
      <c r="D615" s="212"/>
      <c r="E615" s="212"/>
      <c r="F615" s="212"/>
      <c r="G615" s="212"/>
      <c r="H615" s="212"/>
      <c r="J615" s="212"/>
      <c r="K615" s="212"/>
      <c r="M615" s="344"/>
    </row>
    <row r="616" spans="1:13" ht="12.75" customHeight="1">
      <c r="A616" s="212"/>
      <c r="B616" s="212"/>
      <c r="C616" s="212"/>
      <c r="D616" s="212"/>
      <c r="E616" s="212"/>
      <c r="F616" s="212"/>
      <c r="G616" s="212"/>
      <c r="H616" s="212"/>
      <c r="J616" s="212"/>
      <c r="K616" s="212"/>
      <c r="M616" s="344"/>
    </row>
    <row r="617" spans="1:13" ht="12.75" customHeight="1">
      <c r="A617" s="212"/>
      <c r="B617" s="212"/>
      <c r="C617" s="212"/>
      <c r="D617" s="212"/>
      <c r="E617" s="212"/>
      <c r="F617" s="212"/>
      <c r="G617" s="212"/>
      <c r="H617" s="212"/>
      <c r="J617" s="212"/>
      <c r="K617" s="212"/>
      <c r="M617" s="344"/>
    </row>
    <row r="618" spans="1:13" ht="12.75" customHeight="1">
      <c r="A618" s="212"/>
      <c r="B618" s="212"/>
      <c r="C618" s="212"/>
      <c r="D618" s="212"/>
      <c r="E618" s="212"/>
      <c r="F618" s="212"/>
      <c r="G618" s="212"/>
      <c r="H618" s="212"/>
      <c r="J618" s="212"/>
      <c r="K618" s="212"/>
      <c r="M618" s="344"/>
    </row>
    <row r="619" spans="1:13" ht="12.75" customHeight="1">
      <c r="A619" s="212"/>
      <c r="B619" s="212"/>
      <c r="C619" s="212"/>
      <c r="D619" s="212"/>
      <c r="E619" s="212"/>
      <c r="F619" s="212"/>
      <c r="G619" s="212"/>
      <c r="H619" s="212"/>
      <c r="J619" s="212"/>
      <c r="K619" s="212"/>
      <c r="M619" s="344"/>
    </row>
    <row r="620" spans="1:13" ht="12.75" customHeight="1">
      <c r="A620" s="212"/>
      <c r="B620" s="212"/>
      <c r="C620" s="212"/>
      <c r="D620" s="212"/>
      <c r="E620" s="212"/>
      <c r="F620" s="212"/>
      <c r="G620" s="212"/>
      <c r="H620" s="212"/>
      <c r="J620" s="212"/>
      <c r="K620" s="212"/>
      <c r="M620" s="344"/>
    </row>
    <row r="621" spans="1:13" ht="12.75" customHeight="1">
      <c r="A621" s="212"/>
      <c r="B621" s="212"/>
      <c r="C621" s="212"/>
      <c r="D621" s="212"/>
      <c r="E621" s="212"/>
      <c r="F621" s="212"/>
      <c r="G621" s="212"/>
      <c r="H621" s="212"/>
      <c r="J621" s="212"/>
      <c r="K621" s="212"/>
      <c r="M621" s="344"/>
    </row>
    <row r="622" spans="1:13" ht="12.75" customHeight="1">
      <c r="A622" s="212"/>
      <c r="B622" s="212"/>
      <c r="C622" s="212"/>
      <c r="D622" s="212"/>
      <c r="E622" s="212"/>
      <c r="F622" s="212"/>
      <c r="G622" s="212"/>
      <c r="H622" s="212"/>
      <c r="J622" s="212"/>
      <c r="K622" s="212"/>
      <c r="M622" s="344"/>
    </row>
    <row r="623" spans="1:13" ht="12.75" customHeight="1">
      <c r="A623" s="212"/>
      <c r="B623" s="212"/>
      <c r="C623" s="212"/>
      <c r="D623" s="212"/>
      <c r="E623" s="212"/>
      <c r="F623" s="212"/>
      <c r="G623" s="212"/>
      <c r="H623" s="212"/>
      <c r="J623" s="212"/>
      <c r="K623" s="212"/>
      <c r="M623" s="344"/>
    </row>
    <row r="624" spans="1:13" ht="12.75" customHeight="1">
      <c r="A624" s="212"/>
      <c r="B624" s="212"/>
      <c r="C624" s="212"/>
      <c r="D624" s="212"/>
      <c r="E624" s="212"/>
      <c r="F624" s="212"/>
      <c r="G624" s="212"/>
      <c r="H624" s="212"/>
      <c r="J624" s="212"/>
      <c r="K624" s="212"/>
      <c r="M624" s="344"/>
    </row>
    <row r="625" spans="1:13" ht="12.75" customHeight="1">
      <c r="A625" s="212"/>
      <c r="B625" s="212"/>
      <c r="C625" s="212"/>
      <c r="D625" s="212"/>
      <c r="E625" s="212"/>
      <c r="F625" s="212"/>
      <c r="G625" s="212"/>
      <c r="H625" s="212"/>
      <c r="J625" s="212"/>
      <c r="K625" s="212"/>
      <c r="M625" s="344"/>
    </row>
    <row r="626" spans="1:13" ht="12.75" customHeight="1">
      <c r="A626" s="212"/>
      <c r="B626" s="212"/>
      <c r="C626" s="212"/>
      <c r="D626" s="212"/>
      <c r="E626" s="212"/>
      <c r="F626" s="212"/>
      <c r="G626" s="212"/>
      <c r="H626" s="212"/>
      <c r="J626" s="212"/>
      <c r="K626" s="212"/>
      <c r="M626" s="344"/>
    </row>
    <row r="627" spans="1:13" ht="12.75" customHeight="1">
      <c r="A627" s="212"/>
      <c r="B627" s="212"/>
      <c r="C627" s="212"/>
      <c r="D627" s="212"/>
      <c r="E627" s="212"/>
      <c r="F627" s="212"/>
      <c r="G627" s="212"/>
      <c r="H627" s="212"/>
      <c r="J627" s="212"/>
      <c r="K627" s="212"/>
      <c r="M627" s="344"/>
    </row>
    <row r="628" spans="1:13" ht="12.75" customHeight="1">
      <c r="A628" s="212"/>
      <c r="B628" s="212"/>
      <c r="C628" s="212"/>
      <c r="D628" s="212"/>
      <c r="E628" s="212"/>
      <c r="F628" s="212"/>
      <c r="G628" s="212"/>
      <c r="H628" s="212"/>
      <c r="J628" s="212"/>
      <c r="K628" s="212"/>
      <c r="M628" s="344"/>
    </row>
    <row r="629" spans="1:13" ht="12.75" customHeight="1">
      <c r="A629" s="212"/>
      <c r="B629" s="212"/>
      <c r="C629" s="212"/>
      <c r="D629" s="212"/>
      <c r="E629" s="212"/>
      <c r="F629" s="212"/>
      <c r="G629" s="212"/>
      <c r="H629" s="212"/>
      <c r="J629" s="212"/>
      <c r="K629" s="212"/>
      <c r="M629" s="344"/>
    </row>
    <row r="630" spans="1:13" ht="12.75" customHeight="1">
      <c r="A630" s="212"/>
      <c r="B630" s="212"/>
      <c r="C630" s="212"/>
      <c r="D630" s="212"/>
      <c r="E630" s="212"/>
      <c r="F630" s="212"/>
      <c r="G630" s="212"/>
      <c r="H630" s="212"/>
      <c r="J630" s="212"/>
      <c r="K630" s="212"/>
      <c r="M630" s="344"/>
    </row>
    <row r="631" spans="1:13" ht="12.75" customHeight="1">
      <c r="A631" s="212"/>
      <c r="B631" s="212"/>
      <c r="C631" s="212"/>
      <c r="D631" s="212"/>
      <c r="E631" s="212"/>
      <c r="F631" s="212"/>
      <c r="G631" s="212"/>
      <c r="H631" s="212"/>
      <c r="J631" s="212"/>
      <c r="K631" s="212"/>
      <c r="M631" s="344"/>
    </row>
    <row r="632" spans="1:13" ht="12.75" customHeight="1">
      <c r="A632" s="212"/>
      <c r="B632" s="212"/>
      <c r="C632" s="212"/>
      <c r="D632" s="212"/>
      <c r="E632" s="212"/>
      <c r="F632" s="212"/>
      <c r="G632" s="212"/>
      <c r="H632" s="212"/>
      <c r="J632" s="212"/>
      <c r="K632" s="212"/>
      <c r="M632" s="344"/>
    </row>
    <row r="633" spans="1:13" ht="12.75" customHeight="1">
      <c r="A633" s="212"/>
      <c r="B633" s="212"/>
      <c r="C633" s="212"/>
      <c r="D633" s="212"/>
      <c r="E633" s="212"/>
      <c r="F633" s="212"/>
      <c r="G633" s="212"/>
      <c r="H633" s="212"/>
      <c r="J633" s="212"/>
      <c r="K633" s="212"/>
      <c r="M633" s="344"/>
    </row>
    <row r="634" spans="1:13" ht="12.75" customHeight="1">
      <c r="A634" s="212"/>
      <c r="B634" s="212"/>
      <c r="C634" s="212"/>
      <c r="D634" s="212"/>
      <c r="E634" s="212"/>
      <c r="F634" s="212"/>
      <c r="G634" s="212"/>
      <c r="H634" s="212"/>
      <c r="J634" s="212"/>
      <c r="K634" s="212"/>
      <c r="M634" s="344"/>
    </row>
    <row r="635" spans="1:13" ht="12.75" customHeight="1">
      <c r="A635" s="212"/>
      <c r="B635" s="212"/>
      <c r="C635" s="212"/>
      <c r="D635" s="212"/>
      <c r="E635" s="212"/>
      <c r="F635" s="212"/>
      <c r="G635" s="212"/>
      <c r="H635" s="212"/>
      <c r="J635" s="212"/>
      <c r="K635" s="212"/>
      <c r="M635" s="344"/>
    </row>
    <row r="636" spans="1:13" ht="12.75" customHeight="1">
      <c r="A636" s="212"/>
      <c r="B636" s="212"/>
      <c r="C636" s="212"/>
      <c r="D636" s="212"/>
      <c r="E636" s="212"/>
      <c r="F636" s="212"/>
      <c r="G636" s="212"/>
      <c r="H636" s="212"/>
      <c r="J636" s="212"/>
      <c r="K636" s="212"/>
      <c r="M636" s="344"/>
    </row>
    <row r="637" spans="1:13" ht="12.75" customHeight="1">
      <c r="A637" s="212"/>
      <c r="B637" s="212"/>
      <c r="C637" s="212"/>
      <c r="D637" s="212"/>
      <c r="E637" s="212"/>
      <c r="F637" s="212"/>
      <c r="G637" s="212"/>
      <c r="H637" s="212"/>
      <c r="J637" s="212"/>
      <c r="K637" s="212"/>
      <c r="M637" s="344"/>
    </row>
    <row r="638" spans="1:13" ht="12.75" customHeight="1">
      <c r="A638" s="212"/>
      <c r="B638" s="212"/>
      <c r="C638" s="212"/>
      <c r="D638" s="212"/>
      <c r="E638" s="212"/>
      <c r="F638" s="212"/>
      <c r="G638" s="212"/>
      <c r="H638" s="212"/>
      <c r="J638" s="212"/>
      <c r="K638" s="212"/>
      <c r="M638" s="344"/>
    </row>
    <row r="639" spans="1:13" ht="12.75" customHeight="1">
      <c r="A639" s="212"/>
      <c r="B639" s="212"/>
      <c r="C639" s="212"/>
      <c r="D639" s="212"/>
      <c r="E639" s="212"/>
      <c r="F639" s="212"/>
      <c r="G639" s="212"/>
      <c r="H639" s="212"/>
      <c r="J639" s="212"/>
      <c r="K639" s="212"/>
      <c r="M639" s="344"/>
    </row>
    <row r="640" spans="1:13" ht="12.75" customHeight="1">
      <c r="A640" s="212"/>
      <c r="B640" s="212"/>
      <c r="C640" s="212"/>
      <c r="D640" s="212"/>
      <c r="E640" s="212"/>
      <c r="F640" s="212"/>
      <c r="G640" s="212"/>
      <c r="H640" s="212"/>
      <c r="J640" s="212"/>
      <c r="K640" s="212"/>
      <c r="M640" s="344"/>
    </row>
    <row r="641" spans="1:13" ht="12.75" customHeight="1">
      <c r="A641" s="212"/>
      <c r="B641" s="212"/>
      <c r="C641" s="212"/>
      <c r="D641" s="212"/>
      <c r="E641" s="212"/>
      <c r="F641" s="212"/>
      <c r="G641" s="212"/>
      <c r="H641" s="212"/>
      <c r="J641" s="212"/>
      <c r="K641" s="212"/>
      <c r="M641" s="344"/>
    </row>
    <row r="642" spans="1:13" ht="12.75" customHeight="1">
      <c r="A642" s="212"/>
      <c r="B642" s="212"/>
      <c r="C642" s="212"/>
      <c r="D642" s="212"/>
      <c r="E642" s="212"/>
      <c r="F642" s="212"/>
      <c r="G642" s="212"/>
      <c r="H642" s="212"/>
      <c r="J642" s="212"/>
      <c r="K642" s="212"/>
      <c r="M642" s="344"/>
    </row>
    <row r="643" spans="1:13" ht="12.75" customHeight="1">
      <c r="A643" s="212"/>
      <c r="B643" s="212"/>
      <c r="C643" s="212"/>
      <c r="D643" s="212"/>
      <c r="E643" s="212"/>
      <c r="F643" s="212"/>
      <c r="G643" s="212"/>
      <c r="H643" s="212"/>
      <c r="J643" s="212"/>
      <c r="K643" s="212"/>
      <c r="M643" s="344"/>
    </row>
    <row r="644" spans="1:13" ht="12.75" customHeight="1">
      <c r="A644" s="212"/>
      <c r="B644" s="212"/>
      <c r="C644" s="212"/>
      <c r="D644" s="212"/>
      <c r="E644" s="212"/>
      <c r="F644" s="212"/>
      <c r="G644" s="212"/>
      <c r="H644" s="212"/>
      <c r="J644" s="212"/>
      <c r="K644" s="212"/>
      <c r="M644" s="344"/>
    </row>
    <row r="645" spans="1:13" ht="12.75" customHeight="1">
      <c r="A645" s="212"/>
      <c r="B645" s="212"/>
      <c r="C645" s="212"/>
      <c r="D645" s="212"/>
      <c r="E645" s="212"/>
      <c r="F645" s="212"/>
      <c r="G645" s="212"/>
      <c r="H645" s="212"/>
      <c r="J645" s="212"/>
      <c r="K645" s="212"/>
      <c r="M645" s="344"/>
    </row>
    <row r="646" spans="1:13" ht="12.75" customHeight="1">
      <c r="A646" s="212"/>
      <c r="B646" s="212"/>
      <c r="C646" s="212"/>
      <c r="D646" s="212"/>
      <c r="E646" s="212"/>
      <c r="F646" s="212"/>
      <c r="G646" s="212"/>
      <c r="H646" s="212"/>
      <c r="J646" s="212"/>
      <c r="K646" s="212"/>
      <c r="M646" s="344"/>
    </row>
    <row r="647" spans="1:13" ht="12.75" customHeight="1">
      <c r="A647" s="212"/>
      <c r="B647" s="212"/>
      <c r="C647" s="212"/>
      <c r="D647" s="212"/>
      <c r="E647" s="212"/>
      <c r="F647" s="212"/>
      <c r="G647" s="212"/>
      <c r="H647" s="212"/>
      <c r="J647" s="212"/>
      <c r="K647" s="212"/>
      <c r="M647" s="344"/>
    </row>
    <row r="648" spans="1:13" ht="12.75" customHeight="1">
      <c r="A648" s="212"/>
      <c r="B648" s="212"/>
      <c r="C648" s="212"/>
      <c r="D648" s="212"/>
      <c r="E648" s="212"/>
      <c r="F648" s="212"/>
      <c r="G648" s="212"/>
      <c r="H648" s="212"/>
      <c r="J648" s="212"/>
      <c r="K648" s="212"/>
      <c r="M648" s="344"/>
    </row>
    <row r="649" spans="1:13" ht="12.75" customHeight="1">
      <c r="A649" s="212"/>
      <c r="B649" s="212"/>
      <c r="C649" s="212"/>
      <c r="D649" s="212"/>
      <c r="E649" s="212"/>
      <c r="F649" s="212"/>
      <c r="G649" s="212"/>
      <c r="H649" s="212"/>
      <c r="J649" s="212"/>
      <c r="K649" s="212"/>
      <c r="M649" s="344"/>
    </row>
    <row r="650" spans="1:13" ht="12.75" customHeight="1">
      <c r="A650" s="212"/>
      <c r="B650" s="212"/>
      <c r="C650" s="212"/>
      <c r="D650" s="212"/>
      <c r="E650" s="212"/>
      <c r="F650" s="212"/>
      <c r="G650" s="212"/>
      <c r="H650" s="212"/>
      <c r="J650" s="212"/>
      <c r="K650" s="212"/>
      <c r="M650" s="344"/>
    </row>
    <row r="651" spans="1:13" ht="12.75" customHeight="1">
      <c r="A651" s="212"/>
      <c r="B651" s="212"/>
      <c r="C651" s="212"/>
      <c r="D651" s="212"/>
      <c r="E651" s="212"/>
      <c r="F651" s="212"/>
      <c r="G651" s="212"/>
      <c r="H651" s="212"/>
      <c r="J651" s="212"/>
      <c r="K651" s="212"/>
      <c r="M651" s="344"/>
    </row>
    <row r="652" spans="1:13" ht="12.75" customHeight="1">
      <c r="A652" s="212"/>
      <c r="B652" s="212"/>
      <c r="C652" s="212"/>
      <c r="D652" s="212"/>
      <c r="E652" s="212"/>
      <c r="F652" s="212"/>
      <c r="G652" s="212"/>
      <c r="H652" s="212"/>
      <c r="J652" s="212"/>
      <c r="K652" s="212"/>
      <c r="M652" s="344"/>
    </row>
    <row r="653" spans="1:13" ht="12.75" customHeight="1">
      <c r="A653" s="212"/>
      <c r="B653" s="212"/>
      <c r="C653" s="212"/>
      <c r="D653" s="212"/>
      <c r="E653" s="212"/>
      <c r="F653" s="212"/>
      <c r="G653" s="212"/>
      <c r="H653" s="212"/>
      <c r="J653" s="212"/>
      <c r="K653" s="212"/>
      <c r="M653" s="344"/>
    </row>
    <row r="654" spans="1:13" ht="12.75" customHeight="1">
      <c r="A654" s="212"/>
      <c r="B654" s="212"/>
      <c r="C654" s="212"/>
      <c r="D654" s="212"/>
      <c r="E654" s="212"/>
      <c r="F654" s="212"/>
      <c r="G654" s="212"/>
      <c r="H654" s="212"/>
      <c r="J654" s="212"/>
      <c r="K654" s="212"/>
      <c r="M654" s="344"/>
    </row>
    <row r="655" spans="1:13" ht="12.75" customHeight="1">
      <c r="A655" s="212"/>
      <c r="B655" s="212"/>
      <c r="C655" s="212"/>
      <c r="D655" s="212"/>
      <c r="E655" s="212"/>
      <c r="F655" s="212"/>
      <c r="G655" s="212"/>
      <c r="H655" s="212"/>
      <c r="J655" s="212"/>
      <c r="K655" s="212"/>
      <c r="M655" s="344"/>
    </row>
    <row r="656" spans="1:13" ht="12.75" customHeight="1">
      <c r="A656" s="212"/>
      <c r="B656" s="212"/>
      <c r="C656" s="212"/>
      <c r="D656" s="212"/>
      <c r="E656" s="212"/>
      <c r="F656" s="212"/>
      <c r="G656" s="212"/>
      <c r="H656" s="212"/>
      <c r="J656" s="212"/>
      <c r="K656" s="212"/>
      <c r="M656" s="344"/>
    </row>
    <row r="657" spans="1:13" ht="12.75" customHeight="1">
      <c r="A657" s="212"/>
      <c r="B657" s="212"/>
      <c r="C657" s="212"/>
      <c r="D657" s="212"/>
      <c r="E657" s="212"/>
      <c r="F657" s="212"/>
      <c r="G657" s="212"/>
      <c r="H657" s="212"/>
      <c r="J657" s="212"/>
      <c r="K657" s="212"/>
      <c r="M657" s="344"/>
    </row>
    <row r="658" spans="1:13" ht="12.75" customHeight="1">
      <c r="A658" s="212"/>
      <c r="B658" s="212"/>
      <c r="C658" s="212"/>
      <c r="D658" s="212"/>
      <c r="E658" s="212"/>
      <c r="F658" s="212"/>
      <c r="G658" s="212"/>
      <c r="H658" s="212"/>
      <c r="J658" s="212"/>
      <c r="K658" s="212"/>
      <c r="M658" s="344"/>
    </row>
    <row r="659" spans="1:13" ht="12.75" customHeight="1">
      <c r="A659" s="212"/>
      <c r="B659" s="212"/>
      <c r="C659" s="212"/>
      <c r="D659" s="212"/>
      <c r="E659" s="212"/>
      <c r="F659" s="212"/>
      <c r="G659" s="212"/>
      <c r="H659" s="212"/>
      <c r="J659" s="212"/>
      <c r="K659" s="212"/>
      <c r="M659" s="344"/>
    </row>
    <row r="660" spans="1:13" ht="12.75" customHeight="1">
      <c r="A660" s="212"/>
      <c r="B660" s="212"/>
      <c r="C660" s="212"/>
      <c r="D660" s="212"/>
      <c r="E660" s="212"/>
      <c r="F660" s="212"/>
      <c r="G660" s="212"/>
      <c r="H660" s="212"/>
      <c r="J660" s="212"/>
      <c r="K660" s="212"/>
      <c r="M660" s="344"/>
    </row>
    <row r="661" spans="1:13" ht="12.75" customHeight="1">
      <c r="A661" s="212"/>
      <c r="B661" s="212"/>
      <c r="C661" s="212"/>
      <c r="D661" s="212"/>
      <c r="E661" s="212"/>
      <c r="F661" s="212"/>
      <c r="G661" s="212"/>
      <c r="H661" s="212"/>
      <c r="J661" s="212"/>
      <c r="K661" s="212"/>
      <c r="M661" s="344"/>
    </row>
    <row r="662" spans="1:13" ht="12.75" customHeight="1">
      <c r="A662" s="212"/>
      <c r="B662" s="212"/>
      <c r="C662" s="212"/>
      <c r="D662" s="212"/>
      <c r="E662" s="212"/>
      <c r="F662" s="212"/>
      <c r="G662" s="212"/>
      <c r="H662" s="212"/>
      <c r="J662" s="212"/>
      <c r="K662" s="212"/>
      <c r="M662" s="344"/>
    </row>
    <row r="663" spans="1:13" ht="12.75" customHeight="1">
      <c r="A663" s="212"/>
      <c r="B663" s="212"/>
      <c r="C663" s="212"/>
      <c r="D663" s="212"/>
      <c r="E663" s="212"/>
      <c r="F663" s="212"/>
      <c r="G663" s="212"/>
      <c r="H663" s="212"/>
      <c r="J663" s="212"/>
      <c r="K663" s="212"/>
      <c r="M663" s="344"/>
    </row>
    <row r="664" spans="1:13" ht="12.75" customHeight="1">
      <c r="A664" s="212"/>
      <c r="B664" s="212"/>
      <c r="C664" s="212"/>
      <c r="D664" s="212"/>
      <c r="E664" s="212"/>
      <c r="F664" s="212"/>
      <c r="G664" s="212"/>
      <c r="H664" s="212"/>
      <c r="J664" s="212"/>
      <c r="K664" s="212"/>
      <c r="M664" s="344"/>
    </row>
    <row r="665" spans="1:13" ht="12.75" customHeight="1">
      <c r="A665" s="212"/>
      <c r="B665" s="212"/>
      <c r="C665" s="212"/>
      <c r="D665" s="212"/>
      <c r="E665" s="212"/>
      <c r="F665" s="212"/>
      <c r="G665" s="212"/>
      <c r="H665" s="212"/>
      <c r="J665" s="212"/>
      <c r="K665" s="212"/>
      <c r="M665" s="344"/>
    </row>
    <row r="666" spans="1:13" ht="12.75" customHeight="1">
      <c r="A666" s="212"/>
      <c r="B666" s="212"/>
      <c r="C666" s="212"/>
      <c r="D666" s="212"/>
      <c r="E666" s="212"/>
      <c r="F666" s="212"/>
      <c r="G666" s="212"/>
      <c r="H666" s="212"/>
      <c r="J666" s="212"/>
      <c r="K666" s="212"/>
      <c r="M666" s="344"/>
    </row>
    <row r="667" spans="1:13" ht="12.75" customHeight="1">
      <c r="A667" s="212"/>
      <c r="B667" s="212"/>
      <c r="C667" s="212"/>
      <c r="D667" s="212"/>
      <c r="E667" s="212"/>
      <c r="F667" s="212"/>
      <c r="G667" s="212"/>
      <c r="H667" s="212"/>
      <c r="J667" s="212"/>
      <c r="K667" s="212"/>
      <c r="M667" s="344"/>
    </row>
    <row r="668" spans="1:13" ht="12.75" customHeight="1">
      <c r="A668" s="212"/>
      <c r="B668" s="212"/>
      <c r="C668" s="212"/>
      <c r="D668" s="212"/>
      <c r="E668" s="212"/>
      <c r="F668" s="212"/>
      <c r="G668" s="212"/>
      <c r="H668" s="212"/>
      <c r="J668" s="212"/>
      <c r="K668" s="212"/>
      <c r="M668" s="344"/>
    </row>
    <row r="669" spans="1:13" ht="12.75" customHeight="1">
      <c r="A669" s="212"/>
      <c r="B669" s="212"/>
      <c r="C669" s="212"/>
      <c r="D669" s="212"/>
      <c r="E669" s="212"/>
      <c r="F669" s="212"/>
      <c r="G669" s="212"/>
      <c r="H669" s="212"/>
      <c r="J669" s="212"/>
      <c r="K669" s="212"/>
      <c r="M669" s="344"/>
    </row>
    <row r="670" spans="1:13" ht="12.75" customHeight="1">
      <c r="A670" s="212"/>
      <c r="B670" s="212"/>
      <c r="C670" s="212"/>
      <c r="D670" s="212"/>
      <c r="E670" s="212"/>
      <c r="F670" s="212"/>
      <c r="G670" s="212"/>
      <c r="H670" s="212"/>
      <c r="J670" s="212"/>
      <c r="K670" s="212"/>
      <c r="M670" s="344"/>
    </row>
    <row r="671" spans="1:13" ht="12.75" customHeight="1">
      <c r="A671" s="212"/>
      <c r="B671" s="212"/>
      <c r="C671" s="212"/>
      <c r="D671" s="212"/>
      <c r="E671" s="212"/>
      <c r="F671" s="212"/>
      <c r="G671" s="212"/>
      <c r="H671" s="212"/>
      <c r="J671" s="212"/>
      <c r="K671" s="212"/>
      <c r="M671" s="344"/>
    </row>
    <row r="672" spans="1:13" ht="12.75" customHeight="1">
      <c r="A672" s="212"/>
      <c r="B672" s="212"/>
      <c r="C672" s="212"/>
      <c r="D672" s="212"/>
      <c r="E672" s="212"/>
      <c r="F672" s="212"/>
      <c r="G672" s="212"/>
      <c r="H672" s="212"/>
      <c r="J672" s="212"/>
      <c r="K672" s="212"/>
      <c r="M672" s="344"/>
    </row>
    <row r="673" spans="1:13" ht="12.75" customHeight="1">
      <c r="A673" s="212"/>
      <c r="B673" s="212"/>
      <c r="C673" s="212"/>
      <c r="D673" s="212"/>
      <c r="E673" s="212"/>
      <c r="F673" s="212"/>
      <c r="G673" s="212"/>
      <c r="H673" s="212"/>
      <c r="J673" s="212"/>
      <c r="K673" s="212"/>
      <c r="M673" s="344"/>
    </row>
    <row r="674" spans="1:13" ht="12.75" customHeight="1">
      <c r="A674" s="212"/>
      <c r="B674" s="212"/>
      <c r="C674" s="212"/>
      <c r="D674" s="212"/>
      <c r="E674" s="212"/>
      <c r="F674" s="212"/>
      <c r="G674" s="212"/>
      <c r="H674" s="212"/>
      <c r="J674" s="212"/>
      <c r="K674" s="212"/>
      <c r="M674" s="344"/>
    </row>
    <row r="675" spans="1:13" ht="12.75" customHeight="1">
      <c r="A675" s="212"/>
      <c r="B675" s="212"/>
      <c r="C675" s="212"/>
      <c r="D675" s="212"/>
      <c r="E675" s="212"/>
      <c r="F675" s="212"/>
      <c r="G675" s="212"/>
      <c r="H675" s="212"/>
      <c r="J675" s="212"/>
      <c r="K675" s="212"/>
      <c r="M675" s="344"/>
    </row>
    <row r="676" spans="1:13" ht="12.75" customHeight="1">
      <c r="A676" s="212"/>
      <c r="B676" s="212"/>
      <c r="C676" s="212"/>
      <c r="D676" s="212"/>
      <c r="E676" s="212"/>
      <c r="F676" s="212"/>
      <c r="G676" s="212"/>
      <c r="H676" s="212"/>
      <c r="J676" s="212"/>
      <c r="K676" s="212"/>
      <c r="M676" s="344"/>
    </row>
    <row r="677" spans="1:13" ht="12.75" customHeight="1">
      <c r="A677" s="212"/>
      <c r="B677" s="212"/>
      <c r="C677" s="212"/>
      <c r="D677" s="212"/>
      <c r="E677" s="212"/>
      <c r="F677" s="212"/>
      <c r="G677" s="212"/>
      <c r="H677" s="212"/>
      <c r="J677" s="212"/>
      <c r="K677" s="212"/>
      <c r="M677" s="344"/>
    </row>
    <row r="678" spans="1:13" ht="12.75" customHeight="1">
      <c r="A678" s="212"/>
      <c r="B678" s="212"/>
      <c r="C678" s="212"/>
      <c r="D678" s="212"/>
      <c r="E678" s="212"/>
      <c r="F678" s="212"/>
      <c r="G678" s="212"/>
      <c r="H678" s="212"/>
      <c r="J678" s="212"/>
      <c r="K678" s="212"/>
      <c r="M678" s="344"/>
    </row>
    <row r="679" spans="1:13" ht="12.75" customHeight="1">
      <c r="A679" s="212"/>
      <c r="B679" s="212"/>
      <c r="C679" s="212"/>
      <c r="D679" s="212"/>
      <c r="E679" s="212"/>
      <c r="F679" s="212"/>
      <c r="G679" s="212"/>
      <c r="H679" s="212"/>
      <c r="J679" s="212"/>
      <c r="K679" s="212"/>
      <c r="M679" s="344"/>
    </row>
    <row r="680" spans="1:13" ht="12.75" customHeight="1">
      <c r="A680" s="212"/>
      <c r="B680" s="212"/>
      <c r="C680" s="212"/>
      <c r="D680" s="212"/>
      <c r="E680" s="212"/>
      <c r="F680" s="212"/>
      <c r="G680" s="212"/>
      <c r="H680" s="212"/>
      <c r="J680" s="212"/>
      <c r="K680" s="212"/>
      <c r="M680" s="344"/>
    </row>
    <row r="681" spans="1:13" ht="12.75" customHeight="1">
      <c r="A681" s="212"/>
      <c r="B681" s="212"/>
      <c r="C681" s="212"/>
      <c r="D681" s="212"/>
      <c r="E681" s="212"/>
      <c r="F681" s="212"/>
      <c r="G681" s="212"/>
      <c r="H681" s="212"/>
      <c r="J681" s="212"/>
      <c r="K681" s="212"/>
      <c r="M681" s="344"/>
    </row>
    <row r="682" spans="1:13" ht="12.75" customHeight="1">
      <c r="A682" s="212"/>
      <c r="B682" s="212"/>
      <c r="C682" s="212"/>
      <c r="D682" s="212"/>
      <c r="E682" s="212"/>
      <c r="F682" s="212"/>
      <c r="G682" s="212"/>
      <c r="H682" s="212"/>
      <c r="J682" s="212"/>
      <c r="K682" s="212"/>
      <c r="M682" s="344"/>
    </row>
    <row r="683" spans="1:13" ht="12.75" customHeight="1">
      <c r="A683" s="212"/>
      <c r="B683" s="212"/>
      <c r="C683" s="212"/>
      <c r="D683" s="212"/>
      <c r="E683" s="212"/>
      <c r="F683" s="212"/>
      <c r="G683" s="212"/>
      <c r="H683" s="212"/>
      <c r="J683" s="212"/>
      <c r="K683" s="212"/>
      <c r="M683" s="344"/>
    </row>
    <row r="684" spans="1:13" ht="12.75" customHeight="1">
      <c r="A684" s="212"/>
      <c r="B684" s="212"/>
      <c r="C684" s="212"/>
      <c r="D684" s="212"/>
      <c r="E684" s="212"/>
      <c r="F684" s="212"/>
      <c r="G684" s="212"/>
      <c r="H684" s="212"/>
      <c r="J684" s="212"/>
      <c r="K684" s="212"/>
      <c r="M684" s="344"/>
    </row>
    <row r="685" spans="1:13" ht="12.75" customHeight="1">
      <c r="A685" s="212"/>
      <c r="B685" s="212"/>
      <c r="C685" s="212"/>
      <c r="D685" s="212"/>
      <c r="E685" s="212"/>
      <c r="F685" s="212"/>
      <c r="G685" s="212"/>
      <c r="H685" s="212"/>
      <c r="J685" s="212"/>
      <c r="K685" s="212"/>
      <c r="M685" s="344"/>
    </row>
    <row r="686" spans="1:13" ht="12.75" customHeight="1">
      <c r="A686" s="212"/>
      <c r="B686" s="212"/>
      <c r="C686" s="212"/>
      <c r="D686" s="212"/>
      <c r="E686" s="212"/>
      <c r="F686" s="212"/>
      <c r="G686" s="212"/>
      <c r="H686" s="212"/>
      <c r="J686" s="212"/>
      <c r="K686" s="212"/>
      <c r="M686" s="344"/>
    </row>
    <row r="687" spans="1:13" ht="12.75" customHeight="1">
      <c r="A687" s="212"/>
      <c r="B687" s="212"/>
      <c r="C687" s="212"/>
      <c r="D687" s="212"/>
      <c r="E687" s="212"/>
      <c r="F687" s="212"/>
      <c r="G687" s="212"/>
      <c r="H687" s="212"/>
      <c r="J687" s="212"/>
      <c r="K687" s="212"/>
      <c r="M687" s="344"/>
    </row>
    <row r="688" spans="1:13" ht="12.75" customHeight="1">
      <c r="A688" s="212"/>
      <c r="B688" s="212"/>
      <c r="C688" s="212"/>
      <c r="D688" s="212"/>
      <c r="E688" s="212"/>
      <c r="F688" s="212"/>
      <c r="G688" s="212"/>
      <c r="H688" s="212"/>
      <c r="J688" s="212"/>
      <c r="K688" s="212"/>
      <c r="M688" s="344"/>
    </row>
    <row r="689" spans="1:13" ht="12.75" customHeight="1">
      <c r="A689" s="212"/>
      <c r="B689" s="212"/>
      <c r="C689" s="212"/>
      <c r="D689" s="212"/>
      <c r="E689" s="212"/>
      <c r="F689" s="212"/>
      <c r="G689" s="212"/>
      <c r="H689" s="212"/>
      <c r="J689" s="212"/>
      <c r="K689" s="212"/>
      <c r="M689" s="344"/>
    </row>
    <row r="690" spans="1:13" ht="12.75" customHeight="1">
      <c r="A690" s="212"/>
      <c r="B690" s="212"/>
      <c r="C690" s="212"/>
      <c r="D690" s="212"/>
      <c r="E690" s="212"/>
      <c r="F690" s="212"/>
      <c r="G690" s="212"/>
      <c r="H690" s="212"/>
      <c r="J690" s="212"/>
      <c r="K690" s="212"/>
      <c r="M690" s="344"/>
    </row>
    <row r="691" spans="1:13" ht="12.75" customHeight="1">
      <c r="A691" s="212"/>
      <c r="B691" s="212"/>
      <c r="C691" s="212"/>
      <c r="D691" s="212"/>
      <c r="E691" s="212"/>
      <c r="F691" s="212"/>
      <c r="G691" s="212"/>
      <c r="H691" s="212"/>
      <c r="J691" s="212"/>
      <c r="K691" s="212"/>
      <c r="M691" s="344"/>
    </row>
    <row r="692" spans="1:13" ht="12.75" customHeight="1">
      <c r="A692" s="212"/>
      <c r="B692" s="212"/>
      <c r="C692" s="212"/>
      <c r="D692" s="212"/>
      <c r="E692" s="212"/>
      <c r="F692" s="212"/>
      <c r="G692" s="212"/>
      <c r="H692" s="212"/>
      <c r="J692" s="212"/>
      <c r="K692" s="212"/>
      <c r="M692" s="344"/>
    </row>
    <row r="693" spans="1:13" ht="12.75" customHeight="1">
      <c r="A693" s="212"/>
      <c r="B693" s="212"/>
      <c r="C693" s="212"/>
      <c r="D693" s="212"/>
      <c r="E693" s="212"/>
      <c r="F693" s="212"/>
      <c r="G693" s="212"/>
      <c r="H693" s="212"/>
      <c r="J693" s="212"/>
      <c r="K693" s="212"/>
      <c r="M693" s="344"/>
    </row>
    <row r="694" spans="1:13" ht="12.75" customHeight="1">
      <c r="A694" s="212"/>
      <c r="B694" s="212"/>
      <c r="C694" s="212"/>
      <c r="D694" s="212"/>
      <c r="E694" s="212"/>
      <c r="F694" s="212"/>
      <c r="G694" s="212"/>
      <c r="H694" s="212"/>
      <c r="J694" s="212"/>
      <c r="K694" s="212"/>
      <c r="M694" s="344"/>
    </row>
    <row r="695" spans="1:13" ht="12.75" customHeight="1">
      <c r="A695" s="212"/>
      <c r="B695" s="212"/>
      <c r="C695" s="212"/>
      <c r="D695" s="212"/>
      <c r="E695" s="212"/>
      <c r="F695" s="212"/>
      <c r="G695" s="212"/>
      <c r="H695" s="212"/>
      <c r="J695" s="212"/>
      <c r="K695" s="212"/>
      <c r="M695" s="344"/>
    </row>
    <row r="696" spans="1:13" ht="12.75" customHeight="1">
      <c r="A696" s="212"/>
      <c r="B696" s="212"/>
      <c r="C696" s="212"/>
      <c r="D696" s="212"/>
      <c r="E696" s="212"/>
      <c r="F696" s="212"/>
      <c r="G696" s="212"/>
      <c r="H696" s="212"/>
      <c r="J696" s="212"/>
      <c r="K696" s="212"/>
      <c r="M696" s="344"/>
    </row>
    <row r="697" spans="1:13" ht="12.75" customHeight="1">
      <c r="A697" s="212"/>
      <c r="B697" s="212"/>
      <c r="C697" s="212"/>
      <c r="D697" s="212"/>
      <c r="E697" s="212"/>
      <c r="F697" s="212"/>
      <c r="G697" s="212"/>
      <c r="H697" s="212"/>
      <c r="J697" s="212"/>
      <c r="K697" s="212"/>
      <c r="M697" s="344"/>
    </row>
    <row r="698" spans="1:13" ht="12.75" customHeight="1">
      <c r="A698" s="212"/>
      <c r="B698" s="212"/>
      <c r="C698" s="212"/>
      <c r="D698" s="212"/>
      <c r="E698" s="212"/>
      <c r="F698" s="212"/>
      <c r="G698" s="212"/>
      <c r="H698" s="212"/>
      <c r="J698" s="212"/>
      <c r="K698" s="212"/>
      <c r="M698" s="344"/>
    </row>
    <row r="699" spans="1:13" ht="12.75" customHeight="1">
      <c r="A699" s="212"/>
      <c r="B699" s="212"/>
      <c r="C699" s="212"/>
      <c r="D699" s="212"/>
      <c r="E699" s="212"/>
      <c r="F699" s="212"/>
      <c r="G699" s="212"/>
      <c r="H699" s="212"/>
      <c r="J699" s="212"/>
      <c r="K699" s="212"/>
      <c r="M699" s="344"/>
    </row>
    <row r="700" spans="1:13" ht="12.75" customHeight="1">
      <c r="A700" s="212"/>
      <c r="B700" s="212"/>
      <c r="C700" s="212"/>
      <c r="D700" s="212"/>
      <c r="E700" s="212"/>
      <c r="F700" s="212"/>
      <c r="G700" s="212"/>
      <c r="H700" s="212"/>
      <c r="J700" s="212"/>
      <c r="K700" s="212"/>
      <c r="M700" s="344"/>
    </row>
    <row r="701" spans="1:13" ht="12.75" customHeight="1">
      <c r="A701" s="212"/>
      <c r="B701" s="212"/>
      <c r="C701" s="212"/>
      <c r="D701" s="212"/>
      <c r="E701" s="212"/>
      <c r="F701" s="212"/>
      <c r="G701" s="212"/>
      <c r="H701" s="212"/>
      <c r="J701" s="212"/>
      <c r="K701" s="212"/>
      <c r="M701" s="344"/>
    </row>
    <row r="702" spans="1:13" ht="12.75" customHeight="1">
      <c r="A702" s="212"/>
      <c r="B702" s="212"/>
      <c r="C702" s="212"/>
      <c r="D702" s="212"/>
      <c r="E702" s="212"/>
      <c r="F702" s="212"/>
      <c r="G702" s="212"/>
      <c r="H702" s="212"/>
      <c r="J702" s="212"/>
      <c r="K702" s="212"/>
      <c r="M702" s="344"/>
    </row>
    <row r="703" spans="1:13" ht="12.75" customHeight="1">
      <c r="A703" s="212"/>
      <c r="B703" s="212"/>
      <c r="C703" s="212"/>
      <c r="D703" s="212"/>
      <c r="E703" s="212"/>
      <c r="F703" s="212"/>
      <c r="G703" s="212"/>
      <c r="H703" s="212"/>
      <c r="J703" s="212"/>
      <c r="K703" s="212"/>
      <c r="M703" s="344"/>
    </row>
    <row r="704" spans="1:13" ht="12.75" customHeight="1">
      <c r="A704" s="212"/>
      <c r="B704" s="212"/>
      <c r="C704" s="212"/>
      <c r="D704" s="212"/>
      <c r="E704" s="212"/>
      <c r="F704" s="212"/>
      <c r="G704" s="212"/>
      <c r="H704" s="212"/>
      <c r="J704" s="212"/>
      <c r="K704" s="212"/>
      <c r="M704" s="344"/>
    </row>
    <row r="705" spans="1:13" ht="12.75" customHeight="1">
      <c r="A705" s="212"/>
      <c r="B705" s="212"/>
      <c r="C705" s="212"/>
      <c r="D705" s="212"/>
      <c r="E705" s="212"/>
      <c r="F705" s="212"/>
      <c r="G705" s="212"/>
      <c r="H705" s="212"/>
      <c r="J705" s="212"/>
      <c r="K705" s="212"/>
      <c r="M705" s="344"/>
    </row>
    <row r="706" spans="1:13" ht="12.75" customHeight="1">
      <c r="A706" s="212"/>
      <c r="B706" s="212"/>
      <c r="C706" s="212"/>
      <c r="D706" s="212"/>
      <c r="E706" s="212"/>
      <c r="F706" s="212"/>
      <c r="G706" s="212"/>
      <c r="H706" s="212"/>
      <c r="J706" s="212"/>
      <c r="K706" s="212"/>
      <c r="M706" s="344"/>
    </row>
    <row r="707" spans="1:13" ht="12.75" customHeight="1">
      <c r="A707" s="212"/>
      <c r="B707" s="212"/>
      <c r="C707" s="212"/>
      <c r="D707" s="212"/>
      <c r="E707" s="212"/>
      <c r="F707" s="212"/>
      <c r="G707" s="212"/>
      <c r="H707" s="212"/>
      <c r="J707" s="212"/>
      <c r="K707" s="212"/>
      <c r="M707" s="344"/>
    </row>
    <row r="708" spans="1:13" ht="12.75" customHeight="1">
      <c r="A708" s="212"/>
      <c r="B708" s="212"/>
      <c r="C708" s="212"/>
      <c r="D708" s="212"/>
      <c r="E708" s="212"/>
      <c r="F708" s="212"/>
      <c r="G708" s="212"/>
      <c r="H708" s="212"/>
      <c r="J708" s="212"/>
      <c r="K708" s="212"/>
      <c r="M708" s="344"/>
    </row>
    <row r="709" spans="1:13" ht="12.75" customHeight="1">
      <c r="A709" s="212"/>
      <c r="B709" s="212"/>
      <c r="C709" s="212"/>
      <c r="D709" s="212"/>
      <c r="E709" s="212"/>
      <c r="F709" s="212"/>
      <c r="G709" s="212"/>
      <c r="H709" s="212"/>
      <c r="J709" s="212"/>
      <c r="K709" s="212"/>
      <c r="M709" s="344"/>
    </row>
    <row r="710" spans="1:13" ht="12.75" customHeight="1">
      <c r="A710" s="212"/>
      <c r="B710" s="212"/>
      <c r="C710" s="212"/>
      <c r="D710" s="212"/>
      <c r="E710" s="212"/>
      <c r="F710" s="212"/>
      <c r="G710" s="212"/>
      <c r="H710" s="212"/>
      <c r="J710" s="212"/>
      <c r="K710" s="212"/>
      <c r="M710" s="344"/>
    </row>
    <row r="711" spans="1:13" ht="12.75" customHeight="1">
      <c r="A711" s="212"/>
      <c r="B711" s="212"/>
      <c r="C711" s="212"/>
      <c r="D711" s="212"/>
      <c r="E711" s="212"/>
      <c r="F711" s="212"/>
      <c r="G711" s="212"/>
      <c r="H711" s="212"/>
      <c r="J711" s="212"/>
      <c r="K711" s="212"/>
      <c r="M711" s="344"/>
    </row>
    <row r="712" spans="1:13" ht="12.75" customHeight="1">
      <c r="A712" s="212"/>
      <c r="B712" s="212"/>
      <c r="C712" s="212"/>
      <c r="D712" s="212"/>
      <c r="E712" s="212"/>
      <c r="F712" s="212"/>
      <c r="G712" s="212"/>
      <c r="H712" s="212"/>
      <c r="J712" s="212"/>
      <c r="K712" s="212"/>
      <c r="M712" s="344"/>
    </row>
    <row r="713" spans="1:13" ht="12.75" customHeight="1">
      <c r="A713" s="212"/>
      <c r="B713" s="212"/>
      <c r="C713" s="212"/>
      <c r="D713" s="212"/>
      <c r="E713" s="212"/>
      <c r="F713" s="212"/>
      <c r="G713" s="212"/>
      <c r="H713" s="212"/>
      <c r="J713" s="212"/>
      <c r="K713" s="212"/>
      <c r="M713" s="344"/>
    </row>
    <row r="714" spans="1:13" ht="12.75" customHeight="1">
      <c r="A714" s="212"/>
      <c r="B714" s="212"/>
      <c r="C714" s="212"/>
      <c r="D714" s="212"/>
      <c r="E714" s="212"/>
      <c r="F714" s="212"/>
      <c r="G714" s="212"/>
      <c r="H714" s="212"/>
      <c r="J714" s="212"/>
      <c r="K714" s="212"/>
      <c r="M714" s="344"/>
    </row>
    <row r="715" spans="1:13" ht="12.75" customHeight="1">
      <c r="A715" s="212"/>
      <c r="B715" s="212"/>
      <c r="C715" s="212"/>
      <c r="D715" s="212"/>
      <c r="E715" s="212"/>
      <c r="F715" s="212"/>
      <c r="G715" s="212"/>
      <c r="H715" s="212"/>
      <c r="J715" s="212"/>
      <c r="K715" s="212"/>
      <c r="M715" s="344"/>
    </row>
    <row r="716" spans="1:13" ht="12.75" customHeight="1">
      <c r="A716" s="212"/>
      <c r="B716" s="212"/>
      <c r="C716" s="212"/>
      <c r="D716" s="212"/>
      <c r="E716" s="212"/>
      <c r="F716" s="212"/>
      <c r="G716" s="212"/>
      <c r="H716" s="212"/>
      <c r="J716" s="212"/>
      <c r="K716" s="212"/>
      <c r="M716" s="344"/>
    </row>
    <row r="717" spans="1:13" ht="12.75" customHeight="1">
      <c r="A717" s="212"/>
      <c r="B717" s="212"/>
      <c r="C717" s="212"/>
      <c r="D717" s="212"/>
      <c r="E717" s="212"/>
      <c r="F717" s="212"/>
      <c r="G717" s="212"/>
      <c r="H717" s="212"/>
      <c r="J717" s="212"/>
      <c r="K717" s="212"/>
      <c r="M717" s="344"/>
    </row>
    <row r="718" spans="1:13" ht="12.75" customHeight="1">
      <c r="A718" s="212"/>
      <c r="B718" s="212"/>
      <c r="C718" s="212"/>
      <c r="D718" s="212"/>
      <c r="E718" s="212"/>
      <c r="F718" s="212"/>
      <c r="G718" s="212"/>
      <c r="H718" s="212"/>
      <c r="J718" s="212"/>
      <c r="K718" s="212"/>
      <c r="M718" s="344"/>
    </row>
    <row r="719" spans="1:13" ht="12.75" customHeight="1">
      <c r="A719" s="212"/>
      <c r="B719" s="212"/>
      <c r="C719" s="212"/>
      <c r="D719" s="212"/>
      <c r="E719" s="212"/>
      <c r="F719" s="212"/>
      <c r="G719" s="212"/>
      <c r="H719" s="212"/>
      <c r="J719" s="212"/>
      <c r="K719" s="212"/>
      <c r="M719" s="344"/>
    </row>
    <row r="720" spans="1:13" ht="12.75" customHeight="1">
      <c r="A720" s="212"/>
      <c r="B720" s="212"/>
      <c r="C720" s="212"/>
      <c r="D720" s="212"/>
      <c r="E720" s="212"/>
      <c r="F720" s="212"/>
      <c r="G720" s="212"/>
      <c r="H720" s="212"/>
      <c r="J720" s="212"/>
      <c r="K720" s="212"/>
      <c r="M720" s="344"/>
    </row>
    <row r="721" spans="1:13" ht="12.75" customHeight="1">
      <c r="A721" s="212"/>
      <c r="B721" s="212"/>
      <c r="C721" s="212"/>
      <c r="D721" s="212"/>
      <c r="E721" s="212"/>
      <c r="F721" s="212"/>
      <c r="G721" s="212"/>
      <c r="H721" s="212"/>
      <c r="J721" s="212"/>
      <c r="K721" s="212"/>
      <c r="M721" s="344"/>
    </row>
    <row r="722" spans="1:13" ht="12.75" customHeight="1">
      <c r="A722" s="212"/>
      <c r="B722" s="212"/>
      <c r="C722" s="212"/>
      <c r="D722" s="212"/>
      <c r="E722" s="212"/>
      <c r="F722" s="212"/>
      <c r="G722" s="212"/>
      <c r="H722" s="212"/>
      <c r="J722" s="212"/>
      <c r="K722" s="212"/>
      <c r="M722" s="344"/>
    </row>
    <row r="723" spans="1:13" ht="12.75" customHeight="1">
      <c r="A723" s="212"/>
      <c r="B723" s="212"/>
      <c r="C723" s="212"/>
      <c r="D723" s="212"/>
      <c r="E723" s="212"/>
      <c r="F723" s="212"/>
      <c r="G723" s="212"/>
      <c r="H723" s="212"/>
      <c r="J723" s="212"/>
      <c r="K723" s="212"/>
      <c r="M723" s="344"/>
    </row>
    <row r="724" spans="1:13" ht="12.75" customHeight="1">
      <c r="A724" s="212"/>
      <c r="B724" s="212"/>
      <c r="C724" s="212"/>
      <c r="D724" s="212"/>
      <c r="E724" s="212"/>
      <c r="F724" s="212"/>
      <c r="G724" s="212"/>
      <c r="H724" s="212"/>
      <c r="J724" s="212"/>
      <c r="K724" s="212"/>
      <c r="M724" s="344"/>
    </row>
    <row r="725" spans="1:13" ht="12.75" customHeight="1">
      <c r="A725" s="212"/>
      <c r="B725" s="212"/>
      <c r="C725" s="212"/>
      <c r="D725" s="212"/>
      <c r="E725" s="212"/>
      <c r="F725" s="212"/>
      <c r="G725" s="212"/>
      <c r="H725" s="212"/>
      <c r="J725" s="212"/>
      <c r="K725" s="212"/>
      <c r="M725" s="344"/>
    </row>
    <row r="726" spans="1:13" ht="12.75" customHeight="1">
      <c r="A726" s="212"/>
      <c r="B726" s="212"/>
      <c r="C726" s="212"/>
      <c r="D726" s="212"/>
      <c r="E726" s="212"/>
      <c r="F726" s="212"/>
      <c r="G726" s="212"/>
      <c r="H726" s="212"/>
      <c r="J726" s="212"/>
      <c r="K726" s="212"/>
      <c r="M726" s="344"/>
    </row>
    <row r="727" spans="1:13" ht="12.75" customHeight="1">
      <c r="A727" s="212"/>
      <c r="B727" s="212"/>
      <c r="C727" s="212"/>
      <c r="D727" s="212"/>
      <c r="E727" s="212"/>
      <c r="F727" s="212"/>
      <c r="G727" s="212"/>
      <c r="H727" s="212"/>
      <c r="J727" s="212"/>
      <c r="K727" s="212"/>
      <c r="M727" s="344"/>
    </row>
    <row r="728" spans="1:13" ht="12.75" customHeight="1">
      <c r="A728" s="212"/>
      <c r="B728" s="212"/>
      <c r="C728" s="212"/>
      <c r="D728" s="212"/>
      <c r="E728" s="212"/>
      <c r="F728" s="212"/>
      <c r="G728" s="212"/>
      <c r="H728" s="212"/>
      <c r="J728" s="212"/>
      <c r="K728" s="212"/>
      <c r="M728" s="344"/>
    </row>
    <row r="729" spans="1:13" ht="12.75" customHeight="1">
      <c r="A729" s="212"/>
      <c r="B729" s="212"/>
      <c r="C729" s="212"/>
      <c r="D729" s="212"/>
      <c r="E729" s="212"/>
      <c r="F729" s="212"/>
      <c r="G729" s="212"/>
      <c r="H729" s="212"/>
      <c r="J729" s="212"/>
      <c r="K729" s="212"/>
      <c r="M729" s="344"/>
    </row>
    <row r="730" spans="1:13" ht="12.75" customHeight="1">
      <c r="A730" s="212"/>
      <c r="B730" s="212"/>
      <c r="C730" s="212"/>
      <c r="D730" s="212"/>
      <c r="E730" s="212"/>
      <c r="F730" s="212"/>
      <c r="G730" s="212"/>
      <c r="H730" s="212"/>
      <c r="J730" s="212"/>
      <c r="K730" s="212"/>
      <c r="M730" s="344"/>
    </row>
    <row r="731" spans="1:13" ht="12.75" customHeight="1">
      <c r="A731" s="212"/>
      <c r="B731" s="212"/>
      <c r="C731" s="212"/>
      <c r="D731" s="212"/>
      <c r="E731" s="212"/>
      <c r="F731" s="212"/>
      <c r="G731" s="212"/>
      <c r="H731" s="212"/>
      <c r="J731" s="212"/>
      <c r="K731" s="212"/>
      <c r="M731" s="344"/>
    </row>
    <row r="732" spans="1:13" ht="12.75" customHeight="1">
      <c r="A732" s="212"/>
      <c r="B732" s="212"/>
      <c r="C732" s="212"/>
      <c r="D732" s="212"/>
      <c r="E732" s="212"/>
      <c r="F732" s="212"/>
      <c r="G732" s="212"/>
      <c r="H732" s="212"/>
      <c r="J732" s="212"/>
      <c r="K732" s="212"/>
      <c r="M732" s="344"/>
    </row>
    <row r="733" spans="1:13" ht="12.75" customHeight="1">
      <c r="A733" s="212"/>
      <c r="B733" s="212"/>
      <c r="C733" s="212"/>
      <c r="D733" s="212"/>
      <c r="E733" s="212"/>
      <c r="F733" s="212"/>
      <c r="G733" s="212"/>
      <c r="H733" s="212"/>
      <c r="J733" s="212"/>
      <c r="K733" s="212"/>
      <c r="M733" s="344"/>
    </row>
    <row r="734" spans="1:13" ht="12.75" customHeight="1">
      <c r="A734" s="212"/>
      <c r="B734" s="212"/>
      <c r="C734" s="212"/>
      <c r="D734" s="212"/>
      <c r="E734" s="212"/>
      <c r="F734" s="212"/>
      <c r="G734" s="212"/>
      <c r="H734" s="212"/>
      <c r="J734" s="212"/>
      <c r="K734" s="212"/>
      <c r="M734" s="344"/>
    </row>
    <row r="735" spans="1:13" ht="12.75" customHeight="1">
      <c r="A735" s="212"/>
      <c r="B735" s="212"/>
      <c r="C735" s="212"/>
      <c r="D735" s="212"/>
      <c r="E735" s="212"/>
      <c r="F735" s="212"/>
      <c r="G735" s="212"/>
      <c r="H735" s="212"/>
      <c r="J735" s="212"/>
      <c r="K735" s="212"/>
      <c r="M735" s="344"/>
    </row>
    <row r="736" spans="1:13" ht="12.75" customHeight="1">
      <c r="A736" s="212"/>
      <c r="B736" s="212"/>
      <c r="C736" s="212"/>
      <c r="D736" s="212"/>
      <c r="E736" s="212"/>
      <c r="F736" s="212"/>
      <c r="G736" s="212"/>
      <c r="H736" s="212"/>
      <c r="J736" s="212"/>
      <c r="K736" s="212"/>
      <c r="M736" s="344"/>
    </row>
    <row r="737" spans="1:13" ht="12.75" customHeight="1">
      <c r="A737" s="212"/>
      <c r="B737" s="212"/>
      <c r="C737" s="212"/>
      <c r="D737" s="212"/>
      <c r="E737" s="212"/>
      <c r="F737" s="212"/>
      <c r="G737" s="212"/>
      <c r="H737" s="212"/>
      <c r="J737" s="212"/>
      <c r="K737" s="212"/>
      <c r="M737" s="344"/>
    </row>
    <row r="738" spans="1:13" ht="12.75" customHeight="1">
      <c r="A738" s="212"/>
      <c r="B738" s="212"/>
      <c r="C738" s="212"/>
      <c r="D738" s="212"/>
      <c r="E738" s="212"/>
      <c r="F738" s="212"/>
      <c r="G738" s="212"/>
      <c r="H738" s="212"/>
      <c r="J738" s="212"/>
      <c r="K738" s="212"/>
      <c r="M738" s="344"/>
    </row>
    <row r="739" spans="1:13" ht="12.75" customHeight="1">
      <c r="A739" s="212"/>
      <c r="B739" s="212"/>
      <c r="C739" s="212"/>
      <c r="D739" s="212"/>
      <c r="E739" s="212"/>
      <c r="F739" s="212"/>
      <c r="G739" s="212"/>
      <c r="H739" s="212"/>
      <c r="J739" s="212"/>
      <c r="K739" s="212"/>
      <c r="M739" s="344"/>
    </row>
    <row r="740" spans="1:13" ht="12.75" customHeight="1">
      <c r="A740" s="212"/>
      <c r="B740" s="212"/>
      <c r="C740" s="212"/>
      <c r="D740" s="212"/>
      <c r="E740" s="212"/>
      <c r="F740" s="212"/>
      <c r="G740" s="212"/>
      <c r="H740" s="212"/>
      <c r="J740" s="212"/>
      <c r="K740" s="212"/>
      <c r="M740" s="344"/>
    </row>
    <row r="741" spans="1:13" ht="12.75" customHeight="1">
      <c r="A741" s="212"/>
      <c r="B741" s="212"/>
      <c r="C741" s="212"/>
      <c r="D741" s="212"/>
      <c r="E741" s="212"/>
      <c r="F741" s="212"/>
      <c r="G741" s="212"/>
      <c r="H741" s="212"/>
      <c r="J741" s="212"/>
      <c r="K741" s="212"/>
      <c r="M741" s="344"/>
    </row>
    <row r="742" spans="1:13" ht="12.75" customHeight="1">
      <c r="A742" s="212"/>
      <c r="B742" s="212"/>
      <c r="C742" s="212"/>
      <c r="D742" s="212"/>
      <c r="E742" s="212"/>
      <c r="F742" s="212"/>
      <c r="G742" s="212"/>
      <c r="H742" s="212"/>
      <c r="J742" s="212"/>
      <c r="K742" s="212"/>
      <c r="M742" s="344"/>
    </row>
    <row r="743" spans="1:13" ht="12.75" customHeight="1">
      <c r="A743" s="212"/>
      <c r="B743" s="212"/>
      <c r="C743" s="212"/>
      <c r="D743" s="212"/>
      <c r="E743" s="212"/>
      <c r="F743" s="212"/>
      <c r="G743" s="212"/>
      <c r="H743" s="212"/>
      <c r="J743" s="212"/>
      <c r="K743" s="212"/>
      <c r="M743" s="344"/>
    </row>
    <row r="744" spans="1:13" ht="12.75" customHeight="1">
      <c r="A744" s="212"/>
      <c r="B744" s="212"/>
      <c r="C744" s="212"/>
      <c r="D744" s="212"/>
      <c r="E744" s="212"/>
      <c r="F744" s="212"/>
      <c r="G744" s="212"/>
      <c r="H744" s="212"/>
      <c r="J744" s="212"/>
      <c r="K744" s="212"/>
      <c r="M744" s="344"/>
    </row>
    <row r="745" spans="1:13" ht="12.75" customHeight="1">
      <c r="A745" s="212"/>
      <c r="B745" s="212"/>
      <c r="C745" s="212"/>
      <c r="D745" s="212"/>
      <c r="E745" s="212"/>
      <c r="F745" s="212"/>
      <c r="G745" s="212"/>
      <c r="H745" s="212"/>
      <c r="J745" s="212"/>
      <c r="K745" s="212"/>
      <c r="M745" s="344"/>
    </row>
    <row r="746" spans="1:13" ht="12.75" customHeight="1">
      <c r="A746" s="212"/>
      <c r="B746" s="212"/>
      <c r="C746" s="212"/>
      <c r="D746" s="212"/>
      <c r="E746" s="212"/>
      <c r="F746" s="212"/>
      <c r="G746" s="212"/>
      <c r="H746" s="212"/>
      <c r="J746" s="212"/>
      <c r="K746" s="212"/>
      <c r="M746" s="344"/>
    </row>
    <row r="747" spans="1:13" ht="12.75" customHeight="1">
      <c r="A747" s="212"/>
      <c r="B747" s="212"/>
      <c r="C747" s="212"/>
      <c r="D747" s="212"/>
      <c r="E747" s="212"/>
      <c r="F747" s="212"/>
      <c r="G747" s="212"/>
      <c r="H747" s="212"/>
      <c r="J747" s="212"/>
      <c r="K747" s="212"/>
      <c r="M747" s="344"/>
    </row>
    <row r="748" spans="1:13" ht="12.75" customHeight="1">
      <c r="A748" s="212"/>
      <c r="B748" s="212"/>
      <c r="C748" s="212"/>
      <c r="D748" s="212"/>
      <c r="E748" s="212"/>
      <c r="F748" s="212"/>
      <c r="G748" s="212"/>
      <c r="H748" s="212"/>
      <c r="J748" s="212"/>
      <c r="K748" s="212"/>
      <c r="M748" s="344"/>
    </row>
    <row r="749" spans="1:13" ht="12.75" customHeight="1">
      <c r="A749" s="212"/>
      <c r="B749" s="212"/>
      <c r="C749" s="212"/>
      <c r="D749" s="212"/>
      <c r="E749" s="212"/>
      <c r="F749" s="212"/>
      <c r="G749" s="212"/>
      <c r="H749" s="212"/>
      <c r="J749" s="212"/>
      <c r="K749" s="212"/>
      <c r="M749" s="344"/>
    </row>
    <row r="750" spans="1:13" ht="12.75" customHeight="1">
      <c r="A750" s="212"/>
      <c r="B750" s="212"/>
      <c r="C750" s="212"/>
      <c r="D750" s="212"/>
      <c r="E750" s="212"/>
      <c r="F750" s="212"/>
      <c r="G750" s="212"/>
      <c r="H750" s="212"/>
      <c r="J750" s="212"/>
      <c r="K750" s="212"/>
      <c r="M750" s="344"/>
    </row>
    <row r="751" spans="1:13" ht="12.75" customHeight="1">
      <c r="A751" s="212"/>
      <c r="B751" s="212"/>
      <c r="C751" s="212"/>
      <c r="D751" s="212"/>
      <c r="E751" s="212"/>
      <c r="F751" s="212"/>
      <c r="G751" s="212"/>
      <c r="H751" s="212"/>
      <c r="J751" s="212"/>
      <c r="K751" s="212"/>
      <c r="M751" s="344"/>
    </row>
    <row r="752" spans="1:13" ht="12.75" customHeight="1">
      <c r="A752" s="212"/>
      <c r="B752" s="212"/>
      <c r="C752" s="212"/>
      <c r="D752" s="212"/>
      <c r="E752" s="212"/>
      <c r="F752" s="212"/>
      <c r="G752" s="212"/>
      <c r="H752" s="212"/>
      <c r="J752" s="212"/>
      <c r="K752" s="212"/>
      <c r="M752" s="344"/>
    </row>
    <row r="753" spans="1:13" ht="12.75" customHeight="1">
      <c r="A753" s="212"/>
      <c r="B753" s="212"/>
      <c r="C753" s="212"/>
      <c r="D753" s="212"/>
      <c r="E753" s="212"/>
      <c r="F753" s="212"/>
      <c r="G753" s="212"/>
      <c r="H753" s="212"/>
      <c r="J753" s="212"/>
      <c r="K753" s="212"/>
      <c r="M753" s="344"/>
    </row>
    <row r="754" spans="1:13" ht="12.75" customHeight="1">
      <c r="A754" s="212"/>
      <c r="B754" s="212"/>
      <c r="C754" s="212"/>
      <c r="D754" s="212"/>
      <c r="E754" s="212"/>
      <c r="F754" s="212"/>
      <c r="G754" s="212"/>
      <c r="H754" s="212"/>
      <c r="J754" s="212"/>
      <c r="K754" s="212"/>
      <c r="M754" s="344"/>
    </row>
    <row r="755" spans="1:13" ht="12.75" customHeight="1">
      <c r="A755" s="212"/>
      <c r="B755" s="212"/>
      <c r="C755" s="212"/>
      <c r="D755" s="212"/>
      <c r="E755" s="212"/>
      <c r="F755" s="212"/>
      <c r="G755" s="212"/>
      <c r="H755" s="212"/>
      <c r="J755" s="212"/>
      <c r="K755" s="212"/>
      <c r="M755" s="344"/>
    </row>
    <row r="756" spans="1:13" ht="12.75" customHeight="1">
      <c r="A756" s="212"/>
      <c r="B756" s="212"/>
      <c r="C756" s="212"/>
      <c r="D756" s="212"/>
      <c r="E756" s="212"/>
      <c r="F756" s="212"/>
      <c r="G756" s="212"/>
      <c r="H756" s="212"/>
      <c r="J756" s="212"/>
      <c r="K756" s="212"/>
      <c r="M756" s="344"/>
    </row>
    <row r="757" spans="1:13" ht="12.75" customHeight="1">
      <c r="A757" s="212"/>
      <c r="B757" s="212"/>
      <c r="C757" s="212"/>
      <c r="D757" s="212"/>
      <c r="E757" s="212"/>
      <c r="F757" s="212"/>
      <c r="G757" s="212"/>
      <c r="H757" s="212"/>
      <c r="J757" s="212"/>
      <c r="K757" s="212"/>
      <c r="M757" s="344"/>
    </row>
    <row r="758" spans="1:13" ht="12.75" customHeight="1">
      <c r="A758" s="212"/>
      <c r="B758" s="212"/>
      <c r="C758" s="212"/>
      <c r="D758" s="212"/>
      <c r="E758" s="212"/>
      <c r="F758" s="212"/>
      <c r="G758" s="212"/>
      <c r="H758" s="212"/>
      <c r="J758" s="212"/>
      <c r="K758" s="212"/>
      <c r="M758" s="344"/>
    </row>
    <row r="759" spans="1:13" ht="12.75" customHeight="1">
      <c r="A759" s="212"/>
      <c r="B759" s="212"/>
      <c r="C759" s="212"/>
      <c r="D759" s="212"/>
      <c r="E759" s="212"/>
      <c r="F759" s="212"/>
      <c r="G759" s="212"/>
      <c r="H759" s="212"/>
      <c r="J759" s="212"/>
      <c r="K759" s="212"/>
      <c r="M759" s="344"/>
    </row>
    <row r="760" spans="1:13" ht="12.75" customHeight="1">
      <c r="A760" s="212"/>
      <c r="B760" s="212"/>
      <c r="C760" s="212"/>
      <c r="D760" s="212"/>
      <c r="E760" s="212"/>
      <c r="F760" s="212"/>
      <c r="G760" s="212"/>
      <c r="H760" s="212"/>
      <c r="J760" s="212"/>
      <c r="K760" s="212"/>
      <c r="M760" s="344"/>
    </row>
    <row r="761" spans="1:13" ht="12.75" customHeight="1">
      <c r="A761" s="212"/>
      <c r="B761" s="212"/>
      <c r="C761" s="212"/>
      <c r="D761" s="212"/>
      <c r="E761" s="212"/>
      <c r="F761" s="212"/>
      <c r="G761" s="212"/>
      <c r="H761" s="212"/>
      <c r="J761" s="212"/>
      <c r="K761" s="212"/>
      <c r="M761" s="344"/>
    </row>
    <row r="762" spans="1:13" ht="12.75" customHeight="1">
      <c r="A762" s="212"/>
      <c r="B762" s="212"/>
      <c r="C762" s="212"/>
      <c r="D762" s="212"/>
      <c r="E762" s="212"/>
      <c r="F762" s="212"/>
      <c r="G762" s="212"/>
      <c r="H762" s="212"/>
      <c r="J762" s="212"/>
      <c r="K762" s="212"/>
      <c r="M762" s="344"/>
    </row>
    <row r="763" spans="1:13" ht="12.75" customHeight="1">
      <c r="A763" s="212"/>
      <c r="B763" s="212"/>
      <c r="C763" s="212"/>
      <c r="D763" s="212"/>
      <c r="E763" s="212"/>
      <c r="F763" s="212"/>
      <c r="G763" s="212"/>
      <c r="H763" s="212"/>
      <c r="J763" s="212"/>
      <c r="K763" s="212"/>
      <c r="M763" s="344"/>
    </row>
    <row r="764" spans="1:13" ht="12.75" customHeight="1">
      <c r="A764" s="212"/>
      <c r="B764" s="212"/>
      <c r="C764" s="212"/>
      <c r="D764" s="212"/>
      <c r="E764" s="212"/>
      <c r="F764" s="212"/>
      <c r="G764" s="212"/>
      <c r="H764" s="212"/>
      <c r="J764" s="212"/>
      <c r="K764" s="212"/>
      <c r="M764" s="344"/>
    </row>
    <row r="765" spans="1:13" ht="12.75" customHeight="1">
      <c r="A765" s="212"/>
      <c r="B765" s="212"/>
      <c r="C765" s="212"/>
      <c r="D765" s="212"/>
      <c r="E765" s="212"/>
      <c r="F765" s="212"/>
      <c r="G765" s="212"/>
      <c r="H765" s="212"/>
      <c r="J765" s="212"/>
      <c r="K765" s="212"/>
      <c r="M765" s="344"/>
    </row>
    <row r="766" spans="1:13" ht="12.75" customHeight="1">
      <c r="A766" s="212"/>
      <c r="B766" s="212"/>
      <c r="C766" s="212"/>
      <c r="D766" s="212"/>
      <c r="E766" s="212"/>
      <c r="F766" s="212"/>
      <c r="G766" s="212"/>
      <c r="H766" s="212"/>
      <c r="J766" s="212"/>
      <c r="K766" s="212"/>
      <c r="M766" s="344"/>
    </row>
    <row r="767" spans="1:13" ht="12.75" customHeight="1">
      <c r="A767" s="212"/>
      <c r="B767" s="212"/>
      <c r="C767" s="212"/>
      <c r="D767" s="212"/>
      <c r="E767" s="212"/>
      <c r="F767" s="212"/>
      <c r="G767" s="212"/>
      <c r="H767" s="212"/>
      <c r="J767" s="212"/>
      <c r="K767" s="212"/>
      <c r="M767" s="344"/>
    </row>
    <row r="768" spans="1:13" ht="12.75" customHeight="1">
      <c r="A768" s="212"/>
      <c r="B768" s="212"/>
      <c r="C768" s="212"/>
      <c r="D768" s="212"/>
      <c r="E768" s="212"/>
      <c r="F768" s="212"/>
      <c r="G768" s="212"/>
      <c r="H768" s="212"/>
      <c r="J768" s="212"/>
      <c r="K768" s="212"/>
      <c r="M768" s="344"/>
    </row>
    <row r="769" spans="1:13" ht="12.75" customHeight="1">
      <c r="A769" s="212"/>
      <c r="B769" s="212"/>
      <c r="C769" s="212"/>
      <c r="D769" s="212"/>
      <c r="E769" s="212"/>
      <c r="F769" s="212"/>
      <c r="G769" s="212"/>
      <c r="H769" s="212"/>
      <c r="J769" s="212"/>
      <c r="K769" s="212"/>
      <c r="M769" s="344"/>
    </row>
    <row r="770" spans="1:13" ht="12.75" customHeight="1">
      <c r="A770" s="212"/>
      <c r="B770" s="212"/>
      <c r="C770" s="212"/>
      <c r="D770" s="212"/>
      <c r="E770" s="212"/>
      <c r="F770" s="212"/>
      <c r="G770" s="212"/>
      <c r="H770" s="212"/>
      <c r="J770" s="212"/>
      <c r="K770" s="212"/>
      <c r="M770" s="344"/>
    </row>
    <row r="771" spans="1:13" ht="12.75" customHeight="1">
      <c r="A771" s="212"/>
      <c r="B771" s="212"/>
      <c r="C771" s="212"/>
      <c r="D771" s="212"/>
      <c r="E771" s="212"/>
      <c r="F771" s="212"/>
      <c r="G771" s="212"/>
      <c r="H771" s="212"/>
      <c r="J771" s="212"/>
      <c r="K771" s="212"/>
      <c r="M771" s="344"/>
    </row>
    <row r="772" spans="1:13" ht="12.75" customHeight="1">
      <c r="A772" s="212"/>
      <c r="B772" s="212"/>
      <c r="C772" s="212"/>
      <c r="D772" s="212"/>
      <c r="E772" s="212"/>
      <c r="F772" s="212"/>
      <c r="G772" s="212"/>
      <c r="H772" s="212"/>
      <c r="J772" s="212"/>
      <c r="K772" s="212"/>
      <c r="M772" s="344"/>
    </row>
    <row r="773" spans="1:13" ht="12.75" customHeight="1">
      <c r="A773" s="212"/>
      <c r="B773" s="212"/>
      <c r="C773" s="212"/>
      <c r="D773" s="212"/>
      <c r="E773" s="212"/>
      <c r="F773" s="212"/>
      <c r="G773" s="212"/>
      <c r="H773" s="212"/>
      <c r="J773" s="212"/>
      <c r="K773" s="212"/>
      <c r="M773" s="344"/>
    </row>
    <row r="774" spans="1:13" ht="12.75" customHeight="1">
      <c r="A774" s="212"/>
      <c r="B774" s="212"/>
      <c r="C774" s="212"/>
      <c r="D774" s="212"/>
      <c r="E774" s="212"/>
      <c r="F774" s="212"/>
      <c r="G774" s="212"/>
      <c r="H774" s="212"/>
      <c r="J774" s="212"/>
      <c r="K774" s="212"/>
      <c r="M774" s="344"/>
    </row>
    <row r="775" spans="1:13" ht="12.75" customHeight="1">
      <c r="A775" s="212"/>
      <c r="B775" s="212"/>
      <c r="C775" s="212"/>
      <c r="D775" s="212"/>
      <c r="E775" s="212"/>
      <c r="F775" s="212"/>
      <c r="G775" s="212"/>
      <c r="H775" s="212"/>
      <c r="J775" s="212"/>
      <c r="K775" s="212"/>
      <c r="M775" s="344"/>
    </row>
    <row r="776" spans="1:13" ht="12.75" customHeight="1">
      <c r="A776" s="212"/>
      <c r="B776" s="212"/>
      <c r="C776" s="212"/>
      <c r="D776" s="212"/>
      <c r="E776" s="212"/>
      <c r="F776" s="212"/>
      <c r="G776" s="212"/>
      <c r="H776" s="212"/>
      <c r="J776" s="212"/>
      <c r="K776" s="212"/>
      <c r="M776" s="344"/>
    </row>
    <row r="777" spans="1:13" ht="12.75" customHeight="1">
      <c r="A777" s="212"/>
      <c r="B777" s="212"/>
      <c r="C777" s="212"/>
      <c r="D777" s="212"/>
      <c r="E777" s="212"/>
      <c r="F777" s="212"/>
      <c r="G777" s="212"/>
      <c r="H777" s="212"/>
      <c r="J777" s="212"/>
      <c r="K777" s="212"/>
      <c r="M777" s="344"/>
    </row>
    <row r="778" spans="1:13" ht="12.75" customHeight="1">
      <c r="A778" s="212"/>
      <c r="B778" s="212"/>
      <c r="C778" s="212"/>
      <c r="D778" s="212"/>
      <c r="E778" s="212"/>
      <c r="F778" s="212"/>
      <c r="G778" s="212"/>
      <c r="H778" s="212"/>
      <c r="J778" s="212"/>
      <c r="K778" s="212"/>
      <c r="M778" s="344"/>
    </row>
    <row r="779" spans="1:13" ht="12.75" customHeight="1">
      <c r="A779" s="212"/>
      <c r="B779" s="212"/>
      <c r="C779" s="212"/>
      <c r="D779" s="212"/>
      <c r="E779" s="212"/>
      <c r="F779" s="212"/>
      <c r="G779" s="212"/>
      <c r="H779" s="212"/>
      <c r="J779" s="212"/>
      <c r="K779" s="212"/>
      <c r="M779" s="344"/>
    </row>
    <row r="780" spans="1:13" ht="12.75" customHeight="1">
      <c r="A780" s="212"/>
      <c r="B780" s="212"/>
      <c r="C780" s="212"/>
      <c r="D780" s="212"/>
      <c r="E780" s="212"/>
      <c r="F780" s="212"/>
      <c r="G780" s="212"/>
      <c r="H780" s="212"/>
      <c r="J780" s="212"/>
      <c r="K780" s="212"/>
      <c r="M780" s="344"/>
    </row>
    <row r="781" spans="1:13" ht="12.75" customHeight="1">
      <c r="A781" s="212"/>
      <c r="B781" s="212"/>
      <c r="C781" s="212"/>
      <c r="D781" s="212"/>
      <c r="E781" s="212"/>
      <c r="F781" s="212"/>
      <c r="G781" s="212"/>
      <c r="H781" s="212"/>
      <c r="J781" s="212"/>
      <c r="K781" s="212"/>
      <c r="M781" s="344"/>
    </row>
    <row r="782" spans="1:13" ht="12.75" customHeight="1">
      <c r="A782" s="212"/>
      <c r="B782" s="212"/>
      <c r="C782" s="212"/>
      <c r="D782" s="212"/>
      <c r="E782" s="212"/>
      <c r="F782" s="212"/>
      <c r="G782" s="212"/>
      <c r="H782" s="212"/>
      <c r="J782" s="212"/>
      <c r="K782" s="212"/>
      <c r="M782" s="344"/>
    </row>
    <row r="783" spans="1:13" ht="12.75" customHeight="1">
      <c r="A783" s="212"/>
      <c r="B783" s="212"/>
      <c r="C783" s="212"/>
      <c r="D783" s="212"/>
      <c r="E783" s="212"/>
      <c r="F783" s="212"/>
      <c r="G783" s="212"/>
      <c r="H783" s="212"/>
      <c r="J783" s="212"/>
      <c r="K783" s="212"/>
      <c r="M783" s="344"/>
    </row>
    <row r="784" spans="1:13" ht="12.75" customHeight="1">
      <c r="A784" s="212"/>
      <c r="B784" s="212"/>
      <c r="C784" s="212"/>
      <c r="D784" s="212"/>
      <c r="E784" s="212"/>
      <c r="F784" s="212"/>
      <c r="G784" s="212"/>
      <c r="H784" s="212"/>
      <c r="J784" s="212"/>
      <c r="K784" s="212"/>
      <c r="M784" s="344"/>
    </row>
    <row r="785" spans="1:13" ht="12.75" customHeight="1">
      <c r="A785" s="212"/>
      <c r="B785" s="212"/>
      <c r="C785" s="212"/>
      <c r="D785" s="212"/>
      <c r="E785" s="212"/>
      <c r="F785" s="212"/>
      <c r="G785" s="212"/>
      <c r="H785" s="212"/>
      <c r="J785" s="212"/>
      <c r="K785" s="212"/>
      <c r="M785" s="344"/>
    </row>
    <row r="786" spans="1:13" ht="12.75" customHeight="1">
      <c r="A786" s="212"/>
      <c r="B786" s="212"/>
      <c r="C786" s="212"/>
      <c r="D786" s="212"/>
      <c r="E786" s="212"/>
      <c r="F786" s="212"/>
      <c r="G786" s="212"/>
      <c r="H786" s="212"/>
      <c r="J786" s="212"/>
      <c r="K786" s="212"/>
      <c r="M786" s="344"/>
    </row>
    <row r="787" spans="1:13" ht="12.75" customHeight="1">
      <c r="A787" s="212"/>
      <c r="B787" s="212"/>
      <c r="C787" s="212"/>
      <c r="D787" s="212"/>
      <c r="E787" s="212"/>
      <c r="F787" s="212"/>
      <c r="G787" s="212"/>
      <c r="H787" s="212"/>
      <c r="J787" s="212"/>
      <c r="K787" s="212"/>
      <c r="M787" s="344"/>
    </row>
    <row r="788" spans="1:13" ht="12.75" customHeight="1">
      <c r="A788" s="212"/>
      <c r="B788" s="212"/>
      <c r="C788" s="212"/>
      <c r="D788" s="212"/>
      <c r="E788" s="212"/>
      <c r="F788" s="212"/>
      <c r="G788" s="212"/>
      <c r="H788" s="212"/>
      <c r="J788" s="212"/>
      <c r="K788" s="212"/>
      <c r="M788" s="344"/>
    </row>
    <row r="789" spans="1:13" ht="12.75" customHeight="1">
      <c r="A789" s="212"/>
      <c r="B789" s="212"/>
      <c r="C789" s="212"/>
      <c r="D789" s="212"/>
      <c r="E789" s="212"/>
      <c r="F789" s="212"/>
      <c r="G789" s="212"/>
      <c r="H789" s="212"/>
      <c r="J789" s="212"/>
      <c r="K789" s="212"/>
      <c r="M789" s="344"/>
    </row>
    <row r="790" spans="1:13" ht="12.75" customHeight="1">
      <c r="A790" s="212"/>
      <c r="B790" s="212"/>
      <c r="C790" s="212"/>
      <c r="D790" s="212"/>
      <c r="E790" s="212"/>
      <c r="F790" s="212"/>
      <c r="G790" s="212"/>
      <c r="H790" s="212"/>
      <c r="J790" s="212"/>
      <c r="K790" s="212"/>
      <c r="M790" s="344"/>
    </row>
    <row r="791" spans="1:13" ht="12.75" customHeight="1">
      <c r="A791" s="212"/>
      <c r="B791" s="212"/>
      <c r="C791" s="212"/>
      <c r="D791" s="212"/>
      <c r="E791" s="212"/>
      <c r="F791" s="212"/>
      <c r="G791" s="212"/>
      <c r="H791" s="212"/>
      <c r="J791" s="212"/>
      <c r="K791" s="212"/>
      <c r="M791" s="344"/>
    </row>
    <row r="792" spans="1:13" ht="12.75" customHeight="1">
      <c r="A792" s="212"/>
      <c r="B792" s="212"/>
      <c r="C792" s="212"/>
      <c r="D792" s="212"/>
      <c r="E792" s="212"/>
      <c r="F792" s="212"/>
      <c r="G792" s="212"/>
      <c r="H792" s="212"/>
      <c r="J792" s="212"/>
      <c r="K792" s="212"/>
      <c r="M792" s="344"/>
    </row>
    <row r="793" spans="1:13" ht="12.75" customHeight="1">
      <c r="A793" s="212"/>
      <c r="B793" s="212"/>
      <c r="C793" s="212"/>
      <c r="D793" s="212"/>
      <c r="E793" s="212"/>
      <c r="F793" s="212"/>
      <c r="G793" s="212"/>
      <c r="H793" s="212"/>
      <c r="J793" s="212"/>
      <c r="K793" s="212"/>
      <c r="M793" s="344"/>
    </row>
    <row r="794" spans="1:13" ht="12.75" customHeight="1">
      <c r="A794" s="212"/>
      <c r="B794" s="212"/>
      <c r="C794" s="212"/>
      <c r="D794" s="212"/>
      <c r="E794" s="212"/>
      <c r="F794" s="212"/>
      <c r="G794" s="212"/>
      <c r="H794" s="212"/>
      <c r="J794" s="212"/>
      <c r="K794" s="212"/>
      <c r="M794" s="344"/>
    </row>
    <row r="795" spans="1:13" ht="12.75" customHeight="1">
      <c r="A795" s="212"/>
      <c r="B795" s="212"/>
      <c r="C795" s="212"/>
      <c r="D795" s="212"/>
      <c r="E795" s="212"/>
      <c r="F795" s="212"/>
      <c r="G795" s="212"/>
      <c r="H795" s="212"/>
      <c r="J795" s="212"/>
      <c r="K795" s="212"/>
      <c r="M795" s="344"/>
    </row>
    <row r="796" spans="1:13" ht="12.75" customHeight="1">
      <c r="A796" s="212"/>
      <c r="B796" s="212"/>
      <c r="C796" s="212"/>
      <c r="D796" s="212"/>
      <c r="E796" s="212"/>
      <c r="F796" s="212"/>
      <c r="G796" s="212"/>
      <c r="H796" s="212"/>
      <c r="J796" s="212"/>
      <c r="K796" s="212"/>
      <c r="M796" s="344"/>
    </row>
    <row r="797" spans="1:13" ht="12.75" customHeight="1">
      <c r="A797" s="212"/>
      <c r="B797" s="212"/>
      <c r="C797" s="212"/>
      <c r="D797" s="212"/>
      <c r="E797" s="212"/>
      <c r="F797" s="212"/>
      <c r="G797" s="212"/>
      <c r="H797" s="212"/>
      <c r="J797" s="212"/>
      <c r="K797" s="212"/>
      <c r="M797" s="344"/>
    </row>
    <row r="798" spans="1:13" ht="12.75" customHeight="1">
      <c r="A798" s="212"/>
      <c r="B798" s="212"/>
      <c r="C798" s="212"/>
      <c r="D798" s="212"/>
      <c r="E798" s="212"/>
      <c r="F798" s="212"/>
      <c r="G798" s="212"/>
      <c r="H798" s="212"/>
      <c r="J798" s="212"/>
      <c r="K798" s="212"/>
      <c r="M798" s="344"/>
    </row>
    <row r="799" spans="1:13" ht="12.75" customHeight="1">
      <c r="A799" s="212"/>
      <c r="B799" s="212"/>
      <c r="C799" s="212"/>
      <c r="D799" s="212"/>
      <c r="E799" s="212"/>
      <c r="F799" s="212"/>
      <c r="G799" s="212"/>
      <c r="H799" s="212"/>
      <c r="J799" s="212"/>
      <c r="K799" s="212"/>
      <c r="M799" s="344"/>
    </row>
    <row r="800" spans="1:13" ht="12.75" customHeight="1">
      <c r="A800" s="212"/>
      <c r="B800" s="212"/>
      <c r="C800" s="212"/>
      <c r="D800" s="212"/>
      <c r="E800" s="212"/>
      <c r="F800" s="212"/>
      <c r="G800" s="212"/>
      <c r="H800" s="212"/>
      <c r="J800" s="212"/>
      <c r="K800" s="212"/>
      <c r="M800" s="344"/>
    </row>
    <row r="801" spans="1:13" ht="12.75" customHeight="1">
      <c r="A801" s="212"/>
      <c r="B801" s="212"/>
      <c r="C801" s="212"/>
      <c r="D801" s="212"/>
      <c r="E801" s="212"/>
      <c r="F801" s="212"/>
      <c r="G801" s="212"/>
      <c r="H801" s="212"/>
      <c r="J801" s="212"/>
      <c r="K801" s="212"/>
      <c r="M801" s="344"/>
    </row>
    <row r="802" spans="1:13" ht="12.75" customHeight="1">
      <c r="A802" s="212"/>
      <c r="B802" s="212"/>
      <c r="C802" s="212"/>
      <c r="D802" s="212"/>
      <c r="E802" s="212"/>
      <c r="F802" s="212"/>
      <c r="G802" s="212"/>
      <c r="H802" s="212"/>
      <c r="J802" s="212"/>
      <c r="K802" s="212"/>
      <c r="M802" s="344"/>
    </row>
    <row r="803" spans="1:13" ht="12.75" customHeight="1">
      <c r="A803" s="212"/>
      <c r="B803" s="212"/>
      <c r="C803" s="212"/>
      <c r="D803" s="212"/>
      <c r="E803" s="212"/>
      <c r="F803" s="212"/>
      <c r="G803" s="212"/>
      <c r="H803" s="212"/>
      <c r="J803" s="212"/>
      <c r="K803" s="212"/>
      <c r="M803" s="344"/>
    </row>
    <row r="804" spans="1:13" ht="12.75" customHeight="1">
      <c r="A804" s="212"/>
      <c r="B804" s="212"/>
      <c r="C804" s="212"/>
      <c r="D804" s="212"/>
      <c r="E804" s="212"/>
      <c r="F804" s="212"/>
      <c r="G804" s="212"/>
      <c r="H804" s="212"/>
      <c r="J804" s="212"/>
      <c r="K804" s="212"/>
      <c r="M804" s="344"/>
    </row>
    <row r="805" spans="1:13" ht="12.75" customHeight="1">
      <c r="A805" s="212"/>
      <c r="B805" s="212"/>
      <c r="C805" s="212"/>
      <c r="D805" s="212"/>
      <c r="E805" s="212"/>
      <c r="F805" s="212"/>
      <c r="G805" s="212"/>
      <c r="H805" s="212"/>
      <c r="J805" s="212"/>
      <c r="K805" s="212"/>
      <c r="M805" s="344"/>
    </row>
    <row r="806" spans="1:13" ht="12.75" customHeight="1">
      <c r="A806" s="212"/>
      <c r="B806" s="212"/>
      <c r="C806" s="212"/>
      <c r="D806" s="212"/>
      <c r="E806" s="212"/>
      <c r="F806" s="212"/>
      <c r="G806" s="212"/>
      <c r="H806" s="212"/>
      <c r="J806" s="212"/>
      <c r="K806" s="212"/>
      <c r="M806" s="344"/>
    </row>
    <row r="807" spans="1:13" ht="12.75" customHeight="1">
      <c r="A807" s="212"/>
      <c r="B807" s="212"/>
      <c r="C807" s="212"/>
      <c r="D807" s="212"/>
      <c r="E807" s="212"/>
      <c r="F807" s="212"/>
      <c r="G807" s="212"/>
      <c r="H807" s="212"/>
      <c r="J807" s="212"/>
      <c r="K807" s="212"/>
      <c r="M807" s="344"/>
    </row>
    <row r="808" spans="1:13" ht="12.75" customHeight="1">
      <c r="A808" s="212"/>
      <c r="B808" s="212"/>
      <c r="C808" s="212"/>
      <c r="D808" s="212"/>
      <c r="E808" s="212"/>
      <c r="F808" s="212"/>
      <c r="G808" s="212"/>
      <c r="H808" s="212"/>
      <c r="J808" s="212"/>
      <c r="K808" s="212"/>
      <c r="M808" s="344"/>
    </row>
    <row r="809" spans="1:13" ht="12.75" customHeight="1">
      <c r="A809" s="212"/>
      <c r="B809" s="212"/>
      <c r="C809" s="212"/>
      <c r="D809" s="212"/>
      <c r="E809" s="212"/>
      <c r="F809" s="212"/>
      <c r="G809" s="212"/>
      <c r="H809" s="212"/>
      <c r="J809" s="212"/>
      <c r="K809" s="212"/>
      <c r="M809" s="344"/>
    </row>
    <row r="810" spans="1:13" ht="12.75" customHeight="1">
      <c r="A810" s="212"/>
      <c r="B810" s="212"/>
      <c r="C810" s="212"/>
      <c r="D810" s="212"/>
      <c r="E810" s="212"/>
      <c r="F810" s="212"/>
      <c r="G810" s="212"/>
      <c r="H810" s="212"/>
      <c r="J810" s="212"/>
      <c r="K810" s="212"/>
      <c r="M810" s="344"/>
    </row>
    <row r="811" spans="1:13" ht="12.75" customHeight="1">
      <c r="A811" s="212"/>
      <c r="B811" s="212"/>
      <c r="C811" s="212"/>
      <c r="D811" s="212"/>
      <c r="E811" s="212"/>
      <c r="F811" s="212"/>
      <c r="G811" s="212"/>
      <c r="H811" s="212"/>
      <c r="J811" s="212"/>
      <c r="K811" s="212"/>
      <c r="M811" s="344"/>
    </row>
    <row r="812" spans="1:13" ht="12.75" customHeight="1">
      <c r="A812" s="212"/>
      <c r="B812" s="212"/>
      <c r="C812" s="212"/>
      <c r="D812" s="212"/>
      <c r="E812" s="212"/>
      <c r="F812" s="212"/>
      <c r="G812" s="212"/>
      <c r="H812" s="212"/>
      <c r="J812" s="212"/>
      <c r="K812" s="212"/>
      <c r="M812" s="344"/>
    </row>
    <row r="813" spans="1:13" ht="12.75" customHeight="1">
      <c r="A813" s="212"/>
      <c r="B813" s="212"/>
      <c r="C813" s="212"/>
      <c r="D813" s="212"/>
      <c r="E813" s="212"/>
      <c r="F813" s="212"/>
      <c r="G813" s="212"/>
      <c r="H813" s="212"/>
      <c r="J813" s="212"/>
      <c r="K813" s="212"/>
      <c r="M813" s="344"/>
    </row>
    <row r="814" spans="1:13" ht="12.75" customHeight="1">
      <c r="A814" s="212"/>
      <c r="B814" s="212"/>
      <c r="C814" s="212"/>
      <c r="D814" s="212"/>
      <c r="E814" s="212"/>
      <c r="F814" s="212"/>
      <c r="G814" s="212"/>
      <c r="H814" s="212"/>
      <c r="J814" s="212"/>
      <c r="K814" s="212"/>
      <c r="M814" s="344"/>
    </row>
    <row r="815" spans="1:13" ht="12.75" customHeight="1">
      <c r="A815" s="212"/>
      <c r="B815" s="212"/>
      <c r="C815" s="212"/>
      <c r="D815" s="212"/>
      <c r="E815" s="212"/>
      <c r="F815" s="212"/>
      <c r="G815" s="212"/>
      <c r="H815" s="212"/>
      <c r="J815" s="212"/>
      <c r="K815" s="212"/>
      <c r="M815" s="344"/>
    </row>
    <row r="816" spans="1:13" ht="12.75" customHeight="1">
      <c r="A816" s="212"/>
      <c r="B816" s="212"/>
      <c r="C816" s="212"/>
      <c r="D816" s="212"/>
      <c r="E816" s="212"/>
      <c r="F816" s="212"/>
      <c r="G816" s="212"/>
      <c r="H816" s="212"/>
      <c r="J816" s="212"/>
      <c r="K816" s="212"/>
      <c r="M816" s="344"/>
    </row>
    <row r="817" spans="1:13" ht="12.75" customHeight="1">
      <c r="A817" s="212"/>
      <c r="B817" s="212"/>
      <c r="C817" s="212"/>
      <c r="D817" s="212"/>
      <c r="E817" s="212"/>
      <c r="F817" s="212"/>
      <c r="G817" s="212"/>
      <c r="H817" s="212"/>
      <c r="J817" s="212"/>
      <c r="K817" s="212"/>
      <c r="M817" s="344"/>
    </row>
    <row r="818" spans="1:13" ht="12.75" customHeight="1">
      <c r="A818" s="212"/>
      <c r="B818" s="212"/>
      <c r="C818" s="212"/>
      <c r="D818" s="212"/>
      <c r="E818" s="212"/>
      <c r="F818" s="212"/>
      <c r="G818" s="212"/>
      <c r="H818" s="212"/>
      <c r="J818" s="212"/>
      <c r="K818" s="212"/>
      <c r="M818" s="344"/>
    </row>
    <row r="819" spans="1:13" ht="12.75" customHeight="1">
      <c r="A819" s="212"/>
      <c r="B819" s="212"/>
      <c r="C819" s="212"/>
      <c r="D819" s="212"/>
      <c r="E819" s="212"/>
      <c r="F819" s="212"/>
      <c r="G819" s="212"/>
      <c r="H819" s="212"/>
      <c r="J819" s="212"/>
      <c r="K819" s="212"/>
      <c r="M819" s="344"/>
    </row>
    <row r="820" spans="1:13" ht="12.75" customHeight="1">
      <c r="A820" s="212"/>
      <c r="B820" s="212"/>
      <c r="C820" s="212"/>
      <c r="D820" s="212"/>
      <c r="E820" s="212"/>
      <c r="F820" s="212"/>
      <c r="G820" s="212"/>
      <c r="H820" s="212"/>
      <c r="J820" s="212"/>
      <c r="K820" s="212"/>
      <c r="M820" s="344"/>
    </row>
    <row r="821" spans="1:13" ht="12.75" customHeight="1">
      <c r="A821" s="212"/>
      <c r="B821" s="212"/>
      <c r="C821" s="212"/>
      <c r="D821" s="212"/>
      <c r="E821" s="212"/>
      <c r="F821" s="212"/>
      <c r="G821" s="212"/>
      <c r="H821" s="212"/>
      <c r="J821" s="212"/>
      <c r="K821" s="212"/>
      <c r="M821" s="344"/>
    </row>
    <row r="822" spans="1:13" ht="12.75" customHeight="1">
      <c r="A822" s="212"/>
      <c r="B822" s="212"/>
      <c r="C822" s="212"/>
      <c r="D822" s="212"/>
      <c r="E822" s="212"/>
      <c r="F822" s="212"/>
      <c r="G822" s="212"/>
      <c r="H822" s="212"/>
      <c r="J822" s="212"/>
      <c r="K822" s="212"/>
      <c r="M822" s="344"/>
    </row>
    <row r="823" spans="1:13" ht="12.75" customHeight="1">
      <c r="A823" s="212"/>
      <c r="B823" s="212"/>
      <c r="C823" s="212"/>
      <c r="D823" s="212"/>
      <c r="E823" s="212"/>
      <c r="F823" s="212"/>
      <c r="G823" s="212"/>
      <c r="H823" s="212"/>
      <c r="J823" s="212"/>
      <c r="K823" s="212"/>
      <c r="M823" s="344"/>
    </row>
    <row r="824" spans="1:13" ht="12.75" customHeight="1">
      <c r="A824" s="212"/>
      <c r="B824" s="212"/>
      <c r="C824" s="212"/>
      <c r="D824" s="212"/>
      <c r="E824" s="212"/>
      <c r="F824" s="212"/>
      <c r="G824" s="212"/>
      <c r="H824" s="212"/>
      <c r="J824" s="212"/>
      <c r="K824" s="212"/>
      <c r="M824" s="344"/>
    </row>
    <row r="825" spans="1:13" ht="12.75" customHeight="1">
      <c r="A825" s="212"/>
      <c r="B825" s="212"/>
      <c r="C825" s="212"/>
      <c r="D825" s="212"/>
      <c r="E825" s="212"/>
      <c r="F825" s="212"/>
      <c r="G825" s="212"/>
      <c r="H825" s="212"/>
      <c r="J825" s="212"/>
      <c r="K825" s="212"/>
      <c r="M825" s="344"/>
    </row>
    <row r="826" spans="1:13" ht="12.75" customHeight="1">
      <c r="A826" s="212"/>
      <c r="B826" s="212"/>
      <c r="C826" s="212"/>
      <c r="D826" s="212"/>
      <c r="E826" s="212"/>
      <c r="F826" s="212"/>
      <c r="G826" s="212"/>
      <c r="H826" s="212"/>
      <c r="J826" s="212"/>
      <c r="K826" s="212"/>
      <c r="M826" s="344"/>
    </row>
    <row r="827" spans="1:13" ht="12.75" customHeight="1">
      <c r="A827" s="212"/>
      <c r="B827" s="212"/>
      <c r="C827" s="212"/>
      <c r="D827" s="212"/>
      <c r="E827" s="212"/>
      <c r="F827" s="212"/>
      <c r="G827" s="212"/>
      <c r="H827" s="212"/>
      <c r="J827" s="212"/>
      <c r="K827" s="212"/>
      <c r="M827" s="344"/>
    </row>
    <row r="828" spans="1:13" ht="12.75" customHeight="1">
      <c r="A828" s="212"/>
      <c r="B828" s="212"/>
      <c r="C828" s="212"/>
      <c r="D828" s="212"/>
      <c r="E828" s="212"/>
      <c r="F828" s="212"/>
      <c r="G828" s="212"/>
      <c r="H828" s="212"/>
      <c r="J828" s="212"/>
      <c r="K828" s="212"/>
      <c r="M828" s="344"/>
    </row>
    <row r="829" spans="1:13" ht="12.75" customHeight="1">
      <c r="A829" s="212"/>
      <c r="B829" s="212"/>
      <c r="C829" s="212"/>
      <c r="D829" s="212"/>
      <c r="E829" s="212"/>
      <c r="F829" s="212"/>
      <c r="G829" s="212"/>
      <c r="H829" s="212"/>
      <c r="J829" s="212"/>
      <c r="K829" s="212"/>
      <c r="M829" s="344"/>
    </row>
    <row r="830" spans="1:13" ht="12.75" customHeight="1">
      <c r="A830" s="212"/>
      <c r="B830" s="212"/>
      <c r="C830" s="212"/>
      <c r="D830" s="212"/>
      <c r="E830" s="212"/>
      <c r="F830" s="212"/>
      <c r="G830" s="212"/>
      <c r="H830" s="212"/>
      <c r="J830" s="212"/>
      <c r="K830" s="212"/>
      <c r="M830" s="344"/>
    </row>
    <row r="831" spans="1:13" ht="12.75" customHeight="1">
      <c r="A831" s="212"/>
      <c r="B831" s="212"/>
      <c r="C831" s="212"/>
      <c r="D831" s="212"/>
      <c r="E831" s="212"/>
      <c r="F831" s="212"/>
      <c r="G831" s="212"/>
      <c r="H831" s="212"/>
      <c r="J831" s="212"/>
      <c r="K831" s="212"/>
      <c r="M831" s="344"/>
    </row>
    <row r="832" spans="1:13" ht="12.75" customHeight="1">
      <c r="A832" s="212"/>
      <c r="B832" s="212"/>
      <c r="C832" s="212"/>
      <c r="D832" s="212"/>
      <c r="E832" s="212"/>
      <c r="F832" s="212"/>
      <c r="G832" s="212"/>
      <c r="H832" s="212"/>
      <c r="J832" s="212"/>
      <c r="K832" s="212"/>
      <c r="M832" s="344"/>
    </row>
    <row r="833" spans="1:13" ht="12.75" customHeight="1">
      <c r="A833" s="212"/>
      <c r="B833" s="212"/>
      <c r="C833" s="212"/>
      <c r="D833" s="212"/>
      <c r="E833" s="212"/>
      <c r="F833" s="212"/>
      <c r="G833" s="212"/>
      <c r="H833" s="212"/>
      <c r="J833" s="212"/>
      <c r="K833" s="212"/>
      <c r="M833" s="344"/>
    </row>
    <row r="834" spans="1:13" ht="12.75" customHeight="1">
      <c r="A834" s="212"/>
      <c r="B834" s="212"/>
      <c r="C834" s="212"/>
      <c r="D834" s="212"/>
      <c r="E834" s="212"/>
      <c r="F834" s="212"/>
      <c r="G834" s="212"/>
      <c r="H834" s="212"/>
      <c r="J834" s="212"/>
      <c r="K834" s="212"/>
      <c r="M834" s="344"/>
    </row>
    <row r="835" spans="1:13" ht="12.75" customHeight="1">
      <c r="A835" s="212"/>
      <c r="B835" s="212"/>
      <c r="C835" s="212"/>
      <c r="D835" s="212"/>
      <c r="E835" s="212"/>
      <c r="F835" s="212"/>
      <c r="G835" s="212"/>
      <c r="H835" s="212"/>
      <c r="J835" s="212"/>
      <c r="K835" s="212"/>
      <c r="M835" s="344"/>
    </row>
    <row r="836" spans="1:13" ht="12.75" customHeight="1">
      <c r="A836" s="212"/>
      <c r="B836" s="212"/>
      <c r="C836" s="212"/>
      <c r="D836" s="212"/>
      <c r="E836" s="212"/>
      <c r="F836" s="212"/>
      <c r="G836" s="212"/>
      <c r="H836" s="212"/>
      <c r="J836" s="212"/>
      <c r="K836" s="212"/>
      <c r="M836" s="344"/>
    </row>
    <row r="837" spans="1:13" ht="12.75" customHeight="1">
      <c r="A837" s="212"/>
      <c r="B837" s="212"/>
      <c r="C837" s="212"/>
      <c r="D837" s="212"/>
      <c r="E837" s="212"/>
      <c r="F837" s="212"/>
      <c r="G837" s="212"/>
      <c r="H837" s="212"/>
      <c r="J837" s="212"/>
      <c r="K837" s="212"/>
      <c r="M837" s="344"/>
    </row>
    <row r="838" spans="1:13" ht="12.75" customHeight="1">
      <c r="A838" s="212"/>
      <c r="B838" s="212"/>
      <c r="C838" s="212"/>
      <c r="D838" s="212"/>
      <c r="E838" s="212"/>
      <c r="F838" s="212"/>
      <c r="G838" s="212"/>
      <c r="H838" s="212"/>
      <c r="J838" s="212"/>
      <c r="K838" s="212"/>
      <c r="M838" s="344"/>
    </row>
    <row r="839" spans="1:13" ht="12.75" customHeight="1">
      <c r="A839" s="212"/>
      <c r="B839" s="212"/>
      <c r="C839" s="212"/>
      <c r="D839" s="212"/>
      <c r="E839" s="212"/>
      <c r="F839" s="212"/>
      <c r="G839" s="212"/>
      <c r="H839" s="212"/>
      <c r="J839" s="212"/>
      <c r="K839" s="212"/>
      <c r="M839" s="344"/>
    </row>
    <row r="840" spans="1:13" ht="12.75" customHeight="1">
      <c r="A840" s="212"/>
      <c r="B840" s="212"/>
      <c r="C840" s="212"/>
      <c r="D840" s="212"/>
      <c r="E840" s="212"/>
      <c r="F840" s="212"/>
      <c r="G840" s="212"/>
      <c r="H840" s="212"/>
      <c r="J840" s="212"/>
      <c r="K840" s="212"/>
      <c r="M840" s="344"/>
    </row>
    <row r="841" spans="1:13" ht="12.75" customHeight="1">
      <c r="A841" s="212"/>
      <c r="B841" s="212"/>
      <c r="C841" s="212"/>
      <c r="D841" s="212"/>
      <c r="E841" s="212"/>
      <c r="F841" s="212"/>
      <c r="G841" s="212"/>
      <c r="H841" s="212"/>
      <c r="J841" s="212"/>
      <c r="K841" s="212"/>
      <c r="M841" s="344"/>
    </row>
    <row r="842" spans="1:13" ht="12.75" customHeight="1">
      <c r="A842" s="212"/>
      <c r="B842" s="212"/>
      <c r="C842" s="212"/>
      <c r="D842" s="212"/>
      <c r="E842" s="212"/>
      <c r="F842" s="212"/>
      <c r="G842" s="212"/>
      <c r="H842" s="212"/>
      <c r="J842" s="212"/>
      <c r="K842" s="212"/>
      <c r="M842" s="344"/>
    </row>
    <row r="843" spans="1:13" ht="12.75" customHeight="1">
      <c r="A843" s="212"/>
      <c r="B843" s="212"/>
      <c r="C843" s="212"/>
      <c r="D843" s="212"/>
      <c r="E843" s="212"/>
      <c r="F843" s="212"/>
      <c r="G843" s="212"/>
      <c r="H843" s="212"/>
      <c r="J843" s="212"/>
      <c r="K843" s="212"/>
      <c r="M843" s="344"/>
    </row>
    <row r="844" spans="1:13" ht="12.75" customHeight="1">
      <c r="A844" s="212"/>
      <c r="B844" s="212"/>
      <c r="C844" s="212"/>
      <c r="D844" s="212"/>
      <c r="E844" s="212"/>
      <c r="F844" s="212"/>
      <c r="G844" s="212"/>
      <c r="H844" s="212"/>
      <c r="J844" s="212"/>
      <c r="K844" s="212"/>
      <c r="M844" s="344"/>
    </row>
    <row r="845" spans="1:13" ht="12.75" customHeight="1">
      <c r="A845" s="212"/>
      <c r="B845" s="212"/>
      <c r="C845" s="212"/>
      <c r="D845" s="212"/>
      <c r="E845" s="212"/>
      <c r="F845" s="212"/>
      <c r="G845" s="212"/>
      <c r="H845" s="212"/>
      <c r="J845" s="212"/>
      <c r="K845" s="212"/>
      <c r="M845" s="344"/>
    </row>
    <row r="846" spans="1:13" ht="12.75" customHeight="1">
      <c r="A846" s="212"/>
      <c r="B846" s="212"/>
      <c r="C846" s="212"/>
      <c r="D846" s="212"/>
      <c r="E846" s="212"/>
      <c r="F846" s="212"/>
      <c r="G846" s="212"/>
      <c r="H846" s="212"/>
      <c r="J846" s="212"/>
      <c r="K846" s="212"/>
      <c r="M846" s="344"/>
    </row>
    <row r="847" spans="1:13" ht="12.75" customHeight="1">
      <c r="A847" s="212"/>
      <c r="B847" s="212"/>
      <c r="C847" s="212"/>
      <c r="D847" s="212"/>
      <c r="E847" s="212"/>
      <c r="F847" s="212"/>
      <c r="G847" s="212"/>
      <c r="H847" s="212"/>
      <c r="J847" s="212"/>
      <c r="K847" s="212"/>
      <c r="M847" s="344"/>
    </row>
    <row r="848" spans="1:13" ht="12.75" customHeight="1">
      <c r="A848" s="212"/>
      <c r="B848" s="212"/>
      <c r="C848" s="212"/>
      <c r="D848" s="212"/>
      <c r="E848" s="212"/>
      <c r="F848" s="212"/>
      <c r="G848" s="212"/>
      <c r="H848" s="212"/>
      <c r="J848" s="212"/>
      <c r="K848" s="212"/>
      <c r="M848" s="344"/>
    </row>
    <row r="849" spans="1:13" ht="12.75" customHeight="1">
      <c r="A849" s="212"/>
      <c r="B849" s="212"/>
      <c r="C849" s="212"/>
      <c r="D849" s="212"/>
      <c r="E849" s="212"/>
      <c r="F849" s="212"/>
      <c r="G849" s="212"/>
      <c r="H849" s="212"/>
      <c r="J849" s="212"/>
      <c r="K849" s="212"/>
      <c r="M849" s="344"/>
    </row>
    <row r="850" spans="1:13" ht="12.75" customHeight="1">
      <c r="A850" s="212"/>
      <c r="B850" s="212"/>
      <c r="C850" s="212"/>
      <c r="D850" s="212"/>
      <c r="E850" s="212"/>
      <c r="F850" s="212"/>
      <c r="G850" s="212"/>
      <c r="H850" s="212"/>
      <c r="J850" s="212"/>
      <c r="K850" s="212"/>
      <c r="M850" s="344"/>
    </row>
    <row r="851" spans="1:13" ht="12.75" customHeight="1">
      <c r="A851" s="212"/>
      <c r="B851" s="212"/>
      <c r="C851" s="212"/>
      <c r="D851" s="212"/>
      <c r="E851" s="212"/>
      <c r="F851" s="212"/>
      <c r="G851" s="212"/>
      <c r="H851" s="212"/>
      <c r="J851" s="212"/>
      <c r="K851" s="212"/>
      <c r="M851" s="344"/>
    </row>
    <row r="852" spans="1:13" ht="12.75" customHeight="1">
      <c r="A852" s="212"/>
      <c r="B852" s="212"/>
      <c r="C852" s="212"/>
      <c r="D852" s="212"/>
      <c r="E852" s="212"/>
      <c r="F852" s="212"/>
      <c r="G852" s="212"/>
      <c r="H852" s="212"/>
      <c r="J852" s="212"/>
      <c r="K852" s="212"/>
      <c r="M852" s="344"/>
    </row>
    <row r="853" spans="1:13" ht="12.75" customHeight="1">
      <c r="A853" s="212"/>
      <c r="B853" s="212"/>
      <c r="C853" s="212"/>
      <c r="D853" s="212"/>
      <c r="E853" s="212"/>
      <c r="F853" s="212"/>
      <c r="G853" s="212"/>
      <c r="H853" s="212"/>
      <c r="J853" s="212"/>
      <c r="K853" s="212"/>
      <c r="M853" s="344"/>
    </row>
    <row r="854" spans="1:13" ht="12.75" customHeight="1">
      <c r="A854" s="212"/>
      <c r="B854" s="212"/>
      <c r="C854" s="212"/>
      <c r="D854" s="212"/>
      <c r="E854" s="212"/>
      <c r="F854" s="212"/>
      <c r="G854" s="212"/>
      <c r="H854" s="212"/>
      <c r="J854" s="212"/>
      <c r="K854" s="212"/>
      <c r="M854" s="344"/>
    </row>
    <row r="855" spans="1:13" ht="12.75" customHeight="1">
      <c r="A855" s="212"/>
      <c r="B855" s="212"/>
      <c r="C855" s="212"/>
      <c r="D855" s="212"/>
      <c r="E855" s="212"/>
      <c r="F855" s="212"/>
      <c r="G855" s="212"/>
      <c r="H855" s="212"/>
      <c r="J855" s="212"/>
      <c r="K855" s="212"/>
      <c r="M855" s="344"/>
    </row>
    <row r="856" spans="1:13" ht="12.75" customHeight="1">
      <c r="A856" s="212"/>
      <c r="B856" s="212"/>
      <c r="C856" s="212"/>
      <c r="D856" s="212"/>
      <c r="E856" s="212"/>
      <c r="F856" s="212"/>
      <c r="G856" s="212"/>
      <c r="H856" s="212"/>
      <c r="J856" s="212"/>
      <c r="K856" s="212"/>
      <c r="M856" s="344"/>
    </row>
    <row r="857" spans="1:13" ht="12.75" customHeight="1">
      <c r="A857" s="212"/>
      <c r="B857" s="212"/>
      <c r="C857" s="212"/>
      <c r="D857" s="212"/>
      <c r="E857" s="212"/>
      <c r="F857" s="212"/>
      <c r="G857" s="212"/>
      <c r="H857" s="212"/>
      <c r="J857" s="212"/>
      <c r="K857" s="212"/>
      <c r="M857" s="344"/>
    </row>
    <row r="858" spans="1:13" ht="12.75" customHeight="1">
      <c r="A858" s="212"/>
      <c r="B858" s="212"/>
      <c r="C858" s="212"/>
      <c r="D858" s="212"/>
      <c r="E858" s="212"/>
      <c r="F858" s="212"/>
      <c r="G858" s="212"/>
      <c r="H858" s="212"/>
      <c r="J858" s="212"/>
      <c r="K858" s="212"/>
      <c r="M858" s="344"/>
    </row>
    <row r="859" spans="1:13" ht="12.75" customHeight="1">
      <c r="A859" s="212"/>
      <c r="B859" s="212"/>
      <c r="C859" s="212"/>
      <c r="D859" s="212"/>
      <c r="E859" s="212"/>
      <c r="F859" s="212"/>
      <c r="G859" s="212"/>
      <c r="H859" s="212"/>
      <c r="J859" s="212"/>
      <c r="K859" s="212"/>
      <c r="M859" s="344"/>
    </row>
    <row r="860" spans="1:13" ht="12.75" customHeight="1">
      <c r="A860" s="212"/>
      <c r="B860" s="212"/>
      <c r="C860" s="212"/>
      <c r="D860" s="212"/>
      <c r="E860" s="212"/>
      <c r="F860" s="212"/>
      <c r="G860" s="212"/>
      <c r="H860" s="212"/>
      <c r="J860" s="212"/>
      <c r="K860" s="212"/>
      <c r="M860" s="344"/>
    </row>
    <row r="861" spans="1:13" ht="12.75" customHeight="1">
      <c r="A861" s="212"/>
      <c r="B861" s="212"/>
      <c r="C861" s="212"/>
      <c r="D861" s="212"/>
      <c r="E861" s="212"/>
      <c r="F861" s="212"/>
      <c r="G861" s="212"/>
      <c r="H861" s="212"/>
      <c r="J861" s="212"/>
      <c r="K861" s="212"/>
      <c r="M861" s="344"/>
    </row>
    <row r="862" spans="1:13" ht="12.75" customHeight="1">
      <c r="A862" s="212"/>
      <c r="B862" s="212"/>
      <c r="C862" s="212"/>
      <c r="D862" s="212"/>
      <c r="E862" s="212"/>
      <c r="F862" s="212"/>
      <c r="G862" s="212"/>
      <c r="H862" s="212"/>
      <c r="J862" s="212"/>
      <c r="K862" s="212"/>
      <c r="M862" s="344"/>
    </row>
    <row r="863" spans="1:13" ht="12.75" customHeight="1">
      <c r="A863" s="212"/>
      <c r="B863" s="212"/>
      <c r="C863" s="212"/>
      <c r="D863" s="212"/>
      <c r="E863" s="212"/>
      <c r="F863" s="212"/>
      <c r="G863" s="212"/>
      <c r="H863" s="212"/>
      <c r="J863" s="212"/>
      <c r="K863" s="212"/>
      <c r="M863" s="344"/>
    </row>
    <row r="864" spans="1:13" ht="12.75" customHeight="1">
      <c r="A864" s="212"/>
      <c r="B864" s="212"/>
      <c r="C864" s="212"/>
      <c r="D864" s="212"/>
      <c r="E864" s="212"/>
      <c r="F864" s="212"/>
      <c r="G864" s="212"/>
      <c r="H864" s="212"/>
      <c r="J864" s="212"/>
      <c r="K864" s="212"/>
      <c r="M864" s="344"/>
    </row>
    <row r="865" spans="1:13" ht="12.75" customHeight="1">
      <c r="A865" s="212"/>
      <c r="B865" s="212"/>
      <c r="C865" s="212"/>
      <c r="D865" s="212"/>
      <c r="E865" s="212"/>
      <c r="F865" s="212"/>
      <c r="G865" s="212"/>
      <c r="H865" s="212"/>
      <c r="J865" s="212"/>
      <c r="K865" s="212"/>
      <c r="M865" s="344"/>
    </row>
    <row r="866" spans="1:13" ht="12.75" customHeight="1">
      <c r="A866" s="212"/>
      <c r="B866" s="212"/>
      <c r="C866" s="212"/>
      <c r="D866" s="212"/>
      <c r="E866" s="212"/>
      <c r="F866" s="212"/>
      <c r="G866" s="212"/>
      <c r="H866" s="212"/>
      <c r="J866" s="212"/>
      <c r="K866" s="212"/>
      <c r="M866" s="344"/>
    </row>
    <row r="867" spans="1:13" ht="12.75" customHeight="1">
      <c r="A867" s="212"/>
      <c r="B867" s="212"/>
      <c r="C867" s="212"/>
      <c r="D867" s="212"/>
      <c r="E867" s="212"/>
      <c r="F867" s="212"/>
      <c r="G867" s="212"/>
      <c r="H867" s="212"/>
      <c r="J867" s="212"/>
      <c r="K867" s="212"/>
      <c r="M867" s="344"/>
    </row>
    <row r="868" spans="1:13" ht="12.75" customHeight="1">
      <c r="A868" s="212"/>
      <c r="B868" s="212"/>
      <c r="C868" s="212"/>
      <c r="D868" s="212"/>
      <c r="E868" s="212"/>
      <c r="F868" s="212"/>
      <c r="G868" s="212"/>
      <c r="H868" s="212"/>
      <c r="J868" s="212"/>
      <c r="K868" s="212"/>
      <c r="M868" s="344"/>
    </row>
    <row r="869" spans="1:13" ht="12.75" customHeight="1">
      <c r="A869" s="212"/>
      <c r="B869" s="212"/>
      <c r="C869" s="212"/>
      <c r="D869" s="212"/>
      <c r="E869" s="212"/>
      <c r="F869" s="212"/>
      <c r="G869" s="212"/>
      <c r="H869" s="212"/>
      <c r="J869" s="212"/>
      <c r="K869" s="212"/>
      <c r="M869" s="344"/>
    </row>
    <row r="870" spans="1:13" ht="12.75" customHeight="1">
      <c r="A870" s="212"/>
      <c r="B870" s="212"/>
      <c r="C870" s="212"/>
      <c r="D870" s="212"/>
      <c r="E870" s="212"/>
      <c r="F870" s="212"/>
      <c r="G870" s="212"/>
      <c r="H870" s="212"/>
      <c r="J870" s="212"/>
      <c r="K870" s="212"/>
      <c r="M870" s="344"/>
    </row>
    <row r="871" spans="1:13" ht="12.75" customHeight="1">
      <c r="A871" s="212"/>
      <c r="B871" s="212"/>
      <c r="C871" s="212"/>
      <c r="D871" s="212"/>
      <c r="E871" s="212"/>
      <c r="F871" s="212"/>
      <c r="G871" s="212"/>
      <c r="H871" s="212"/>
      <c r="J871" s="212"/>
      <c r="K871" s="212"/>
      <c r="M871" s="344"/>
    </row>
    <row r="872" spans="1:13" ht="12.75" customHeight="1">
      <c r="A872" s="212"/>
      <c r="B872" s="212"/>
      <c r="C872" s="212"/>
      <c r="D872" s="212"/>
      <c r="E872" s="212"/>
      <c r="F872" s="212"/>
      <c r="G872" s="212"/>
      <c r="H872" s="212"/>
      <c r="J872" s="212"/>
      <c r="K872" s="212"/>
      <c r="M872" s="344"/>
    </row>
    <row r="873" spans="1:13" ht="12.75" customHeight="1">
      <c r="A873" s="212"/>
      <c r="B873" s="212"/>
      <c r="C873" s="212"/>
      <c r="D873" s="212"/>
      <c r="E873" s="212"/>
      <c r="F873" s="212"/>
      <c r="G873" s="212"/>
      <c r="H873" s="212"/>
      <c r="J873" s="212"/>
      <c r="K873" s="212"/>
      <c r="M873" s="344"/>
    </row>
    <row r="874" spans="1:13" ht="12.75" customHeight="1">
      <c r="A874" s="212"/>
      <c r="B874" s="212"/>
      <c r="C874" s="212"/>
      <c r="D874" s="212"/>
      <c r="E874" s="212"/>
      <c r="F874" s="212"/>
      <c r="G874" s="212"/>
      <c r="H874" s="212"/>
      <c r="J874" s="212"/>
      <c r="K874" s="212"/>
      <c r="M874" s="344"/>
    </row>
    <row r="875" spans="1:13" ht="12.75" customHeight="1">
      <c r="A875" s="212"/>
      <c r="B875" s="212"/>
      <c r="C875" s="212"/>
      <c r="D875" s="212"/>
      <c r="E875" s="212"/>
      <c r="F875" s="212"/>
      <c r="G875" s="212"/>
      <c r="H875" s="212"/>
      <c r="J875" s="212"/>
      <c r="K875" s="212"/>
      <c r="M875" s="344"/>
    </row>
    <row r="876" spans="1:13" ht="12.75" customHeight="1">
      <c r="A876" s="212"/>
      <c r="B876" s="212"/>
      <c r="C876" s="212"/>
      <c r="D876" s="212"/>
      <c r="E876" s="212"/>
      <c r="F876" s="212"/>
      <c r="G876" s="212"/>
      <c r="H876" s="212"/>
      <c r="J876" s="212"/>
      <c r="K876" s="212"/>
      <c r="M876" s="344"/>
    </row>
    <row r="877" spans="1:13" ht="12.75" customHeight="1">
      <c r="A877" s="212"/>
      <c r="B877" s="212"/>
      <c r="C877" s="212"/>
      <c r="D877" s="212"/>
      <c r="E877" s="212"/>
      <c r="F877" s="212"/>
      <c r="G877" s="212"/>
      <c r="H877" s="212"/>
      <c r="J877" s="212"/>
      <c r="K877" s="212"/>
      <c r="M877" s="344"/>
    </row>
    <row r="878" spans="1:13" ht="12.75" customHeight="1">
      <c r="A878" s="212"/>
      <c r="B878" s="212"/>
      <c r="C878" s="212"/>
      <c r="D878" s="212"/>
      <c r="E878" s="212"/>
      <c r="F878" s="212"/>
      <c r="G878" s="212"/>
      <c r="H878" s="212"/>
      <c r="J878" s="212"/>
      <c r="K878" s="212"/>
      <c r="M878" s="344"/>
    </row>
    <row r="879" spans="1:13" ht="12.75" customHeight="1">
      <c r="A879" s="212"/>
      <c r="B879" s="212"/>
      <c r="C879" s="212"/>
      <c r="D879" s="212"/>
      <c r="E879" s="212"/>
      <c r="F879" s="212"/>
      <c r="G879" s="212"/>
      <c r="H879" s="212"/>
      <c r="J879" s="212"/>
      <c r="K879" s="212"/>
      <c r="M879" s="344"/>
    </row>
    <row r="880" spans="1:13" ht="12.75" customHeight="1">
      <c r="A880" s="212"/>
      <c r="B880" s="212"/>
      <c r="C880" s="212"/>
      <c r="D880" s="212"/>
      <c r="E880" s="212"/>
      <c r="F880" s="212"/>
      <c r="G880" s="212"/>
      <c r="H880" s="212"/>
      <c r="J880" s="212"/>
      <c r="K880" s="212"/>
      <c r="M880" s="344"/>
    </row>
    <row r="881" spans="1:13" ht="12.75" customHeight="1">
      <c r="A881" s="212"/>
      <c r="B881" s="212"/>
      <c r="C881" s="212"/>
      <c r="D881" s="212"/>
      <c r="E881" s="212"/>
      <c r="F881" s="212"/>
      <c r="G881" s="212"/>
      <c r="H881" s="212"/>
      <c r="J881" s="212"/>
      <c r="K881" s="212"/>
      <c r="M881" s="344"/>
    </row>
    <row r="882" spans="1:13" ht="12.75" customHeight="1">
      <c r="A882" s="212"/>
      <c r="B882" s="212"/>
      <c r="C882" s="212"/>
      <c r="D882" s="212"/>
      <c r="E882" s="212"/>
      <c r="F882" s="212"/>
      <c r="G882" s="212"/>
      <c r="H882" s="212"/>
      <c r="J882" s="212"/>
      <c r="K882" s="212"/>
      <c r="M882" s="344"/>
    </row>
    <row r="883" spans="1:13" ht="12.75" customHeight="1">
      <c r="A883" s="212"/>
      <c r="B883" s="212"/>
      <c r="C883" s="212"/>
      <c r="D883" s="212"/>
      <c r="E883" s="212"/>
      <c r="F883" s="212"/>
      <c r="G883" s="212"/>
      <c r="H883" s="212"/>
      <c r="J883" s="212"/>
      <c r="K883" s="212"/>
      <c r="M883" s="344"/>
    </row>
    <row r="884" spans="1:13" ht="12.75" customHeight="1">
      <c r="A884" s="212"/>
      <c r="B884" s="212"/>
      <c r="C884" s="212"/>
      <c r="D884" s="212"/>
      <c r="E884" s="212"/>
      <c r="F884" s="212"/>
      <c r="G884" s="212"/>
      <c r="H884" s="212"/>
      <c r="J884" s="212"/>
      <c r="K884" s="212"/>
      <c r="M884" s="344"/>
    </row>
    <row r="885" spans="1:13" ht="12.75" customHeight="1">
      <c r="A885" s="212"/>
      <c r="B885" s="212"/>
      <c r="C885" s="212"/>
      <c r="D885" s="212"/>
      <c r="E885" s="212"/>
      <c r="F885" s="212"/>
      <c r="G885" s="212"/>
      <c r="H885" s="212"/>
      <c r="J885" s="212"/>
      <c r="K885" s="212"/>
      <c r="M885" s="344"/>
    </row>
    <row r="886" spans="1:13" ht="12.75" customHeight="1">
      <c r="A886" s="212"/>
      <c r="B886" s="212"/>
      <c r="C886" s="212"/>
      <c r="D886" s="212"/>
      <c r="E886" s="212"/>
      <c r="F886" s="212"/>
      <c r="G886" s="212"/>
      <c r="H886" s="212"/>
      <c r="J886" s="212"/>
      <c r="K886" s="212"/>
      <c r="M886" s="344"/>
    </row>
    <row r="887" spans="1:13" ht="12.75" customHeight="1">
      <c r="A887" s="212"/>
      <c r="B887" s="212"/>
      <c r="C887" s="212"/>
      <c r="D887" s="212"/>
      <c r="E887" s="212"/>
      <c r="F887" s="212"/>
      <c r="G887" s="212"/>
      <c r="H887" s="212"/>
      <c r="J887" s="212"/>
      <c r="K887" s="212"/>
      <c r="M887" s="344"/>
    </row>
    <row r="888" spans="1:13" ht="12.75" customHeight="1">
      <c r="A888" s="212"/>
      <c r="B888" s="212"/>
      <c r="C888" s="212"/>
      <c r="D888" s="212"/>
      <c r="E888" s="212"/>
      <c r="F888" s="212"/>
      <c r="G888" s="212"/>
      <c r="H888" s="212"/>
      <c r="J888" s="212"/>
      <c r="K888" s="212"/>
      <c r="M888" s="344"/>
    </row>
    <row r="889" spans="1:13" ht="12.75" customHeight="1">
      <c r="A889" s="212"/>
      <c r="B889" s="212"/>
      <c r="C889" s="212"/>
      <c r="D889" s="212"/>
      <c r="E889" s="212"/>
      <c r="F889" s="212"/>
      <c r="G889" s="212"/>
      <c r="H889" s="212"/>
      <c r="J889" s="212"/>
      <c r="K889" s="212"/>
      <c r="M889" s="344"/>
    </row>
    <row r="890" spans="1:13" ht="12.75" customHeight="1">
      <c r="A890" s="212"/>
      <c r="B890" s="212"/>
      <c r="C890" s="212"/>
      <c r="D890" s="212"/>
      <c r="E890" s="212"/>
      <c r="F890" s="212"/>
      <c r="G890" s="212"/>
      <c r="H890" s="212"/>
      <c r="J890" s="212"/>
      <c r="K890" s="212"/>
      <c r="M890" s="344"/>
    </row>
    <row r="891" spans="1:13" ht="12.75" customHeight="1">
      <c r="A891" s="212"/>
      <c r="B891" s="212"/>
      <c r="C891" s="212"/>
      <c r="D891" s="212"/>
      <c r="E891" s="212"/>
      <c r="F891" s="212"/>
      <c r="G891" s="212"/>
      <c r="H891" s="212"/>
      <c r="J891" s="212"/>
      <c r="K891" s="212"/>
      <c r="M891" s="344"/>
    </row>
    <row r="892" spans="1:13" ht="12.75" customHeight="1">
      <c r="A892" s="212"/>
      <c r="B892" s="212"/>
      <c r="C892" s="212"/>
      <c r="D892" s="212"/>
      <c r="E892" s="212"/>
      <c r="F892" s="212"/>
      <c r="G892" s="212"/>
      <c r="H892" s="212"/>
      <c r="J892" s="212"/>
      <c r="K892" s="212"/>
      <c r="M892" s="344"/>
    </row>
    <row r="893" spans="1:13" ht="12.75" customHeight="1">
      <c r="A893" s="212"/>
      <c r="B893" s="212"/>
      <c r="C893" s="212"/>
      <c r="D893" s="212"/>
      <c r="E893" s="212"/>
      <c r="F893" s="212"/>
      <c r="G893" s="212"/>
      <c r="H893" s="212"/>
      <c r="J893" s="212"/>
      <c r="K893" s="212"/>
      <c r="M893" s="344"/>
    </row>
    <row r="894" spans="1:13" ht="12.75" customHeight="1">
      <c r="A894" s="212"/>
      <c r="B894" s="212"/>
      <c r="C894" s="212"/>
      <c r="D894" s="212"/>
      <c r="E894" s="212"/>
      <c r="F894" s="212"/>
      <c r="G894" s="212"/>
      <c r="H894" s="212"/>
      <c r="J894" s="212"/>
      <c r="K894" s="212"/>
      <c r="M894" s="344"/>
    </row>
    <row r="895" spans="1:13" ht="12.75" customHeight="1">
      <c r="A895" s="212"/>
      <c r="B895" s="212"/>
      <c r="C895" s="212"/>
      <c r="D895" s="212"/>
      <c r="E895" s="212"/>
      <c r="F895" s="212"/>
      <c r="G895" s="212"/>
      <c r="H895" s="212"/>
      <c r="J895" s="212"/>
      <c r="K895" s="212"/>
      <c r="M895" s="344"/>
    </row>
    <row r="896" spans="1:13" ht="12.75" customHeight="1">
      <c r="A896" s="212"/>
      <c r="B896" s="212"/>
      <c r="C896" s="212"/>
      <c r="D896" s="212"/>
      <c r="E896" s="212"/>
      <c r="F896" s="212"/>
      <c r="G896" s="212"/>
      <c r="H896" s="212"/>
      <c r="J896" s="212"/>
      <c r="K896" s="212"/>
      <c r="M896" s="344"/>
    </row>
    <row r="897" spans="1:13" ht="12.75" customHeight="1">
      <c r="A897" s="212"/>
      <c r="B897" s="212"/>
      <c r="C897" s="212"/>
      <c r="D897" s="212"/>
      <c r="E897" s="212"/>
      <c r="F897" s="212"/>
      <c r="G897" s="212"/>
      <c r="H897" s="212"/>
      <c r="J897" s="212"/>
      <c r="K897" s="212"/>
      <c r="M897" s="344"/>
    </row>
    <row r="898" spans="1:13" ht="12.75" customHeight="1">
      <c r="A898" s="212"/>
      <c r="B898" s="212"/>
      <c r="C898" s="212"/>
      <c r="D898" s="212"/>
      <c r="E898" s="212"/>
      <c r="F898" s="212"/>
      <c r="G898" s="212"/>
      <c r="H898" s="212"/>
      <c r="J898" s="212"/>
      <c r="K898" s="212"/>
      <c r="M898" s="344"/>
    </row>
    <row r="899" spans="1:13" ht="12.75" customHeight="1">
      <c r="A899" s="212"/>
      <c r="B899" s="212"/>
      <c r="C899" s="212"/>
      <c r="D899" s="212"/>
      <c r="E899" s="212"/>
      <c r="F899" s="212"/>
      <c r="G899" s="212"/>
      <c r="H899" s="212"/>
      <c r="J899" s="212"/>
      <c r="K899" s="212"/>
      <c r="M899" s="344"/>
    </row>
    <row r="900" spans="1:13" ht="12.75" customHeight="1">
      <c r="A900" s="212"/>
      <c r="B900" s="212"/>
      <c r="C900" s="212"/>
      <c r="D900" s="212"/>
      <c r="E900" s="212"/>
      <c r="F900" s="212"/>
      <c r="G900" s="212"/>
      <c r="H900" s="212"/>
      <c r="J900" s="212"/>
      <c r="K900" s="212"/>
      <c r="M900" s="344"/>
    </row>
    <row r="901" spans="1:13" ht="12.75" customHeight="1">
      <c r="A901" s="212"/>
      <c r="B901" s="212"/>
      <c r="C901" s="212"/>
      <c r="D901" s="212"/>
      <c r="E901" s="212"/>
      <c r="F901" s="212"/>
      <c r="G901" s="212"/>
      <c r="H901" s="212"/>
      <c r="J901" s="212"/>
      <c r="K901" s="212"/>
      <c r="M901" s="344"/>
    </row>
    <row r="902" spans="1:13" ht="12.75" customHeight="1">
      <c r="A902" s="212"/>
      <c r="B902" s="212"/>
      <c r="C902" s="212"/>
      <c r="D902" s="212"/>
      <c r="E902" s="212"/>
      <c r="F902" s="212"/>
      <c r="G902" s="212"/>
      <c r="H902" s="212"/>
      <c r="J902" s="212"/>
      <c r="K902" s="212"/>
      <c r="M902" s="344"/>
    </row>
    <row r="903" spans="1:13" ht="12.75" customHeight="1">
      <c r="A903" s="212"/>
      <c r="B903" s="212"/>
      <c r="C903" s="212"/>
      <c r="D903" s="212"/>
      <c r="E903" s="212"/>
      <c r="F903" s="212"/>
      <c r="G903" s="212"/>
      <c r="H903" s="212"/>
      <c r="J903" s="212"/>
      <c r="K903" s="212"/>
      <c r="M903" s="344"/>
    </row>
    <row r="904" spans="1:13" ht="12.75" customHeight="1">
      <c r="A904" s="212"/>
      <c r="B904" s="212"/>
      <c r="C904" s="212"/>
      <c r="D904" s="212"/>
      <c r="E904" s="212"/>
      <c r="F904" s="212"/>
      <c r="G904" s="212"/>
      <c r="H904" s="212"/>
      <c r="J904" s="212"/>
      <c r="K904" s="212"/>
      <c r="M904" s="344"/>
    </row>
    <row r="905" spans="1:13" ht="12.75" customHeight="1">
      <c r="A905" s="212"/>
      <c r="B905" s="212"/>
      <c r="C905" s="212"/>
      <c r="D905" s="212"/>
      <c r="E905" s="212"/>
      <c r="F905" s="212"/>
      <c r="G905" s="212"/>
      <c r="H905" s="212"/>
      <c r="J905" s="212"/>
      <c r="K905" s="212"/>
      <c r="M905" s="344"/>
    </row>
    <row r="906" spans="1:13" ht="12.75" customHeight="1">
      <c r="A906" s="212"/>
      <c r="B906" s="212"/>
      <c r="C906" s="212"/>
      <c r="D906" s="212"/>
      <c r="E906" s="212"/>
      <c r="F906" s="212"/>
      <c r="G906" s="212"/>
      <c r="H906" s="212"/>
      <c r="J906" s="212"/>
      <c r="K906" s="212"/>
      <c r="M906" s="344"/>
    </row>
    <row r="907" spans="1:13" ht="12.75" customHeight="1">
      <c r="A907" s="212"/>
      <c r="B907" s="212"/>
      <c r="C907" s="212"/>
      <c r="D907" s="212"/>
      <c r="E907" s="212"/>
      <c r="F907" s="212"/>
      <c r="G907" s="212"/>
      <c r="H907" s="212"/>
      <c r="J907" s="212"/>
      <c r="K907" s="212"/>
      <c r="M907" s="344"/>
    </row>
    <row r="908" spans="1:13" ht="12.75" customHeight="1">
      <c r="A908" s="212"/>
      <c r="B908" s="212"/>
      <c r="C908" s="212"/>
      <c r="D908" s="212"/>
      <c r="E908" s="212"/>
      <c r="F908" s="212"/>
      <c r="G908" s="212"/>
      <c r="H908" s="212"/>
      <c r="J908" s="212"/>
      <c r="K908" s="212"/>
      <c r="M908" s="344"/>
    </row>
    <row r="909" spans="1:13" ht="12.75" customHeight="1">
      <c r="A909" s="212"/>
      <c r="B909" s="212"/>
      <c r="C909" s="212"/>
      <c r="D909" s="212"/>
      <c r="E909" s="212"/>
      <c r="F909" s="212"/>
      <c r="G909" s="212"/>
      <c r="H909" s="212"/>
      <c r="J909" s="212"/>
      <c r="K909" s="212"/>
      <c r="M909" s="344"/>
    </row>
    <row r="910" spans="1:13" ht="12.75" customHeight="1">
      <c r="A910" s="212"/>
      <c r="B910" s="212"/>
      <c r="C910" s="212"/>
      <c r="D910" s="212"/>
      <c r="E910" s="212"/>
      <c r="F910" s="212"/>
      <c r="G910" s="212"/>
      <c r="H910" s="212"/>
      <c r="J910" s="212"/>
      <c r="K910" s="212"/>
      <c r="M910" s="344"/>
    </row>
    <row r="911" spans="1:13" ht="12.75" customHeight="1">
      <c r="A911" s="212"/>
      <c r="B911" s="212"/>
      <c r="C911" s="212"/>
      <c r="D911" s="212"/>
      <c r="E911" s="212"/>
      <c r="F911" s="212"/>
      <c r="G911" s="212"/>
      <c r="H911" s="212"/>
      <c r="J911" s="212"/>
      <c r="K911" s="212"/>
      <c r="M911" s="344"/>
    </row>
    <row r="912" spans="1:13" ht="12.75" customHeight="1">
      <c r="A912" s="212"/>
      <c r="B912" s="212"/>
      <c r="C912" s="212"/>
      <c r="D912" s="212"/>
      <c r="E912" s="212"/>
      <c r="F912" s="212"/>
      <c r="G912" s="212"/>
      <c r="H912" s="212"/>
      <c r="J912" s="212"/>
      <c r="K912" s="212"/>
      <c r="M912" s="344"/>
    </row>
    <row r="913" spans="1:13" ht="12.75" customHeight="1">
      <c r="A913" s="212"/>
      <c r="B913" s="212"/>
      <c r="C913" s="212"/>
      <c r="D913" s="212"/>
      <c r="E913" s="212"/>
      <c r="F913" s="212"/>
      <c r="G913" s="212"/>
      <c r="H913" s="212"/>
      <c r="J913" s="212"/>
      <c r="K913" s="212"/>
      <c r="M913" s="344"/>
    </row>
    <row r="914" spans="1:13" ht="12.75" customHeight="1">
      <c r="A914" s="212"/>
      <c r="B914" s="212"/>
      <c r="C914" s="212"/>
      <c r="D914" s="212"/>
      <c r="E914" s="212"/>
      <c r="F914" s="212"/>
      <c r="G914" s="212"/>
      <c r="H914" s="212"/>
      <c r="J914" s="212"/>
      <c r="K914" s="212"/>
      <c r="M914" s="344"/>
    </row>
    <row r="915" spans="1:13" ht="12.75" customHeight="1">
      <c r="A915" s="212"/>
      <c r="B915" s="212"/>
      <c r="C915" s="212"/>
      <c r="D915" s="212"/>
      <c r="E915" s="212"/>
      <c r="F915" s="212"/>
      <c r="G915" s="212"/>
      <c r="H915" s="212"/>
      <c r="J915" s="212"/>
      <c r="K915" s="212"/>
      <c r="M915" s="344"/>
    </row>
    <row r="916" spans="1:13" ht="12.75" customHeight="1">
      <c r="A916" s="212"/>
      <c r="B916" s="212"/>
      <c r="C916" s="212"/>
      <c r="D916" s="212"/>
      <c r="E916" s="212"/>
      <c r="F916" s="212"/>
      <c r="G916" s="212"/>
      <c r="H916" s="212"/>
      <c r="J916" s="212"/>
      <c r="K916" s="212"/>
      <c r="M916" s="344"/>
    </row>
    <row r="917" spans="1:13" ht="12.75" customHeight="1">
      <c r="A917" s="212"/>
      <c r="B917" s="212"/>
      <c r="C917" s="212"/>
      <c r="D917" s="212"/>
      <c r="E917" s="212"/>
      <c r="F917" s="212"/>
      <c r="G917" s="212"/>
      <c r="H917" s="212"/>
      <c r="J917" s="212"/>
      <c r="K917" s="212"/>
      <c r="M917" s="344"/>
    </row>
    <row r="918" spans="1:13" ht="12.75" customHeight="1">
      <c r="A918" s="212"/>
      <c r="B918" s="212"/>
      <c r="C918" s="212"/>
      <c r="D918" s="212"/>
      <c r="E918" s="212"/>
      <c r="F918" s="212"/>
      <c r="G918" s="212"/>
      <c r="H918" s="212"/>
      <c r="J918" s="212"/>
      <c r="K918" s="212"/>
      <c r="M918" s="344"/>
    </row>
    <row r="919" spans="1:13" ht="12.75" customHeight="1">
      <c r="A919" s="212"/>
      <c r="B919" s="212"/>
      <c r="C919" s="212"/>
      <c r="D919" s="212"/>
      <c r="E919" s="212"/>
      <c r="F919" s="212"/>
      <c r="G919" s="212"/>
      <c r="H919" s="212"/>
      <c r="J919" s="212"/>
      <c r="K919" s="212"/>
      <c r="M919" s="344"/>
    </row>
    <row r="920" spans="1:13" ht="12.75" customHeight="1">
      <c r="A920" s="212"/>
      <c r="B920" s="212"/>
      <c r="C920" s="212"/>
      <c r="D920" s="212"/>
      <c r="E920" s="212"/>
      <c r="F920" s="212"/>
      <c r="G920" s="212"/>
      <c r="H920" s="212"/>
      <c r="J920" s="212"/>
      <c r="K920" s="212"/>
      <c r="M920" s="344"/>
    </row>
    <row r="921" spans="1:13" ht="12.75" customHeight="1">
      <c r="A921" s="212"/>
      <c r="B921" s="212"/>
      <c r="C921" s="212"/>
      <c r="D921" s="212"/>
      <c r="E921" s="212"/>
      <c r="F921" s="212"/>
      <c r="G921" s="212"/>
      <c r="H921" s="212"/>
      <c r="J921" s="212"/>
      <c r="K921" s="212"/>
      <c r="M921" s="344"/>
    </row>
    <row r="922" spans="1:13" ht="12.75" customHeight="1">
      <c r="A922" s="212"/>
      <c r="B922" s="212"/>
      <c r="C922" s="212"/>
      <c r="D922" s="212"/>
      <c r="E922" s="212"/>
      <c r="F922" s="212"/>
      <c r="G922" s="212"/>
      <c r="H922" s="212"/>
      <c r="J922" s="212"/>
      <c r="K922" s="212"/>
      <c r="M922" s="344"/>
    </row>
    <row r="923" spans="1:13" ht="12.75" customHeight="1">
      <c r="A923" s="212"/>
      <c r="B923" s="212"/>
      <c r="C923" s="212"/>
      <c r="D923" s="212"/>
      <c r="E923" s="212"/>
      <c r="F923" s="212"/>
      <c r="G923" s="212"/>
      <c r="H923" s="212"/>
      <c r="J923" s="212"/>
      <c r="K923" s="212"/>
      <c r="M923" s="344"/>
    </row>
    <row r="924" spans="1:13" ht="12.75" customHeight="1">
      <c r="A924" s="212"/>
      <c r="B924" s="212"/>
      <c r="C924" s="212"/>
      <c r="D924" s="212"/>
      <c r="E924" s="212"/>
      <c r="F924" s="212"/>
      <c r="G924" s="212"/>
      <c r="H924" s="212"/>
      <c r="J924" s="212"/>
      <c r="K924" s="212"/>
      <c r="M924" s="344"/>
    </row>
    <row r="925" spans="1:13" ht="12.75" customHeight="1">
      <c r="A925" s="212"/>
      <c r="B925" s="212"/>
      <c r="C925" s="212"/>
      <c r="D925" s="212"/>
      <c r="E925" s="212"/>
      <c r="F925" s="212"/>
      <c r="G925" s="212"/>
      <c r="H925" s="212"/>
      <c r="J925" s="212"/>
      <c r="K925" s="212"/>
      <c r="M925" s="344"/>
    </row>
    <row r="926" spans="1:13" ht="12.75" customHeight="1">
      <c r="A926" s="212"/>
      <c r="B926" s="212"/>
      <c r="C926" s="212"/>
      <c r="D926" s="212"/>
      <c r="E926" s="212"/>
      <c r="F926" s="212"/>
      <c r="G926" s="212"/>
      <c r="H926" s="212"/>
      <c r="J926" s="212"/>
      <c r="K926" s="212"/>
      <c r="M926" s="344"/>
    </row>
    <row r="927" spans="1:13" ht="12.75" customHeight="1">
      <c r="A927" s="212"/>
      <c r="B927" s="212"/>
      <c r="C927" s="212"/>
      <c r="D927" s="212"/>
      <c r="E927" s="212"/>
      <c r="F927" s="212"/>
      <c r="G927" s="212"/>
      <c r="H927" s="212"/>
      <c r="J927" s="212"/>
      <c r="K927" s="212"/>
      <c r="M927" s="344"/>
    </row>
    <row r="928" spans="1:13" ht="12.75" customHeight="1">
      <c r="A928" s="212"/>
      <c r="B928" s="212"/>
      <c r="C928" s="212"/>
      <c r="D928" s="212"/>
      <c r="E928" s="212"/>
      <c r="F928" s="212"/>
      <c r="G928" s="212"/>
      <c r="H928" s="212"/>
      <c r="J928" s="212"/>
      <c r="K928" s="212"/>
      <c r="M928" s="344"/>
    </row>
    <row r="929" spans="1:13" ht="12.75" customHeight="1">
      <c r="A929" s="212"/>
      <c r="B929" s="212"/>
      <c r="C929" s="212"/>
      <c r="D929" s="212"/>
      <c r="E929" s="212"/>
      <c r="F929" s="212"/>
      <c r="G929" s="212"/>
      <c r="H929" s="212"/>
      <c r="J929" s="212"/>
      <c r="K929" s="212"/>
      <c r="M929" s="344"/>
    </row>
    <row r="930" spans="1:13" ht="12.75" customHeight="1">
      <c r="A930" s="212"/>
      <c r="B930" s="212"/>
      <c r="C930" s="212"/>
      <c r="D930" s="212"/>
      <c r="E930" s="212"/>
      <c r="F930" s="212"/>
      <c r="G930" s="212"/>
      <c r="H930" s="212"/>
      <c r="J930" s="212"/>
      <c r="K930" s="212"/>
      <c r="M930" s="344"/>
    </row>
    <row r="931" spans="1:13" ht="12.75" customHeight="1">
      <c r="A931" s="212"/>
      <c r="B931" s="212"/>
      <c r="C931" s="212"/>
      <c r="D931" s="212"/>
      <c r="E931" s="212"/>
      <c r="F931" s="212"/>
      <c r="G931" s="212"/>
      <c r="H931" s="212"/>
      <c r="J931" s="212"/>
      <c r="K931" s="212"/>
      <c r="M931" s="344"/>
    </row>
    <row r="932" spans="1:13" ht="12.75" customHeight="1">
      <c r="A932" s="212"/>
      <c r="B932" s="212"/>
      <c r="C932" s="212"/>
      <c r="D932" s="212"/>
      <c r="E932" s="212"/>
      <c r="F932" s="212"/>
      <c r="G932" s="212"/>
      <c r="H932" s="212"/>
      <c r="J932" s="212"/>
      <c r="K932" s="212"/>
      <c r="M932" s="344"/>
    </row>
    <row r="933" spans="1:13" ht="12.75" customHeight="1">
      <c r="A933" s="212"/>
      <c r="B933" s="212"/>
      <c r="C933" s="212"/>
      <c r="D933" s="212"/>
      <c r="E933" s="212"/>
      <c r="F933" s="212"/>
      <c r="G933" s="212"/>
      <c r="H933" s="212"/>
      <c r="J933" s="212"/>
      <c r="K933" s="212"/>
      <c r="M933" s="344"/>
    </row>
    <row r="934" spans="1:13" ht="12.75" customHeight="1">
      <c r="A934" s="212"/>
      <c r="B934" s="212"/>
      <c r="C934" s="212"/>
      <c r="D934" s="212"/>
      <c r="E934" s="212"/>
      <c r="F934" s="212"/>
      <c r="G934" s="212"/>
      <c r="H934" s="212"/>
      <c r="J934" s="212"/>
      <c r="K934" s="212"/>
      <c r="M934" s="344"/>
    </row>
    <row r="935" spans="1:13" ht="12.75" customHeight="1">
      <c r="A935" s="212"/>
      <c r="B935" s="212"/>
      <c r="C935" s="212"/>
      <c r="D935" s="212"/>
      <c r="E935" s="212"/>
      <c r="F935" s="212"/>
      <c r="G935" s="212"/>
      <c r="H935" s="212"/>
      <c r="J935" s="212"/>
      <c r="K935" s="212"/>
      <c r="M935" s="344"/>
    </row>
    <row r="936" spans="1:13" ht="12.75" customHeight="1">
      <c r="A936" s="212"/>
      <c r="B936" s="212"/>
      <c r="C936" s="212"/>
      <c r="D936" s="212"/>
      <c r="E936" s="212"/>
      <c r="F936" s="212"/>
      <c r="G936" s="212"/>
      <c r="H936" s="212"/>
      <c r="J936" s="212"/>
      <c r="K936" s="212"/>
      <c r="M936" s="344"/>
    </row>
    <row r="937" spans="1:13" ht="12.75" customHeight="1">
      <c r="A937" s="212"/>
      <c r="B937" s="212"/>
      <c r="C937" s="212"/>
      <c r="D937" s="212"/>
      <c r="E937" s="212"/>
      <c r="F937" s="212"/>
      <c r="G937" s="212"/>
      <c r="H937" s="212"/>
      <c r="J937" s="212"/>
      <c r="K937" s="212"/>
      <c r="M937" s="344"/>
    </row>
    <row r="938" spans="1:13" ht="12.75" customHeight="1">
      <c r="A938" s="212"/>
      <c r="B938" s="212"/>
      <c r="C938" s="212"/>
      <c r="D938" s="212"/>
      <c r="E938" s="212"/>
      <c r="F938" s="212"/>
      <c r="G938" s="212"/>
      <c r="H938" s="212"/>
      <c r="J938" s="212"/>
      <c r="K938" s="212"/>
      <c r="M938" s="344"/>
    </row>
    <row r="939" spans="1:13" ht="12.75" customHeight="1">
      <c r="A939" s="212"/>
      <c r="B939" s="212"/>
      <c r="C939" s="212"/>
      <c r="D939" s="212"/>
      <c r="E939" s="212"/>
      <c r="F939" s="212"/>
      <c r="G939" s="212"/>
      <c r="H939" s="212"/>
      <c r="J939" s="212"/>
      <c r="K939" s="212"/>
      <c r="M939" s="344"/>
    </row>
    <row r="940" spans="1:13" ht="12.75" customHeight="1">
      <c r="A940" s="212"/>
      <c r="B940" s="212"/>
      <c r="C940" s="212"/>
      <c r="D940" s="212"/>
      <c r="E940" s="212"/>
      <c r="F940" s="212"/>
      <c r="G940" s="212"/>
      <c r="H940" s="212"/>
      <c r="J940" s="212"/>
      <c r="K940" s="212"/>
      <c r="M940" s="344"/>
    </row>
  </sheetData>
  <sheetProtection password="C6F3" sheet="1" objects="1" scenarios="1"/>
  <mergeCells count="22">
    <mergeCell ref="B19:B21"/>
    <mergeCell ref="B53:B54"/>
    <mergeCell ref="B47:B49"/>
    <mergeCell ref="B50:B52"/>
    <mergeCell ref="B34:B37"/>
    <mergeCell ref="B38:B41"/>
    <mergeCell ref="A19:A41"/>
    <mergeCell ref="A42:A49"/>
    <mergeCell ref="A2:A18"/>
    <mergeCell ref="A65:A74"/>
    <mergeCell ref="B70:B72"/>
    <mergeCell ref="B28:B33"/>
    <mergeCell ref="B44:B46"/>
    <mergeCell ref="B42:B43"/>
    <mergeCell ref="A60:A64"/>
    <mergeCell ref="A50:A58"/>
    <mergeCell ref="B65:B69"/>
    <mergeCell ref="B55:B58"/>
    <mergeCell ref="B60:B63"/>
    <mergeCell ref="B13:B18"/>
    <mergeCell ref="B2:B12"/>
    <mergeCell ref="B22:B27"/>
  </mergeCells>
  <conditionalFormatting sqref="C1 J1 E2:F11 L2:M2 E13:F16 L13:M15 E19:F20 L19:M19 E22:F26 L22:M22 E28:F32 L28:M28 E34:F36 L34:M34 E38:F39 L38:M39 E42:F42 L42:M42 E44:F45 L44:M44 E47:F47 L47:M47 E50:F51 L50:M51 E53:F53 L53:M53 E55:F57 L55:M55 E60:F62 L60:M61 E65:F68 L65:M67 E70:F71 L70:M70 E73:F73">
    <cfRule type="containsBlanks" dxfId="20" priority="1">
      <formula>LEN(TRIM(C1))=0</formula>
    </cfRule>
  </conditionalFormatting>
  <conditionalFormatting sqref="H2:H11 H13:H16 H19:H20 H22:H26 H28:H32 H34:H36 H38:H39 H42 H44:H45 H47 H50:H51 H53 H55:H57 H60:H62 H65:H68 H70:H71 H73">
    <cfRule type="containsBlanks" dxfId="19" priority="2">
      <formula>LEN(TRIM(H2))=0</formula>
    </cfRule>
  </conditionalFormatting>
  <conditionalFormatting sqref="H2:H11 H13:H16 H19:H20 H22:H26 H28:H32 H34:H36 H38:H39 H42 H44:H45 H47 H50:H51 H53 H55:H57 H60:H62 H65:H68 H70:H71 H73">
    <cfRule type="colorScale" priority="3">
      <colorScale>
        <cfvo type="formula" val="1"/>
        <cfvo type="formula" val="2"/>
        <cfvo type="formula" val="3"/>
        <color rgb="FFFF0000"/>
        <color rgb="FFFFFF00"/>
        <color rgb="FF00FF00"/>
      </colorScale>
    </cfRule>
  </conditionalFormatting>
  <conditionalFormatting sqref="D2:D11 K2 D13:D16 K13:K15 D19:D20 K19 D22:D26 K22 D28:D32 K28 D34:D36 K34 D38:D39 K38 D42 K42 D44:D45 K44 D47 K47 D50:D51 K50:K51 D53 K53 D55:D57 K55 D60:D62 K60:K61 D65:D68 K65:K67 D70:D71 K70 D73">
    <cfRule type="containsText" dxfId="18" priority="4" operator="containsText" text="Y">
      <formula>NOT(ISERROR(SEARCH(("Y"),(D2))))</formula>
    </cfRule>
  </conditionalFormatting>
  <conditionalFormatting sqref="D2:D11 K2 D13:D16 K13:K15 D19:D20 K19 D22:D26 K22 D28:D32 K28 D34:D36 K34 D38:D39 K38 D42 K42 D44:D45 K44 D47 K47 D50:D51 K50:K51 D53 K53 D55:D57 K55 D60:D62 K60:K61 D65:D68 K65:K67 D70:D71 K70 D73">
    <cfRule type="containsText" dxfId="17" priority="5" operator="containsText" text="N">
      <formula>NOT(ISERROR(SEARCH(("N"),(D2))))</formula>
    </cfRule>
  </conditionalFormatting>
  <conditionalFormatting sqref="D2:D11 K2 D13:D16 K13:K15 D19:D20 K19 D22:D26 K22 D28:D32 K28 D34:D36 K34 D38:D39 K38 D42 K42 D44:D45 K44 D47 K47 D50:D51 K50:K51 D53 K53 D55:D57 K55 D60:D62 K60:K61 D65:D68 K65:K67 D70:D71 K70 D73">
    <cfRule type="containsBlanks" dxfId="16" priority="6">
      <formula>LEN(TRIM(D2))=0</formula>
    </cfRule>
  </conditionalFormatting>
  <conditionalFormatting sqref="C1 E1:G16 J1:J4 D2:D16 K2:K3 L2:M2 C10:C12 J13:K16 L13:M15 C18:C25 D18:G26 J18:J24 K19:K23 L19:M19 L22:M22 C28:G63 J28:J31 K28:K30 L28:M28 J34:J56 K34:K55 L34:M34 L38:M39 L42:M42 L44:M44 L47:M47 L50:M51 L53:M53 L55:M55 J60:J72 K60:K63 L60:M61 C65:C74 D65:D73 E65:G74 K65:K72 L65:M67 L70:M70 J74">
    <cfRule type="containsBlanks" dxfId="15" priority="7" stopIfTrue="1">
      <formula>LEN(TRIM(C1))=0</formula>
    </cfRule>
  </conditionalFormatting>
  <conditionalFormatting sqref="K2:K3 L2:M2 K13:K16 L13:M15 K19:K20 L19:M19 K22:K23 L22:M22 K28:K30 L28:M28 K34:K36 L34:M34 K38 L38:M39 K41:K42 L42:M42 K44:K45 L44:M44 K47:M47 K49:K51 L50:M51 K53:M53 K55:M55 K60:K62 L60:M61 K65:M67 K70:K71 L70:M70">
    <cfRule type="containsText" dxfId="14" priority="8" operator="containsText" text="Y">
      <formula>NOT(ISERROR(SEARCH(("Y"),(K2))))</formula>
    </cfRule>
  </conditionalFormatting>
  <conditionalFormatting sqref="K2:K3 L2:M2 K13:K16 L13:M15 K19:K20 L19:M19 K22:K23 L22:M22 K28:K30 L28:M28 K34:K36 L34:M34 K38 L38:M39 K41:K42 L42:M42 K44:K45 L44:M44 K47:M47 K49:K51 L50:M51 K53:M53 K55:M55 K60:K62 L60:M61 K65:M67 K70:K71 L70:M70">
    <cfRule type="containsText" dxfId="13" priority="9" operator="containsText" text="N">
      <formula>NOT(ISERROR(SEARCH(("N"),(K2))))</formula>
    </cfRule>
  </conditionalFormatting>
  <conditionalFormatting sqref="K2:K3 L2:M2 K13:K16 L13:M15 K19:K20 L19:M19 K22:K23 L22:M22 K28:K30 L28:M28 K34:K36 L34:M34 K38 L38:M39 K41:K42 L42:M42 K44:K45 L44:M44 K47:M47 K49:K51 L50:M51 K53:M53 K55:M55 K60:K62 L60:M61 K65:M67 K70:K71 L70:M70">
    <cfRule type="containsBlanks" dxfId="12" priority="10">
      <formula>LEN(TRIM(K2))=0</formula>
    </cfRule>
  </conditionalFormatting>
  <conditionalFormatting sqref="D57:G57 J57 C59:D59 E59:F62 G59 J59 E65:F68 E70:F71 E73:F73">
    <cfRule type="containsBlanks" dxfId="11" priority="11" stopIfTrue="1">
      <formula>LEN(TRIM(D57))=0</formula>
    </cfRule>
  </conditionalFormatting>
  <conditionalFormatting sqref="K56">
    <cfRule type="containsBlanks" dxfId="10" priority="12" stopIfTrue="1">
      <formula>LEN(TRIM(K56))=0</formula>
    </cfRule>
  </conditionalFormatting>
  <conditionalFormatting sqref="K57 K59">
    <cfRule type="containsBlanks" dxfId="9" priority="13" stopIfTrue="1">
      <formula>LEN(TRIM(K57))=0</formula>
    </cfRule>
  </conditionalFormatting>
  <conditionalFormatting sqref="K64">
    <cfRule type="containsBlanks" dxfId="8" priority="14" stopIfTrue="1">
      <formula>LEN(TRIM(K64))=0</formula>
    </cfRule>
  </conditionalFormatting>
  <conditionalFormatting sqref="K71 K74">
    <cfRule type="containsBlanks" dxfId="7" priority="15" stopIfTrue="1">
      <formula>LEN(TRIM(K71))=0</formula>
    </cfRule>
  </conditionalFormatting>
  <conditionalFormatting sqref="D5:G11 J5:J11 D13:G16 D19:G20 D22:G26 D28:G32 D34:G36 D38:G39 D42:G42 D44:G45 D47:G47 D50:G51 D53:G53 D55:G57 C59 D59:G62 D65:G68 D70:G71 D73 E73:G74">
    <cfRule type="containsBlanks" dxfId="6" priority="16" stopIfTrue="1">
      <formula>LEN(TRIM(D5))=0</formula>
    </cfRule>
  </conditionalFormatting>
  <conditionalFormatting sqref="K4:K11">
    <cfRule type="containsBlanks" dxfId="5" priority="17" stopIfTrue="1">
      <formula>LEN(TRIM(K4))=0</formula>
    </cfRule>
  </conditionalFormatting>
  <conditionalFormatting sqref="K16 K18">
    <cfRule type="containsBlanks" dxfId="4" priority="18" stopIfTrue="1">
      <formula>LEN(TRIM(K16))=0</formula>
    </cfRule>
  </conditionalFormatting>
  <conditionalFormatting sqref="D25:G26 J25:J26">
    <cfRule type="containsBlanks" dxfId="3" priority="19" stopIfTrue="1">
      <formula>LEN(TRIM(D25))=0</formula>
    </cfRule>
  </conditionalFormatting>
  <conditionalFormatting sqref="K23:K26">
    <cfRule type="containsBlanks" dxfId="2" priority="20" stopIfTrue="1">
      <formula>LEN(TRIM(K23))=0</formula>
    </cfRule>
  </conditionalFormatting>
  <conditionalFormatting sqref="D32:G32 J32">
    <cfRule type="containsBlanks" dxfId="1" priority="21" stopIfTrue="1">
      <formula>LEN(TRIM(D32))=0</formula>
    </cfRule>
  </conditionalFormatting>
  <conditionalFormatting sqref="K31:K32">
    <cfRule type="containsBlanks" dxfId="0" priority="22" stopIfTrue="1">
      <formula>LEN(TRIM(K31))=0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00FF"/>
  </sheetPr>
  <dimension ref="A1:H1232"/>
  <sheetViews>
    <sheetView showGridLines="0" workbookViewId="0">
      <selection activeCell="D277" sqref="D277"/>
    </sheetView>
  </sheetViews>
  <sheetFormatPr baseColWidth="10" defaultColWidth="17.33203125" defaultRowHeight="15" customHeight="1"/>
  <cols>
    <col min="1" max="1" width="8.33203125" customWidth="1"/>
    <col min="2" max="2" width="38.6640625" customWidth="1"/>
    <col min="3" max="3" width="92.83203125" customWidth="1"/>
    <col min="4" max="4" width="81.33203125" customWidth="1"/>
  </cols>
  <sheetData>
    <row r="1" spans="1:8" ht="43.5" customHeight="1">
      <c r="A1" s="350"/>
      <c r="B1" s="7" t="s">
        <v>123</v>
      </c>
      <c r="C1" s="350"/>
      <c r="D1" s="350"/>
      <c r="E1" s="3"/>
      <c r="F1" s="3"/>
      <c r="G1" s="3"/>
      <c r="H1" s="3"/>
    </row>
    <row r="2" spans="1:8" ht="32.25" customHeight="1">
      <c r="A2" s="1"/>
      <c r="B2" s="351" t="s">
        <v>124</v>
      </c>
      <c r="C2" s="351" t="s">
        <v>125</v>
      </c>
      <c r="D2" s="351" t="s">
        <v>126</v>
      </c>
      <c r="E2" s="3"/>
      <c r="F2" s="3"/>
      <c r="G2" s="3"/>
      <c r="H2" s="3"/>
    </row>
    <row r="3" spans="1:8" ht="17">
      <c r="A3" s="11" t="s">
        <v>127</v>
      </c>
      <c r="B3" s="352"/>
      <c r="C3" s="352"/>
      <c r="D3" s="353"/>
    </row>
    <row r="4" spans="1:8" ht="16">
      <c r="A4" s="1"/>
      <c r="B4" s="354" t="s">
        <v>128</v>
      </c>
      <c r="C4" s="355" t="s">
        <v>129</v>
      </c>
      <c r="D4" s="356"/>
      <c r="E4" s="3"/>
    </row>
    <row r="5" spans="1:8" ht="28">
      <c r="A5" s="1"/>
      <c r="B5" s="357" t="s">
        <v>130</v>
      </c>
      <c r="C5" s="358" t="s">
        <v>131</v>
      </c>
      <c r="D5" s="359"/>
    </row>
    <row r="6" spans="1:8" ht="16">
      <c r="A6" s="1"/>
      <c r="B6" s="357" t="s">
        <v>132</v>
      </c>
      <c r="C6" s="358" t="s">
        <v>133</v>
      </c>
      <c r="D6" s="359"/>
    </row>
    <row r="7" spans="1:8" ht="29">
      <c r="A7" s="1"/>
      <c r="B7" s="357" t="s">
        <v>134</v>
      </c>
      <c r="C7" s="358" t="s">
        <v>135</v>
      </c>
      <c r="D7" s="501" t="s">
        <v>650</v>
      </c>
    </row>
    <row r="8" spans="1:8" ht="42">
      <c r="A8" s="1"/>
      <c r="B8" s="357" t="s">
        <v>136</v>
      </c>
      <c r="C8" s="358" t="s">
        <v>137</v>
      </c>
      <c r="D8" s="501" t="s">
        <v>649</v>
      </c>
    </row>
    <row r="9" spans="1:8" ht="42">
      <c r="A9" s="360"/>
      <c r="B9" s="357" t="s">
        <v>138</v>
      </c>
      <c r="C9" s="358" t="s">
        <v>139</v>
      </c>
      <c r="D9" s="359"/>
    </row>
    <row r="10" spans="1:8" ht="28">
      <c r="A10" s="360"/>
      <c r="B10" s="361" t="s">
        <v>140</v>
      </c>
      <c r="C10" s="358" t="s">
        <v>141</v>
      </c>
      <c r="D10" s="359"/>
    </row>
    <row r="11" spans="1:8" ht="16">
      <c r="A11" s="360"/>
      <c r="B11" s="362" t="s">
        <v>142</v>
      </c>
      <c r="C11" s="358" t="s">
        <v>143</v>
      </c>
      <c r="D11" s="359"/>
    </row>
    <row r="12" spans="1:8" ht="56">
      <c r="A12" s="360"/>
      <c r="B12" s="361" t="s">
        <v>144</v>
      </c>
      <c r="C12" s="358" t="s">
        <v>145</v>
      </c>
      <c r="D12" s="359"/>
    </row>
    <row r="13" spans="1:8" ht="42">
      <c r="A13" s="360"/>
      <c r="B13" s="357" t="s">
        <v>146</v>
      </c>
      <c r="C13" s="358" t="s">
        <v>147</v>
      </c>
      <c r="D13" s="359"/>
    </row>
    <row r="14" spans="1:8" ht="28">
      <c r="A14" s="360"/>
      <c r="B14" s="357" t="s">
        <v>148</v>
      </c>
      <c r="C14" s="358" t="s">
        <v>149</v>
      </c>
      <c r="D14" s="359"/>
    </row>
    <row r="15" spans="1:8" ht="16">
      <c r="A15" s="360"/>
      <c r="B15" s="363" t="s">
        <v>150</v>
      </c>
      <c r="C15" s="358" t="s">
        <v>151</v>
      </c>
      <c r="D15" s="501" t="s">
        <v>648</v>
      </c>
    </row>
    <row r="16" spans="1:8" ht="16">
      <c r="A16" s="360"/>
      <c r="B16" s="357" t="s">
        <v>152</v>
      </c>
      <c r="C16" s="358" t="s">
        <v>153</v>
      </c>
      <c r="D16" s="359"/>
    </row>
    <row r="17" spans="1:4" ht="16">
      <c r="A17" s="360"/>
      <c r="B17" s="357" t="s">
        <v>154</v>
      </c>
      <c r="C17" s="358" t="s">
        <v>155</v>
      </c>
      <c r="D17" s="359"/>
    </row>
    <row r="18" spans="1:4" ht="16">
      <c r="A18" s="360"/>
      <c r="B18" s="363" t="s">
        <v>156</v>
      </c>
      <c r="C18" s="358" t="s">
        <v>157</v>
      </c>
      <c r="D18" s="359"/>
    </row>
    <row r="19" spans="1:4" ht="16">
      <c r="A19" s="360"/>
      <c r="B19" s="361" t="s">
        <v>158</v>
      </c>
      <c r="C19" s="358" t="s">
        <v>159</v>
      </c>
      <c r="D19" s="359"/>
    </row>
    <row r="20" spans="1:4" ht="42">
      <c r="A20" s="360"/>
      <c r="B20" s="363" t="s">
        <v>160</v>
      </c>
      <c r="C20" s="358" t="s">
        <v>161</v>
      </c>
      <c r="D20" s="359"/>
    </row>
    <row r="21" spans="1:4" ht="28">
      <c r="A21" s="360"/>
      <c r="B21" s="361" t="s">
        <v>162</v>
      </c>
      <c r="C21" s="358" t="s">
        <v>163</v>
      </c>
      <c r="D21" s="359"/>
    </row>
    <row r="22" spans="1:4" ht="42">
      <c r="A22" s="360"/>
      <c r="B22" s="357" t="s">
        <v>164</v>
      </c>
      <c r="C22" s="358" t="s">
        <v>165</v>
      </c>
      <c r="D22" s="359"/>
    </row>
    <row r="23" spans="1:4" ht="28">
      <c r="A23" s="360"/>
      <c r="B23" s="364" t="s">
        <v>166</v>
      </c>
      <c r="C23" s="358" t="s">
        <v>167</v>
      </c>
      <c r="D23" s="359"/>
    </row>
    <row r="24" spans="1:4" ht="42">
      <c r="A24" s="360"/>
      <c r="B24" s="361" t="s">
        <v>168</v>
      </c>
      <c r="C24" s="358" t="s">
        <v>169</v>
      </c>
      <c r="D24" s="359"/>
    </row>
    <row r="25" spans="1:4" ht="28">
      <c r="A25" s="360"/>
      <c r="B25" s="357" t="s">
        <v>170</v>
      </c>
      <c r="C25" s="358" t="s">
        <v>171</v>
      </c>
      <c r="D25" s="359"/>
    </row>
    <row r="26" spans="1:4" ht="28">
      <c r="A26" s="360"/>
      <c r="B26" s="357" t="s">
        <v>172</v>
      </c>
      <c r="C26" s="358" t="s">
        <v>173</v>
      </c>
      <c r="D26" s="359"/>
    </row>
    <row r="27" spans="1:4" ht="28">
      <c r="A27" s="360"/>
      <c r="B27" s="357" t="s">
        <v>174</v>
      </c>
      <c r="C27" s="358" t="s">
        <v>175</v>
      </c>
      <c r="D27" s="359"/>
    </row>
    <row r="28" spans="1:4" ht="16">
      <c r="A28" s="360"/>
      <c r="B28" s="361" t="s">
        <v>176</v>
      </c>
      <c r="C28" s="358" t="s">
        <v>177</v>
      </c>
      <c r="D28" s="359"/>
    </row>
    <row r="29" spans="1:4" ht="17">
      <c r="A29" s="11" t="s">
        <v>178</v>
      </c>
      <c r="B29" s="365"/>
      <c r="C29" s="365"/>
      <c r="D29" s="359"/>
    </row>
    <row r="30" spans="1:4" ht="28">
      <c r="A30" s="360"/>
      <c r="B30" s="357" t="s">
        <v>179</v>
      </c>
      <c r="C30" s="358" t="s">
        <v>180</v>
      </c>
      <c r="D30" s="359"/>
    </row>
    <row r="31" spans="1:4" ht="16">
      <c r="A31" s="360"/>
      <c r="B31" s="357" t="s">
        <v>181</v>
      </c>
      <c r="C31" s="358" t="s">
        <v>182</v>
      </c>
      <c r="D31" s="359"/>
    </row>
    <row r="32" spans="1:4" ht="42">
      <c r="A32" s="360"/>
      <c r="B32" s="357" t="s">
        <v>183</v>
      </c>
      <c r="C32" s="358" t="s">
        <v>184</v>
      </c>
      <c r="D32" s="359"/>
    </row>
    <row r="33" spans="1:4" ht="28">
      <c r="A33" s="360"/>
      <c r="B33" s="361" t="s">
        <v>185</v>
      </c>
      <c r="C33" s="366" t="s">
        <v>186</v>
      </c>
      <c r="D33" s="359"/>
    </row>
    <row r="34" spans="1:4" ht="56">
      <c r="A34" s="360"/>
      <c r="B34" s="363" t="s">
        <v>187</v>
      </c>
      <c r="C34" s="358" t="s">
        <v>188</v>
      </c>
      <c r="D34" s="359"/>
    </row>
    <row r="35" spans="1:4" ht="42">
      <c r="A35" s="360"/>
      <c r="B35" s="357" t="s">
        <v>189</v>
      </c>
      <c r="C35" s="358" t="s">
        <v>190</v>
      </c>
      <c r="D35" s="359"/>
    </row>
    <row r="36" spans="1:4" ht="17">
      <c r="A36" s="11" t="s">
        <v>191</v>
      </c>
      <c r="B36" s="365"/>
      <c r="C36" s="365"/>
      <c r="D36" s="359"/>
    </row>
    <row r="37" spans="1:4" ht="28">
      <c r="A37" s="360"/>
      <c r="B37" s="358" t="s">
        <v>192</v>
      </c>
      <c r="C37" s="358" t="s">
        <v>193</v>
      </c>
      <c r="D37" s="359"/>
    </row>
    <row r="38" spans="1:4" ht="28">
      <c r="A38" s="360"/>
      <c r="B38" s="357" t="s">
        <v>194</v>
      </c>
      <c r="C38" s="358" t="s">
        <v>195</v>
      </c>
      <c r="D38" s="359"/>
    </row>
    <row r="39" spans="1:4" ht="16">
      <c r="A39" s="360"/>
      <c r="B39" s="357" t="s">
        <v>196</v>
      </c>
      <c r="C39" s="358" t="s">
        <v>197</v>
      </c>
      <c r="D39" s="359"/>
    </row>
    <row r="40" spans="1:4" ht="16">
      <c r="A40" s="360"/>
      <c r="B40" s="358" t="s">
        <v>198</v>
      </c>
      <c r="C40" s="358" t="s">
        <v>199</v>
      </c>
      <c r="D40" s="359"/>
    </row>
    <row r="41" spans="1:4" ht="16">
      <c r="A41" s="360"/>
      <c r="B41" s="361" t="s">
        <v>200</v>
      </c>
      <c r="C41" s="358" t="s">
        <v>201</v>
      </c>
      <c r="D41" s="359"/>
    </row>
    <row r="42" spans="1:4" ht="16">
      <c r="A42" s="360"/>
      <c r="B42" s="361" t="s">
        <v>202</v>
      </c>
      <c r="C42" s="358" t="s">
        <v>203</v>
      </c>
      <c r="D42" s="359"/>
    </row>
    <row r="43" spans="1:4" ht="28">
      <c r="A43" s="360"/>
      <c r="B43" s="357" t="s">
        <v>204</v>
      </c>
      <c r="C43" s="358" t="s">
        <v>205</v>
      </c>
      <c r="D43" s="359"/>
    </row>
    <row r="44" spans="1:4" ht="16">
      <c r="A44" s="360"/>
      <c r="B44" s="357" t="s">
        <v>206</v>
      </c>
      <c r="C44" s="358" t="s">
        <v>207</v>
      </c>
      <c r="D44" s="359"/>
    </row>
    <row r="45" spans="1:4" ht="16">
      <c r="A45" s="360"/>
      <c r="B45" s="357" t="s">
        <v>208</v>
      </c>
      <c r="C45" s="358" t="s">
        <v>209</v>
      </c>
      <c r="D45" s="359"/>
    </row>
    <row r="46" spans="1:4" ht="28">
      <c r="A46" s="360"/>
      <c r="B46" s="357" t="s">
        <v>210</v>
      </c>
      <c r="C46" s="358" t="s">
        <v>211</v>
      </c>
      <c r="D46" s="359"/>
    </row>
    <row r="47" spans="1:4" ht="28">
      <c r="A47" s="360"/>
      <c r="B47" s="367" t="s">
        <v>212</v>
      </c>
      <c r="C47" s="358" t="s">
        <v>213</v>
      </c>
      <c r="D47" s="359"/>
    </row>
    <row r="48" spans="1:4" ht="16">
      <c r="A48" s="360"/>
      <c r="B48" s="357" t="s">
        <v>214</v>
      </c>
      <c r="C48" s="358" t="s">
        <v>215</v>
      </c>
      <c r="D48" s="359"/>
    </row>
    <row r="49" spans="1:4" ht="16">
      <c r="A49" s="360"/>
      <c r="B49" s="358" t="s">
        <v>216</v>
      </c>
      <c r="C49" s="358" t="s">
        <v>217</v>
      </c>
      <c r="D49" s="359"/>
    </row>
    <row r="50" spans="1:4" ht="42">
      <c r="A50" s="360"/>
      <c r="B50" s="357" t="s">
        <v>218</v>
      </c>
      <c r="C50" s="358" t="s">
        <v>219</v>
      </c>
      <c r="D50" s="359"/>
    </row>
    <row r="51" spans="1:4" ht="16">
      <c r="A51" s="360"/>
      <c r="B51" s="358" t="s">
        <v>220</v>
      </c>
      <c r="C51" s="358" t="s">
        <v>221</v>
      </c>
      <c r="D51" s="359"/>
    </row>
    <row r="52" spans="1:4" ht="16">
      <c r="A52" s="360"/>
      <c r="B52" s="357" t="s">
        <v>222</v>
      </c>
      <c r="C52" s="358" t="s">
        <v>223</v>
      </c>
      <c r="D52" s="359"/>
    </row>
    <row r="53" spans="1:4" ht="16">
      <c r="A53" s="360"/>
      <c r="B53" s="357" t="s">
        <v>224</v>
      </c>
      <c r="C53" s="358" t="s">
        <v>225</v>
      </c>
      <c r="D53" s="359"/>
    </row>
    <row r="54" spans="1:4" ht="28">
      <c r="A54" s="360"/>
      <c r="B54" s="358" t="s">
        <v>226</v>
      </c>
      <c r="C54" s="358" t="s">
        <v>227</v>
      </c>
      <c r="D54" s="359"/>
    </row>
    <row r="55" spans="1:4" ht="28">
      <c r="A55" s="360"/>
      <c r="B55" s="357" t="s">
        <v>228</v>
      </c>
      <c r="C55" s="358" t="s">
        <v>229</v>
      </c>
      <c r="D55" s="359"/>
    </row>
    <row r="56" spans="1:4" ht="16">
      <c r="A56" s="360"/>
      <c r="B56" s="357" t="s">
        <v>230</v>
      </c>
      <c r="C56" s="358" t="s">
        <v>231</v>
      </c>
      <c r="D56" s="359"/>
    </row>
    <row r="57" spans="1:4" ht="28">
      <c r="A57" s="360"/>
      <c r="B57" s="357" t="s">
        <v>232</v>
      </c>
      <c r="C57" s="358" t="s">
        <v>233</v>
      </c>
      <c r="D57" s="359"/>
    </row>
    <row r="58" spans="1:4" ht="16">
      <c r="A58" s="360"/>
      <c r="B58" s="357" t="s">
        <v>234</v>
      </c>
      <c r="C58" s="358" t="s">
        <v>235</v>
      </c>
      <c r="D58" s="359"/>
    </row>
    <row r="59" spans="1:4" ht="16">
      <c r="A59" s="360"/>
      <c r="B59" s="361" t="s">
        <v>236</v>
      </c>
      <c r="C59" s="358" t="s">
        <v>237</v>
      </c>
      <c r="D59" s="359"/>
    </row>
    <row r="60" spans="1:4" ht="28">
      <c r="A60" s="360"/>
      <c r="B60" s="357" t="s">
        <v>238</v>
      </c>
      <c r="C60" s="358" t="s">
        <v>239</v>
      </c>
      <c r="D60" s="359"/>
    </row>
    <row r="61" spans="1:4" ht="16">
      <c r="A61" s="360"/>
      <c r="B61" s="357" t="s">
        <v>240</v>
      </c>
      <c r="C61" s="358" t="s">
        <v>241</v>
      </c>
      <c r="D61" s="359"/>
    </row>
    <row r="62" spans="1:4" ht="16">
      <c r="A62" s="360"/>
      <c r="B62" s="357" t="s">
        <v>242</v>
      </c>
      <c r="C62" s="358" t="s">
        <v>243</v>
      </c>
      <c r="D62" s="359"/>
    </row>
    <row r="63" spans="1:4" ht="42">
      <c r="A63" s="360"/>
      <c r="B63" s="357" t="s">
        <v>244</v>
      </c>
      <c r="C63" s="358" t="s">
        <v>245</v>
      </c>
      <c r="D63" s="359"/>
    </row>
    <row r="64" spans="1:4" ht="16">
      <c r="A64" s="360"/>
      <c r="B64" s="365"/>
      <c r="C64" s="365"/>
      <c r="D64" s="359"/>
    </row>
    <row r="65" spans="1:4" ht="16">
      <c r="A65" s="360"/>
      <c r="B65" s="365"/>
      <c r="C65" s="365"/>
      <c r="D65" s="359"/>
    </row>
    <row r="66" spans="1:4" ht="17">
      <c r="A66" s="11" t="s">
        <v>246</v>
      </c>
      <c r="B66" s="365"/>
      <c r="C66" s="365"/>
      <c r="D66" s="359"/>
    </row>
    <row r="67" spans="1:4" ht="16">
      <c r="A67" s="360"/>
      <c r="B67" s="357" t="s">
        <v>247</v>
      </c>
      <c r="C67" s="358" t="s">
        <v>248</v>
      </c>
      <c r="D67" s="359"/>
    </row>
    <row r="68" spans="1:4" ht="16">
      <c r="A68" s="360"/>
      <c r="B68" s="363" t="s">
        <v>249</v>
      </c>
      <c r="C68" s="358" t="s">
        <v>250</v>
      </c>
      <c r="D68" s="359"/>
    </row>
    <row r="69" spans="1:4" ht="16">
      <c r="A69" s="360"/>
      <c r="B69" s="361" t="s">
        <v>251</v>
      </c>
      <c r="C69" s="358" t="s">
        <v>252</v>
      </c>
      <c r="D69" s="359"/>
    </row>
    <row r="70" spans="1:4" ht="28">
      <c r="A70" s="360"/>
      <c r="B70" s="357" t="s">
        <v>253</v>
      </c>
      <c r="C70" s="358" t="s">
        <v>254</v>
      </c>
      <c r="D70" s="359"/>
    </row>
    <row r="71" spans="1:4" ht="16">
      <c r="A71" s="360"/>
      <c r="B71" s="364" t="s">
        <v>255</v>
      </c>
      <c r="C71" s="369" t="s">
        <v>256</v>
      </c>
      <c r="D71" s="359"/>
    </row>
    <row r="72" spans="1:4" ht="56">
      <c r="A72" s="360"/>
      <c r="B72" s="364" t="s">
        <v>257</v>
      </c>
      <c r="C72" s="369" t="s">
        <v>258</v>
      </c>
      <c r="D72" s="359"/>
    </row>
    <row r="73" spans="1:4" ht="16">
      <c r="A73" s="360"/>
      <c r="B73" s="357" t="s">
        <v>259</v>
      </c>
      <c r="C73" s="369" t="s">
        <v>260</v>
      </c>
      <c r="D73" s="359"/>
    </row>
    <row r="74" spans="1:4" ht="16">
      <c r="A74" s="360"/>
      <c r="B74" s="357" t="s">
        <v>261</v>
      </c>
      <c r="C74" s="369" t="s">
        <v>262</v>
      </c>
      <c r="D74" s="359"/>
    </row>
    <row r="75" spans="1:4" ht="16">
      <c r="A75" s="360"/>
      <c r="B75" s="357" t="s">
        <v>263</v>
      </c>
      <c r="C75" s="369" t="s">
        <v>264</v>
      </c>
      <c r="D75" s="359"/>
    </row>
    <row r="76" spans="1:4" ht="16">
      <c r="A76" s="360"/>
      <c r="B76" s="357" t="s">
        <v>265</v>
      </c>
      <c r="C76" s="369" t="s">
        <v>266</v>
      </c>
      <c r="D76" s="359"/>
    </row>
    <row r="77" spans="1:4" ht="16">
      <c r="A77" s="360"/>
      <c r="B77" s="358" t="s">
        <v>267</v>
      </c>
      <c r="C77" s="369" t="s">
        <v>268</v>
      </c>
      <c r="D77" s="359"/>
    </row>
    <row r="78" spans="1:4" ht="28">
      <c r="A78" s="360"/>
      <c r="B78" s="358" t="s">
        <v>269</v>
      </c>
      <c r="C78" s="369" t="s">
        <v>270</v>
      </c>
      <c r="D78" s="359"/>
    </row>
    <row r="79" spans="1:4" ht="16">
      <c r="A79" s="360"/>
      <c r="B79" s="357" t="s">
        <v>271</v>
      </c>
      <c r="C79" s="369" t="s">
        <v>272</v>
      </c>
      <c r="D79" s="359"/>
    </row>
    <row r="80" spans="1:4" ht="17">
      <c r="A80" s="11" t="s">
        <v>273</v>
      </c>
      <c r="B80" s="365"/>
      <c r="C80" s="365"/>
      <c r="D80" s="359"/>
    </row>
    <row r="81" spans="1:4" ht="28">
      <c r="A81" s="1"/>
      <c r="B81" s="361" t="s">
        <v>274</v>
      </c>
      <c r="C81" s="369" t="s">
        <v>275</v>
      </c>
      <c r="D81" s="359"/>
    </row>
    <row r="82" spans="1:4" ht="16">
      <c r="A82" s="1"/>
      <c r="B82" s="363" t="s">
        <v>276</v>
      </c>
      <c r="C82" s="358" t="s">
        <v>277</v>
      </c>
      <c r="D82" s="359"/>
    </row>
    <row r="83" spans="1:4" ht="16">
      <c r="A83" s="1"/>
      <c r="B83" s="357" t="s">
        <v>278</v>
      </c>
      <c r="C83" s="358" t="s">
        <v>279</v>
      </c>
      <c r="D83" s="359"/>
    </row>
    <row r="84" spans="1:4" ht="16">
      <c r="A84" s="360"/>
      <c r="B84" s="358" t="s">
        <v>280</v>
      </c>
      <c r="C84" s="358" t="s">
        <v>281</v>
      </c>
      <c r="D84" s="359"/>
    </row>
    <row r="85" spans="1:4" ht="56">
      <c r="A85" s="360"/>
      <c r="B85" s="367" t="s">
        <v>282</v>
      </c>
      <c r="C85" s="358" t="s">
        <v>283</v>
      </c>
      <c r="D85" s="359"/>
    </row>
    <row r="86" spans="1:4" ht="28">
      <c r="A86" s="360"/>
      <c r="B86" s="357" t="s">
        <v>284</v>
      </c>
      <c r="C86" s="358" t="s">
        <v>285</v>
      </c>
      <c r="D86" s="359"/>
    </row>
    <row r="87" spans="1:4" ht="16">
      <c r="A87" s="360"/>
      <c r="B87" s="357" t="s">
        <v>286</v>
      </c>
      <c r="C87" s="358" t="s">
        <v>287</v>
      </c>
      <c r="D87" s="359"/>
    </row>
    <row r="88" spans="1:4" ht="28">
      <c r="A88" s="360"/>
      <c r="B88" s="357" t="s">
        <v>288</v>
      </c>
      <c r="C88" s="358" t="s">
        <v>289</v>
      </c>
      <c r="D88" s="359"/>
    </row>
    <row r="89" spans="1:4" ht="16">
      <c r="A89" s="360"/>
      <c r="B89" s="361" t="s">
        <v>290</v>
      </c>
      <c r="C89" s="358" t="s">
        <v>291</v>
      </c>
      <c r="D89" s="359"/>
    </row>
    <row r="90" spans="1:4" ht="17">
      <c r="A90" s="11" t="s">
        <v>292</v>
      </c>
      <c r="B90" s="365"/>
      <c r="C90" s="365"/>
      <c r="D90" s="359"/>
    </row>
    <row r="91" spans="1:4" ht="16">
      <c r="A91" s="1"/>
      <c r="B91" s="357" t="s">
        <v>293</v>
      </c>
      <c r="C91" s="358" t="s">
        <v>294</v>
      </c>
      <c r="D91" s="359"/>
    </row>
    <row r="92" spans="1:4" ht="28">
      <c r="A92" s="1"/>
      <c r="B92" s="357" t="s">
        <v>295</v>
      </c>
      <c r="C92" s="358" t="s">
        <v>296</v>
      </c>
      <c r="D92" s="359"/>
    </row>
    <row r="93" spans="1:4" ht="28">
      <c r="A93" s="1"/>
      <c r="B93" s="357" t="s">
        <v>297</v>
      </c>
      <c r="C93" s="358" t="s">
        <v>298</v>
      </c>
      <c r="D93" s="359"/>
    </row>
    <row r="94" spans="1:4" ht="16">
      <c r="A94" s="1"/>
      <c r="B94" s="363" t="s">
        <v>299</v>
      </c>
      <c r="C94" s="358" t="s">
        <v>300</v>
      </c>
      <c r="D94" s="359"/>
    </row>
    <row r="95" spans="1:4" ht="16">
      <c r="A95" s="360"/>
      <c r="B95" s="361" t="s">
        <v>301</v>
      </c>
      <c r="C95" s="358" t="s">
        <v>302</v>
      </c>
      <c r="D95" s="359"/>
    </row>
    <row r="96" spans="1:4" ht="28">
      <c r="A96" s="360"/>
      <c r="B96" s="357" t="s">
        <v>303</v>
      </c>
      <c r="C96" s="358" t="s">
        <v>304</v>
      </c>
      <c r="D96" s="359"/>
    </row>
    <row r="97" spans="1:8" ht="17">
      <c r="A97" s="11" t="s">
        <v>305</v>
      </c>
      <c r="B97" s="365"/>
      <c r="C97" s="365"/>
      <c r="D97" s="359"/>
    </row>
    <row r="98" spans="1:8" ht="16">
      <c r="A98" s="360"/>
      <c r="B98" s="357" t="s">
        <v>306</v>
      </c>
      <c r="C98" s="358" t="s">
        <v>307</v>
      </c>
      <c r="D98" s="359"/>
    </row>
    <row r="99" spans="1:8" ht="17">
      <c r="A99" s="11" t="s">
        <v>308</v>
      </c>
      <c r="B99" s="365"/>
      <c r="C99" s="365"/>
      <c r="D99" s="359"/>
    </row>
    <row r="100" spans="1:8" ht="28">
      <c r="A100" s="1"/>
      <c r="B100" s="361" t="s">
        <v>309</v>
      </c>
      <c r="C100" s="358" t="s">
        <v>310</v>
      </c>
      <c r="D100" s="370"/>
      <c r="E100" s="2"/>
      <c r="F100" s="2"/>
      <c r="G100" s="2"/>
      <c r="H100" s="2"/>
    </row>
    <row r="101" spans="1:8" ht="29">
      <c r="A101" s="1"/>
      <c r="B101" s="363" t="s">
        <v>311</v>
      </c>
      <c r="C101" s="358" t="s">
        <v>312</v>
      </c>
      <c r="D101" s="501" t="s">
        <v>651</v>
      </c>
      <c r="E101" s="3"/>
      <c r="F101" s="3"/>
      <c r="G101" s="3"/>
      <c r="H101" s="3"/>
    </row>
    <row r="102" spans="1:8" ht="16">
      <c r="A102" s="1"/>
      <c r="B102" s="363" t="s">
        <v>313</v>
      </c>
      <c r="C102" s="358" t="s">
        <v>314</v>
      </c>
      <c r="D102" s="371"/>
      <c r="E102" s="3"/>
      <c r="F102" s="3"/>
      <c r="G102" s="3"/>
      <c r="H102" s="3"/>
    </row>
    <row r="103" spans="1:8" ht="42">
      <c r="A103" s="360"/>
      <c r="B103" s="357" t="s">
        <v>315</v>
      </c>
      <c r="C103" s="369" t="s">
        <v>316</v>
      </c>
      <c r="D103" s="371"/>
      <c r="E103" s="3"/>
      <c r="F103" s="3"/>
      <c r="G103" s="3"/>
      <c r="H103" s="3"/>
    </row>
    <row r="104" spans="1:8" ht="42">
      <c r="A104" s="360"/>
      <c r="B104" s="363" t="s">
        <v>317</v>
      </c>
      <c r="C104" s="358" t="s">
        <v>318</v>
      </c>
      <c r="D104" s="371"/>
      <c r="E104" s="3"/>
      <c r="F104" s="3"/>
      <c r="G104" s="3"/>
      <c r="H104" s="3"/>
    </row>
    <row r="105" spans="1:8" ht="28">
      <c r="A105" s="360"/>
      <c r="B105" s="361" t="s">
        <v>319</v>
      </c>
      <c r="C105" s="358" t="s">
        <v>320</v>
      </c>
      <c r="D105" s="359"/>
    </row>
    <row r="106" spans="1:8" ht="16">
      <c r="A106" s="360"/>
      <c r="B106" s="357" t="s">
        <v>321</v>
      </c>
      <c r="C106" s="358" t="s">
        <v>322</v>
      </c>
      <c r="D106" s="359"/>
    </row>
    <row r="107" spans="1:8" ht="28">
      <c r="A107" s="360"/>
      <c r="B107" s="357" t="s">
        <v>323</v>
      </c>
      <c r="C107" s="358" t="s">
        <v>324</v>
      </c>
      <c r="D107" s="359"/>
    </row>
    <row r="108" spans="1:8" ht="16">
      <c r="A108" s="360"/>
      <c r="B108" s="365"/>
      <c r="C108" s="365"/>
      <c r="D108" s="359"/>
    </row>
    <row r="109" spans="1:8" ht="17">
      <c r="A109" s="11" t="s">
        <v>325</v>
      </c>
      <c r="B109" s="365"/>
      <c r="C109" s="365"/>
      <c r="D109" s="359"/>
    </row>
    <row r="110" spans="1:8" ht="16">
      <c r="A110" s="360"/>
      <c r="B110" s="362" t="s">
        <v>326</v>
      </c>
      <c r="C110" s="358" t="s">
        <v>327</v>
      </c>
      <c r="D110" s="359"/>
    </row>
    <row r="111" spans="1:8" ht="28">
      <c r="A111" s="360"/>
      <c r="B111" s="357" t="s">
        <v>328</v>
      </c>
      <c r="C111" s="358" t="s">
        <v>329</v>
      </c>
      <c r="D111" s="359"/>
    </row>
    <row r="112" spans="1:8" ht="42">
      <c r="A112" s="360"/>
      <c r="B112" s="369" t="s">
        <v>330</v>
      </c>
      <c r="C112" s="369" t="s">
        <v>331</v>
      </c>
      <c r="D112" s="359"/>
    </row>
    <row r="113" spans="1:4" ht="28">
      <c r="A113" s="360"/>
      <c r="B113" s="357" t="s">
        <v>332</v>
      </c>
      <c r="C113" s="369" t="s">
        <v>333</v>
      </c>
      <c r="D113" s="359"/>
    </row>
    <row r="114" spans="1:4" ht="16">
      <c r="A114" s="360"/>
      <c r="B114" s="357" t="s">
        <v>334</v>
      </c>
      <c r="C114" s="369" t="s">
        <v>335</v>
      </c>
      <c r="D114" s="359"/>
    </row>
    <row r="115" spans="1:4" ht="16">
      <c r="A115" s="360"/>
      <c r="B115" s="357" t="s">
        <v>336</v>
      </c>
      <c r="C115" s="369" t="s">
        <v>337</v>
      </c>
      <c r="D115" s="359"/>
    </row>
    <row r="116" spans="1:4" ht="16">
      <c r="A116" s="360"/>
      <c r="B116" s="357" t="s">
        <v>338</v>
      </c>
      <c r="C116" s="358" t="s">
        <v>339</v>
      </c>
      <c r="D116" s="359"/>
    </row>
    <row r="117" spans="1:4" ht="16">
      <c r="A117" s="360"/>
      <c r="B117" s="357" t="s">
        <v>340</v>
      </c>
      <c r="C117" s="358" t="s">
        <v>341</v>
      </c>
      <c r="D117" s="359"/>
    </row>
    <row r="118" spans="1:4" ht="28">
      <c r="A118" s="360"/>
      <c r="B118" s="357" t="s">
        <v>342</v>
      </c>
      <c r="C118" s="358" t="s">
        <v>343</v>
      </c>
      <c r="D118" s="359"/>
    </row>
    <row r="119" spans="1:4" ht="16">
      <c r="A119" s="360"/>
      <c r="B119" s="372" t="s">
        <v>344</v>
      </c>
      <c r="C119" s="358" t="s">
        <v>345</v>
      </c>
      <c r="D119" s="359"/>
    </row>
    <row r="120" spans="1:4" ht="16">
      <c r="A120" s="360"/>
      <c r="B120" s="357" t="s">
        <v>346</v>
      </c>
      <c r="C120" s="358" t="s">
        <v>347</v>
      </c>
      <c r="D120" s="359"/>
    </row>
    <row r="121" spans="1:4" ht="16">
      <c r="A121" s="360"/>
      <c r="B121" s="361" t="s">
        <v>348</v>
      </c>
      <c r="C121" s="358" t="s">
        <v>349</v>
      </c>
      <c r="D121" s="359"/>
    </row>
    <row r="122" spans="1:4" ht="16">
      <c r="A122" s="360"/>
      <c r="B122" s="361" t="s">
        <v>350</v>
      </c>
      <c r="C122" s="358" t="s">
        <v>351</v>
      </c>
      <c r="D122" s="359"/>
    </row>
    <row r="123" spans="1:4" ht="16">
      <c r="A123" s="360"/>
      <c r="B123" s="361" t="s">
        <v>352</v>
      </c>
      <c r="C123" s="358" t="s">
        <v>353</v>
      </c>
      <c r="D123" s="359"/>
    </row>
    <row r="124" spans="1:4" ht="28">
      <c r="A124" s="360"/>
      <c r="B124" s="357" t="s">
        <v>354</v>
      </c>
      <c r="C124" s="358" t="s">
        <v>355</v>
      </c>
      <c r="D124" s="359"/>
    </row>
    <row r="125" spans="1:4" ht="16">
      <c r="A125" s="360"/>
      <c r="B125" s="357" t="s">
        <v>356</v>
      </c>
      <c r="C125" s="358" t="s">
        <v>357</v>
      </c>
      <c r="D125" s="359"/>
    </row>
    <row r="126" spans="1:4" ht="16">
      <c r="A126" s="360"/>
      <c r="B126" s="361" t="s">
        <v>358</v>
      </c>
      <c r="C126" s="358" t="s">
        <v>359</v>
      </c>
      <c r="D126" s="359"/>
    </row>
    <row r="127" spans="1:4" ht="16">
      <c r="A127" s="360"/>
      <c r="B127" s="362" t="s">
        <v>360</v>
      </c>
      <c r="C127" s="358" t="s">
        <v>361</v>
      </c>
      <c r="D127" s="359"/>
    </row>
    <row r="128" spans="1:4" ht="28">
      <c r="A128" s="360"/>
      <c r="B128" s="364" t="s">
        <v>362</v>
      </c>
      <c r="C128" s="369" t="s">
        <v>363</v>
      </c>
      <c r="D128" s="359"/>
    </row>
    <row r="129" spans="1:4" ht="28">
      <c r="A129" s="360"/>
      <c r="B129" s="357" t="s">
        <v>364</v>
      </c>
      <c r="C129" s="358" t="s">
        <v>365</v>
      </c>
      <c r="D129" s="359"/>
    </row>
    <row r="130" spans="1:4" ht="28">
      <c r="A130" s="360"/>
      <c r="B130" s="357" t="s">
        <v>366</v>
      </c>
      <c r="C130" s="358" t="s">
        <v>367</v>
      </c>
      <c r="D130" s="359"/>
    </row>
    <row r="131" spans="1:4" ht="17">
      <c r="A131" s="11" t="s">
        <v>368</v>
      </c>
      <c r="B131" s="365"/>
      <c r="C131" s="365"/>
      <c r="D131" s="359"/>
    </row>
    <row r="132" spans="1:4" ht="16">
      <c r="A132" s="360"/>
      <c r="B132" s="365"/>
      <c r="C132" s="365"/>
      <c r="D132" s="359"/>
    </row>
    <row r="133" spans="1:4" ht="17">
      <c r="A133" s="11" t="s">
        <v>369</v>
      </c>
      <c r="B133" s="365"/>
      <c r="C133" s="365"/>
      <c r="D133" s="359"/>
    </row>
    <row r="134" spans="1:4" ht="16">
      <c r="A134" s="360"/>
      <c r="B134" s="365"/>
      <c r="C134" s="365"/>
      <c r="D134" s="359"/>
    </row>
    <row r="135" spans="1:4" ht="17">
      <c r="A135" s="11" t="s">
        <v>370</v>
      </c>
      <c r="B135" s="365"/>
      <c r="C135" s="365"/>
      <c r="D135" s="359"/>
    </row>
    <row r="136" spans="1:4" ht="28">
      <c r="A136" s="360"/>
      <c r="B136" s="357" t="s">
        <v>371</v>
      </c>
      <c r="C136" s="369" t="s">
        <v>372</v>
      </c>
      <c r="D136" s="359"/>
    </row>
    <row r="137" spans="1:4" ht="28">
      <c r="A137" s="360"/>
      <c r="B137" s="363" t="s">
        <v>373</v>
      </c>
      <c r="C137" s="358" t="s">
        <v>374</v>
      </c>
      <c r="D137" s="359"/>
    </row>
    <row r="138" spans="1:4" ht="28">
      <c r="A138" s="360"/>
      <c r="B138" s="357" t="s">
        <v>375</v>
      </c>
      <c r="C138" s="358" t="s">
        <v>376</v>
      </c>
      <c r="D138" s="359"/>
    </row>
    <row r="139" spans="1:4" ht="16">
      <c r="A139" s="360"/>
      <c r="B139" s="363" t="s">
        <v>377</v>
      </c>
      <c r="C139" s="358" t="s">
        <v>378</v>
      </c>
      <c r="D139" s="359"/>
    </row>
    <row r="140" spans="1:4" ht="17">
      <c r="A140" s="11" t="s">
        <v>379</v>
      </c>
      <c r="B140" s="365"/>
      <c r="C140" s="373"/>
      <c r="D140" s="359"/>
    </row>
    <row r="141" spans="1:4" ht="28">
      <c r="A141" s="1"/>
      <c r="B141" s="357" t="s">
        <v>380</v>
      </c>
      <c r="C141" s="357" t="s">
        <v>381</v>
      </c>
      <c r="D141" s="359"/>
    </row>
    <row r="142" spans="1:4" ht="70">
      <c r="A142" s="360"/>
      <c r="B142" s="357" t="s">
        <v>382</v>
      </c>
      <c r="C142" s="358" t="s">
        <v>383</v>
      </c>
      <c r="D142" s="359"/>
    </row>
    <row r="143" spans="1:4" ht="16">
      <c r="A143" s="360"/>
      <c r="B143" s="357" t="s">
        <v>107</v>
      </c>
      <c r="C143" s="358" t="s">
        <v>384</v>
      </c>
      <c r="D143" s="359"/>
    </row>
    <row r="144" spans="1:4" ht="28">
      <c r="A144" s="360"/>
      <c r="B144" s="372" t="s">
        <v>385</v>
      </c>
      <c r="C144" s="358" t="s">
        <v>386</v>
      </c>
      <c r="D144" s="359"/>
    </row>
    <row r="145" spans="1:4" ht="16">
      <c r="A145" s="360"/>
      <c r="B145" s="357" t="s">
        <v>387</v>
      </c>
      <c r="C145" s="358" t="s">
        <v>388</v>
      </c>
      <c r="D145" s="359"/>
    </row>
    <row r="146" spans="1:4" ht="16">
      <c r="A146" s="360"/>
      <c r="B146" s="357" t="s">
        <v>389</v>
      </c>
      <c r="C146" s="358" t="s">
        <v>390</v>
      </c>
      <c r="D146" s="359"/>
    </row>
    <row r="147" spans="1:4" ht="16">
      <c r="A147" s="360"/>
      <c r="B147" s="357" t="s">
        <v>391</v>
      </c>
      <c r="C147" s="358" t="s">
        <v>392</v>
      </c>
      <c r="D147" s="359"/>
    </row>
    <row r="148" spans="1:4" ht="16">
      <c r="A148" s="360"/>
      <c r="B148" s="357" t="s">
        <v>393</v>
      </c>
      <c r="C148" s="358" t="s">
        <v>394</v>
      </c>
      <c r="D148" s="359"/>
    </row>
    <row r="149" spans="1:4" ht="16">
      <c r="A149" s="360"/>
      <c r="B149" s="357" t="s">
        <v>395</v>
      </c>
      <c r="C149" s="358" t="s">
        <v>396</v>
      </c>
      <c r="D149" s="359"/>
    </row>
    <row r="150" spans="1:4" ht="16">
      <c r="A150" s="360"/>
      <c r="B150" s="357" t="s">
        <v>397</v>
      </c>
      <c r="C150" s="358" t="s">
        <v>398</v>
      </c>
      <c r="D150" s="359"/>
    </row>
    <row r="151" spans="1:4" ht="16">
      <c r="A151" s="360"/>
      <c r="B151" s="357" t="s">
        <v>399</v>
      </c>
      <c r="C151" s="358" t="s">
        <v>400</v>
      </c>
      <c r="D151" s="359"/>
    </row>
    <row r="152" spans="1:4" ht="16">
      <c r="A152" s="360"/>
      <c r="B152" s="357" t="s">
        <v>401</v>
      </c>
      <c r="C152" s="358" t="s">
        <v>402</v>
      </c>
      <c r="D152" s="359"/>
    </row>
    <row r="153" spans="1:4" ht="16">
      <c r="A153" s="360"/>
      <c r="B153" s="357" t="s">
        <v>403</v>
      </c>
      <c r="C153" s="358" t="s">
        <v>404</v>
      </c>
      <c r="D153" s="359"/>
    </row>
    <row r="154" spans="1:4" ht="16">
      <c r="A154" s="360"/>
      <c r="B154" s="365" t="s">
        <v>405</v>
      </c>
      <c r="C154" s="358" t="s">
        <v>406</v>
      </c>
      <c r="D154" s="359"/>
    </row>
    <row r="155" spans="1:4" ht="28">
      <c r="A155" s="360"/>
      <c r="B155" s="362" t="s">
        <v>407</v>
      </c>
      <c r="C155" s="358" t="s">
        <v>408</v>
      </c>
      <c r="D155" s="359"/>
    </row>
    <row r="156" spans="1:4" ht="28">
      <c r="A156" s="360"/>
      <c r="B156" s="357" t="s">
        <v>409</v>
      </c>
      <c r="C156" s="358" t="s">
        <v>410</v>
      </c>
      <c r="D156" s="359"/>
    </row>
    <row r="157" spans="1:4" ht="16">
      <c r="A157" s="360"/>
      <c r="B157" s="363" t="s">
        <v>411</v>
      </c>
      <c r="C157" s="358" t="s">
        <v>412</v>
      </c>
      <c r="D157" s="359"/>
    </row>
    <row r="158" spans="1:4" ht="17">
      <c r="A158" s="11" t="s">
        <v>413</v>
      </c>
      <c r="B158" s="365"/>
      <c r="C158" s="365"/>
      <c r="D158" s="359"/>
    </row>
    <row r="159" spans="1:4" ht="16">
      <c r="A159" s="360"/>
      <c r="B159" s="365"/>
      <c r="C159" s="365"/>
      <c r="D159" s="359"/>
    </row>
    <row r="160" spans="1:4" ht="17">
      <c r="A160" s="11" t="s">
        <v>414</v>
      </c>
      <c r="B160" s="365"/>
      <c r="C160" s="365"/>
      <c r="D160" s="359"/>
    </row>
    <row r="161" spans="1:4" ht="28">
      <c r="A161" s="1"/>
      <c r="B161" s="362" t="s">
        <v>415</v>
      </c>
      <c r="C161" s="358" t="s">
        <v>416</v>
      </c>
      <c r="D161" s="359"/>
    </row>
    <row r="162" spans="1:4" ht="16">
      <c r="A162" s="360"/>
      <c r="B162" s="357" t="s">
        <v>417</v>
      </c>
      <c r="C162" s="358" t="s">
        <v>418</v>
      </c>
      <c r="D162" s="359"/>
    </row>
    <row r="163" spans="1:4" ht="17">
      <c r="A163" s="11" t="s">
        <v>419</v>
      </c>
      <c r="B163" s="365"/>
      <c r="C163" s="365"/>
      <c r="D163" s="359"/>
    </row>
    <row r="164" spans="1:4" ht="16">
      <c r="A164" s="1"/>
      <c r="B164" s="357" t="s">
        <v>420</v>
      </c>
      <c r="C164" s="358" t="s">
        <v>421</v>
      </c>
      <c r="D164" s="359"/>
    </row>
    <row r="165" spans="1:4" ht="28">
      <c r="A165" s="1"/>
      <c r="B165" s="357" t="s">
        <v>422</v>
      </c>
      <c r="C165" s="358" t="s">
        <v>423</v>
      </c>
      <c r="D165" s="359"/>
    </row>
    <row r="166" spans="1:4" ht="28">
      <c r="A166" s="360"/>
      <c r="B166" s="363" t="s">
        <v>424</v>
      </c>
      <c r="C166" s="358" t="s">
        <v>425</v>
      </c>
      <c r="D166" s="359"/>
    </row>
    <row r="167" spans="1:4" ht="28">
      <c r="A167" s="360"/>
      <c r="B167" s="363" t="s">
        <v>426</v>
      </c>
      <c r="C167" s="358" t="s">
        <v>427</v>
      </c>
      <c r="D167" s="359"/>
    </row>
    <row r="168" spans="1:4" ht="16">
      <c r="A168" s="360"/>
      <c r="B168" s="357" t="s">
        <v>428</v>
      </c>
      <c r="C168" s="358" t="s">
        <v>429</v>
      </c>
      <c r="D168" s="359"/>
    </row>
    <row r="169" spans="1:4" ht="28">
      <c r="A169" s="360"/>
      <c r="B169" s="357" t="s">
        <v>430</v>
      </c>
      <c r="C169" s="369" t="s">
        <v>431</v>
      </c>
      <c r="D169" s="359"/>
    </row>
    <row r="170" spans="1:4" ht="29">
      <c r="A170" s="360"/>
      <c r="B170" s="363" t="s">
        <v>432</v>
      </c>
      <c r="C170" s="375" t="s">
        <v>433</v>
      </c>
      <c r="D170" s="359"/>
    </row>
    <row r="171" spans="1:4" ht="16">
      <c r="A171" s="360"/>
      <c r="B171" s="357" t="s">
        <v>434</v>
      </c>
      <c r="C171" s="358" t="s">
        <v>435</v>
      </c>
      <c r="D171" s="359"/>
    </row>
    <row r="172" spans="1:4" ht="16">
      <c r="A172" s="360"/>
      <c r="B172" s="363" t="s">
        <v>436</v>
      </c>
      <c r="C172" s="358" t="s">
        <v>437</v>
      </c>
      <c r="D172" s="359"/>
    </row>
    <row r="173" spans="1:4" ht="28">
      <c r="A173" s="360"/>
      <c r="B173" s="361" t="s">
        <v>438</v>
      </c>
      <c r="C173" s="358" t="s">
        <v>439</v>
      </c>
      <c r="D173" s="359"/>
    </row>
    <row r="174" spans="1:4" ht="16">
      <c r="A174" s="360"/>
      <c r="B174" s="357" t="s">
        <v>440</v>
      </c>
      <c r="C174" s="358" t="s">
        <v>441</v>
      </c>
      <c r="D174" s="359"/>
    </row>
    <row r="175" spans="1:4" ht="16">
      <c r="A175" s="360"/>
      <c r="B175" s="357" t="s">
        <v>442</v>
      </c>
      <c r="C175" s="358" t="s">
        <v>443</v>
      </c>
      <c r="D175" s="359"/>
    </row>
    <row r="176" spans="1:4" ht="16">
      <c r="A176" s="360"/>
      <c r="B176" s="357" t="s">
        <v>444</v>
      </c>
      <c r="C176" s="358" t="s">
        <v>445</v>
      </c>
      <c r="D176" s="359"/>
    </row>
    <row r="177" spans="1:4" ht="28">
      <c r="A177" s="360"/>
      <c r="B177" s="357" t="s">
        <v>446</v>
      </c>
      <c r="C177" s="358" t="s">
        <v>447</v>
      </c>
      <c r="D177" s="359"/>
    </row>
    <row r="178" spans="1:4" ht="16">
      <c r="A178" s="360"/>
      <c r="B178" s="357" t="s">
        <v>448</v>
      </c>
      <c r="C178" s="371" t="s">
        <v>449</v>
      </c>
      <c r="D178" s="359"/>
    </row>
    <row r="179" spans="1:4" ht="28">
      <c r="A179" s="360"/>
      <c r="B179" s="372" t="s">
        <v>450</v>
      </c>
      <c r="C179" s="358" t="s">
        <v>451</v>
      </c>
      <c r="D179" s="359"/>
    </row>
    <row r="180" spans="1:4" ht="16">
      <c r="A180" s="360"/>
      <c r="B180" s="357" t="s">
        <v>452</v>
      </c>
      <c r="C180" s="358" t="s">
        <v>453</v>
      </c>
      <c r="D180" s="359"/>
    </row>
    <row r="181" spans="1:4" ht="16">
      <c r="A181" s="360"/>
      <c r="B181" s="361" t="s">
        <v>454</v>
      </c>
      <c r="C181" s="358" t="s">
        <v>455</v>
      </c>
      <c r="D181" s="359"/>
    </row>
    <row r="182" spans="1:4" ht="28">
      <c r="A182" s="360"/>
      <c r="B182" s="361" t="s">
        <v>456</v>
      </c>
      <c r="C182" s="358" t="s">
        <v>457</v>
      </c>
      <c r="D182" s="359"/>
    </row>
    <row r="183" spans="1:4" ht="16">
      <c r="A183" s="360"/>
      <c r="B183" s="357" t="s">
        <v>458</v>
      </c>
      <c r="C183" s="358" t="s">
        <v>459</v>
      </c>
      <c r="D183" s="359"/>
    </row>
    <row r="184" spans="1:4" ht="42">
      <c r="A184" s="360"/>
      <c r="B184" s="361" t="s">
        <v>460</v>
      </c>
      <c r="C184" s="358" t="s">
        <v>461</v>
      </c>
      <c r="D184" s="359"/>
    </row>
    <row r="185" spans="1:4" ht="29">
      <c r="A185" s="360"/>
      <c r="B185" s="357" t="s">
        <v>462</v>
      </c>
      <c r="C185" s="375" t="s">
        <v>463</v>
      </c>
      <c r="D185" s="359"/>
    </row>
    <row r="186" spans="1:4" ht="28">
      <c r="A186" s="360"/>
      <c r="B186" s="357" t="s">
        <v>464</v>
      </c>
      <c r="C186" s="358" t="s">
        <v>465</v>
      </c>
      <c r="D186" s="359"/>
    </row>
    <row r="187" spans="1:4" ht="16">
      <c r="A187" s="360"/>
      <c r="B187" s="363" t="s">
        <v>466</v>
      </c>
      <c r="C187" s="358" t="s">
        <v>467</v>
      </c>
      <c r="D187" s="359"/>
    </row>
    <row r="188" spans="1:4" ht="28">
      <c r="A188" s="360"/>
      <c r="B188" s="363" t="s">
        <v>468</v>
      </c>
      <c r="C188" s="358" t="s">
        <v>469</v>
      </c>
      <c r="D188" s="359"/>
    </row>
    <row r="189" spans="1:4" ht="17">
      <c r="A189" s="11" t="s">
        <v>470</v>
      </c>
      <c r="B189" s="365"/>
      <c r="C189" s="365"/>
      <c r="D189" s="359"/>
    </row>
    <row r="190" spans="1:4" ht="16">
      <c r="A190" s="360"/>
      <c r="B190" s="365"/>
      <c r="C190" s="365"/>
      <c r="D190" s="359"/>
    </row>
    <row r="191" spans="1:4" ht="17">
      <c r="A191" s="11" t="s">
        <v>471</v>
      </c>
      <c r="B191" s="365"/>
      <c r="C191" s="365"/>
      <c r="D191" s="359"/>
    </row>
    <row r="192" spans="1:4" ht="16">
      <c r="A192" s="1"/>
      <c r="B192" s="357" t="s">
        <v>472</v>
      </c>
      <c r="C192" s="358" t="s">
        <v>473</v>
      </c>
      <c r="D192" s="359"/>
    </row>
    <row r="193" spans="1:4" ht="28">
      <c r="A193" s="360"/>
      <c r="B193" s="362" t="s">
        <v>474</v>
      </c>
      <c r="C193" s="358" t="s">
        <v>475</v>
      </c>
      <c r="D193" s="359"/>
    </row>
    <row r="194" spans="1:4" ht="16">
      <c r="A194" s="360"/>
      <c r="B194" s="361" t="s">
        <v>476</v>
      </c>
      <c r="C194" s="358" t="s">
        <v>477</v>
      </c>
      <c r="D194" s="359"/>
    </row>
    <row r="195" spans="1:4" ht="28">
      <c r="A195" s="360"/>
      <c r="B195" s="362" t="s">
        <v>478</v>
      </c>
      <c r="C195" s="358" t="s">
        <v>479</v>
      </c>
      <c r="D195" s="359"/>
    </row>
    <row r="196" spans="1:4" ht="16">
      <c r="A196" s="360"/>
      <c r="B196" s="362" t="s">
        <v>480</v>
      </c>
      <c r="C196" s="358" t="s">
        <v>481</v>
      </c>
      <c r="D196" s="359"/>
    </row>
    <row r="197" spans="1:4" ht="42">
      <c r="A197" s="360"/>
      <c r="B197" s="363" t="s">
        <v>482</v>
      </c>
      <c r="C197" s="358" t="s">
        <v>483</v>
      </c>
      <c r="D197" s="359"/>
    </row>
    <row r="198" spans="1:4" ht="16">
      <c r="A198" s="360"/>
      <c r="B198" s="362" t="s">
        <v>117</v>
      </c>
      <c r="C198" s="358" t="s">
        <v>484</v>
      </c>
      <c r="D198" s="359"/>
    </row>
    <row r="199" spans="1:4" ht="16">
      <c r="A199" s="360"/>
      <c r="B199" s="361" t="s">
        <v>485</v>
      </c>
      <c r="C199" s="358" t="s">
        <v>486</v>
      </c>
      <c r="D199" s="359"/>
    </row>
    <row r="200" spans="1:4" ht="42">
      <c r="A200" s="360"/>
      <c r="B200" s="357" t="s">
        <v>73</v>
      </c>
      <c r="C200" s="358" t="s">
        <v>487</v>
      </c>
      <c r="D200" s="359"/>
    </row>
    <row r="201" spans="1:4" ht="28">
      <c r="A201" s="360"/>
      <c r="B201" s="358" t="s">
        <v>488</v>
      </c>
      <c r="C201" s="358" t="s">
        <v>489</v>
      </c>
      <c r="D201" s="359"/>
    </row>
    <row r="202" spans="1:4" ht="16">
      <c r="A202" s="360"/>
      <c r="B202" s="362" t="s">
        <v>490</v>
      </c>
      <c r="C202" s="358" t="s">
        <v>491</v>
      </c>
      <c r="D202" s="359"/>
    </row>
    <row r="203" spans="1:4" ht="16">
      <c r="A203" s="360"/>
      <c r="B203" s="363" t="s">
        <v>492</v>
      </c>
      <c r="C203" s="358" t="s">
        <v>493</v>
      </c>
      <c r="D203" s="359"/>
    </row>
    <row r="204" spans="1:4" ht="16">
      <c r="A204" s="360"/>
      <c r="B204" s="357" t="s">
        <v>494</v>
      </c>
      <c r="C204" s="358" t="s">
        <v>495</v>
      </c>
      <c r="D204" s="359"/>
    </row>
    <row r="205" spans="1:4" ht="28">
      <c r="A205" s="360"/>
      <c r="B205" s="363" t="s">
        <v>496</v>
      </c>
      <c r="C205" s="358" t="s">
        <v>497</v>
      </c>
      <c r="D205" s="359"/>
    </row>
    <row r="206" spans="1:4" ht="17">
      <c r="A206" s="11" t="s">
        <v>498</v>
      </c>
      <c r="B206" s="365"/>
      <c r="C206" s="365"/>
      <c r="D206" s="359"/>
    </row>
    <row r="207" spans="1:4" ht="16">
      <c r="A207" s="1"/>
      <c r="B207" s="359"/>
      <c r="C207" s="365"/>
      <c r="D207" s="359"/>
    </row>
    <row r="208" spans="1:4" ht="16">
      <c r="A208" s="360"/>
      <c r="B208" s="357" t="s">
        <v>499</v>
      </c>
      <c r="C208" s="358" t="s">
        <v>500</v>
      </c>
      <c r="D208" s="359"/>
    </row>
    <row r="209" spans="1:4" ht="28">
      <c r="A209" s="360"/>
      <c r="B209" s="357" t="s">
        <v>501</v>
      </c>
      <c r="C209" s="358" t="s">
        <v>502</v>
      </c>
      <c r="D209" s="359"/>
    </row>
    <row r="210" spans="1:4" ht="28">
      <c r="A210" s="360"/>
      <c r="B210" s="357" t="s">
        <v>503</v>
      </c>
      <c r="C210" s="358" t="s">
        <v>504</v>
      </c>
      <c r="D210" s="359"/>
    </row>
    <row r="211" spans="1:4" ht="16">
      <c r="A211" s="360"/>
      <c r="B211" s="357" t="s">
        <v>505</v>
      </c>
      <c r="C211" s="358" t="s">
        <v>506</v>
      </c>
      <c r="D211" s="359"/>
    </row>
    <row r="212" spans="1:4" ht="16">
      <c r="A212" s="360"/>
      <c r="B212" s="357" t="s">
        <v>507</v>
      </c>
      <c r="C212" s="358" t="s">
        <v>508</v>
      </c>
      <c r="D212" s="359"/>
    </row>
    <row r="213" spans="1:4" ht="16">
      <c r="A213" s="360"/>
      <c r="B213" s="357" t="s">
        <v>509</v>
      </c>
      <c r="C213" s="358" t="s">
        <v>510</v>
      </c>
      <c r="D213" s="359"/>
    </row>
    <row r="214" spans="1:4" ht="28">
      <c r="A214" s="360"/>
      <c r="B214" s="357" t="s">
        <v>511</v>
      </c>
      <c r="C214" s="358" t="s">
        <v>512</v>
      </c>
      <c r="D214" s="359"/>
    </row>
    <row r="215" spans="1:4" ht="16">
      <c r="A215" s="360"/>
      <c r="B215" s="357" t="s">
        <v>513</v>
      </c>
      <c r="C215" s="358" t="s">
        <v>514</v>
      </c>
      <c r="D215" s="359"/>
    </row>
    <row r="216" spans="1:4" ht="28">
      <c r="A216" s="360"/>
      <c r="B216" s="357" t="s">
        <v>515</v>
      </c>
      <c r="C216" s="358" t="s">
        <v>516</v>
      </c>
      <c r="D216" s="359"/>
    </row>
    <row r="217" spans="1:4" ht="28">
      <c r="A217" s="360"/>
      <c r="B217" s="361" t="s">
        <v>517</v>
      </c>
      <c r="C217" s="358" t="s">
        <v>518</v>
      </c>
      <c r="D217" s="359"/>
    </row>
    <row r="218" spans="1:4" ht="28">
      <c r="A218" s="360"/>
      <c r="B218" s="358" t="s">
        <v>519</v>
      </c>
      <c r="C218" s="358" t="s">
        <v>520</v>
      </c>
      <c r="D218" s="359"/>
    </row>
    <row r="219" spans="1:4" ht="42">
      <c r="A219" s="360"/>
      <c r="B219" s="357" t="s">
        <v>521</v>
      </c>
      <c r="C219" s="358" t="s">
        <v>522</v>
      </c>
      <c r="D219" s="359"/>
    </row>
    <row r="220" spans="1:4" ht="16">
      <c r="A220" s="360"/>
      <c r="B220" s="361" t="s">
        <v>523</v>
      </c>
      <c r="C220" s="358" t="s">
        <v>524</v>
      </c>
      <c r="D220" s="359"/>
    </row>
    <row r="221" spans="1:4" ht="28">
      <c r="A221" s="360"/>
      <c r="B221" s="357" t="s">
        <v>525</v>
      </c>
      <c r="C221" s="358" t="s">
        <v>526</v>
      </c>
      <c r="D221" s="359"/>
    </row>
    <row r="222" spans="1:4" ht="28">
      <c r="A222" s="360"/>
      <c r="B222" s="357" t="s">
        <v>527</v>
      </c>
      <c r="C222" s="358" t="s">
        <v>528</v>
      </c>
      <c r="D222" s="359"/>
    </row>
    <row r="223" spans="1:4" ht="28">
      <c r="A223" s="360"/>
      <c r="B223" s="363" t="s">
        <v>529</v>
      </c>
      <c r="C223" s="358" t="s">
        <v>530</v>
      </c>
      <c r="D223" s="359"/>
    </row>
    <row r="224" spans="1:4" ht="28">
      <c r="A224" s="360"/>
      <c r="B224" s="357" t="s">
        <v>531</v>
      </c>
      <c r="C224" s="358" t="s">
        <v>532</v>
      </c>
      <c r="D224" s="359"/>
    </row>
    <row r="225" spans="1:4" ht="16">
      <c r="A225" s="360"/>
      <c r="B225" s="357" t="s">
        <v>533</v>
      </c>
      <c r="C225" s="358" t="s">
        <v>534</v>
      </c>
      <c r="D225" s="359"/>
    </row>
    <row r="226" spans="1:4" ht="28">
      <c r="A226" s="360"/>
      <c r="B226" s="357" t="s">
        <v>535</v>
      </c>
      <c r="C226" s="358" t="s">
        <v>536</v>
      </c>
      <c r="D226" s="359"/>
    </row>
    <row r="227" spans="1:4" ht="16">
      <c r="A227" s="360"/>
      <c r="B227" s="357" t="s">
        <v>537</v>
      </c>
      <c r="C227" s="358" t="s">
        <v>538</v>
      </c>
      <c r="D227" s="359"/>
    </row>
    <row r="228" spans="1:4" ht="16">
      <c r="A228" s="360"/>
      <c r="B228" s="357" t="s">
        <v>539</v>
      </c>
      <c r="C228" s="358" t="s">
        <v>540</v>
      </c>
      <c r="D228" s="359"/>
    </row>
    <row r="229" spans="1:4" ht="16">
      <c r="A229" s="360"/>
      <c r="B229" s="357" t="s">
        <v>541</v>
      </c>
      <c r="C229" s="358" t="s">
        <v>542</v>
      </c>
      <c r="D229" s="359"/>
    </row>
    <row r="230" spans="1:4" ht="28">
      <c r="A230" s="360"/>
      <c r="B230" s="358" t="s">
        <v>543</v>
      </c>
      <c r="C230" s="358" t="s">
        <v>544</v>
      </c>
      <c r="D230" s="359"/>
    </row>
    <row r="231" spans="1:4" ht="28">
      <c r="A231" s="360"/>
      <c r="B231" s="357" t="s">
        <v>545</v>
      </c>
      <c r="C231" s="358" t="s">
        <v>546</v>
      </c>
      <c r="D231" s="359"/>
    </row>
    <row r="232" spans="1:4" ht="28">
      <c r="A232" s="360"/>
      <c r="B232" s="362" t="s">
        <v>547</v>
      </c>
      <c r="C232" s="358" t="s">
        <v>548</v>
      </c>
      <c r="D232" s="359"/>
    </row>
    <row r="233" spans="1:4" ht="42">
      <c r="A233" s="360"/>
      <c r="B233" s="361" t="s">
        <v>549</v>
      </c>
      <c r="C233" s="358" t="s">
        <v>550</v>
      </c>
      <c r="D233" s="359"/>
    </row>
    <row r="234" spans="1:4" ht="28">
      <c r="A234" s="360"/>
      <c r="B234" s="357" t="s">
        <v>551</v>
      </c>
      <c r="C234" s="358" t="s">
        <v>552</v>
      </c>
      <c r="D234" s="359"/>
    </row>
    <row r="235" spans="1:4" ht="28">
      <c r="A235" s="360"/>
      <c r="B235" s="357" t="s">
        <v>553</v>
      </c>
      <c r="C235" s="358" t="s">
        <v>554</v>
      </c>
      <c r="D235" s="359"/>
    </row>
    <row r="236" spans="1:4" ht="16">
      <c r="A236" s="360"/>
      <c r="B236" s="363" t="s">
        <v>555</v>
      </c>
      <c r="C236" s="358" t="s">
        <v>556</v>
      </c>
      <c r="D236" s="359"/>
    </row>
    <row r="237" spans="1:4" ht="16">
      <c r="A237" s="360"/>
      <c r="B237" s="357" t="s">
        <v>557</v>
      </c>
      <c r="C237" s="358" t="s">
        <v>558</v>
      </c>
      <c r="D237" s="359"/>
    </row>
    <row r="238" spans="1:4" ht="42">
      <c r="A238" s="360"/>
      <c r="B238" s="357" t="s">
        <v>559</v>
      </c>
      <c r="C238" s="358" t="s">
        <v>560</v>
      </c>
      <c r="D238" s="359"/>
    </row>
    <row r="239" spans="1:4" ht="28">
      <c r="A239" s="360"/>
      <c r="B239" s="357" t="s">
        <v>561</v>
      </c>
      <c r="C239" s="358" t="s">
        <v>562</v>
      </c>
      <c r="D239" s="359"/>
    </row>
    <row r="240" spans="1:4" ht="17">
      <c r="A240" s="11" t="s">
        <v>563</v>
      </c>
      <c r="B240" s="365"/>
      <c r="C240" s="365"/>
      <c r="D240" s="359"/>
    </row>
    <row r="241" spans="1:4" ht="16">
      <c r="A241" s="1"/>
      <c r="B241" s="357" t="s">
        <v>564</v>
      </c>
      <c r="C241" s="358" t="s">
        <v>565</v>
      </c>
      <c r="D241" s="359"/>
    </row>
    <row r="242" spans="1:4" ht="28">
      <c r="A242" s="1"/>
      <c r="B242" s="358" t="s">
        <v>566</v>
      </c>
      <c r="C242" s="358" t="s">
        <v>567</v>
      </c>
      <c r="D242" s="359"/>
    </row>
    <row r="243" spans="1:4" ht="16">
      <c r="A243" s="1"/>
      <c r="B243" s="357" t="s">
        <v>568</v>
      </c>
      <c r="C243" s="358" t="s">
        <v>569</v>
      </c>
      <c r="D243" s="359"/>
    </row>
    <row r="244" spans="1:4" ht="28">
      <c r="A244" s="360"/>
      <c r="B244" s="362" t="s">
        <v>570</v>
      </c>
      <c r="C244" s="358" t="s">
        <v>571</v>
      </c>
      <c r="D244" s="359"/>
    </row>
    <row r="245" spans="1:4" ht="16">
      <c r="A245" s="360"/>
      <c r="B245" s="357" t="s">
        <v>572</v>
      </c>
      <c r="C245" s="358" t="s">
        <v>573</v>
      </c>
      <c r="D245" s="359"/>
    </row>
    <row r="246" spans="1:4" ht="28">
      <c r="A246" s="360"/>
      <c r="B246" s="369" t="s">
        <v>574</v>
      </c>
      <c r="C246" s="358" t="s">
        <v>575</v>
      </c>
      <c r="D246" s="359"/>
    </row>
    <row r="247" spans="1:4" ht="28">
      <c r="A247" s="360"/>
      <c r="B247" s="357" t="s">
        <v>576</v>
      </c>
      <c r="C247" s="358" t="s">
        <v>577</v>
      </c>
      <c r="D247" s="359"/>
    </row>
    <row r="248" spans="1:4" ht="16">
      <c r="A248" s="360"/>
      <c r="B248" s="357" t="s">
        <v>578</v>
      </c>
      <c r="C248" s="358" t="s">
        <v>579</v>
      </c>
      <c r="D248" s="359"/>
    </row>
    <row r="249" spans="1:4" ht="28">
      <c r="A249" s="360"/>
      <c r="B249" s="357" t="s">
        <v>580</v>
      </c>
      <c r="C249" s="358" t="s">
        <v>581</v>
      </c>
      <c r="D249" s="359"/>
    </row>
    <row r="250" spans="1:4" ht="16">
      <c r="A250" s="360"/>
      <c r="B250" s="361" t="s">
        <v>582</v>
      </c>
      <c r="C250" s="358" t="s">
        <v>583</v>
      </c>
      <c r="D250" s="359"/>
    </row>
    <row r="251" spans="1:4" ht="28">
      <c r="A251" s="360"/>
      <c r="B251" s="361" t="s">
        <v>584</v>
      </c>
      <c r="C251" s="358" t="s">
        <v>585</v>
      </c>
      <c r="D251" s="359"/>
    </row>
    <row r="252" spans="1:4" ht="28">
      <c r="A252" s="360"/>
      <c r="B252" s="357" t="s">
        <v>586</v>
      </c>
      <c r="C252" s="358" t="s">
        <v>587</v>
      </c>
      <c r="D252" s="359"/>
    </row>
    <row r="253" spans="1:4" ht="16">
      <c r="A253" s="360"/>
      <c r="B253" s="361" t="s">
        <v>588</v>
      </c>
      <c r="C253" s="358" t="s">
        <v>589</v>
      </c>
      <c r="D253" s="359"/>
    </row>
    <row r="254" spans="1:4" ht="28">
      <c r="A254" s="360"/>
      <c r="B254" s="357" t="s">
        <v>590</v>
      </c>
      <c r="C254" s="358" t="s">
        <v>591</v>
      </c>
      <c r="D254" s="359"/>
    </row>
    <row r="255" spans="1:4" ht="16">
      <c r="A255" s="360"/>
      <c r="B255" s="363" t="s">
        <v>592</v>
      </c>
      <c r="C255" s="377" t="s">
        <v>593</v>
      </c>
      <c r="D255" s="359"/>
    </row>
    <row r="256" spans="1:4" ht="16">
      <c r="A256" s="360"/>
      <c r="B256" s="357" t="s">
        <v>594</v>
      </c>
      <c r="C256" s="358" t="s">
        <v>595</v>
      </c>
      <c r="D256" s="359"/>
    </row>
    <row r="257" spans="1:4" ht="16">
      <c r="A257" s="360"/>
      <c r="B257" s="367" t="s">
        <v>596</v>
      </c>
      <c r="C257" s="358" t="s">
        <v>597</v>
      </c>
      <c r="D257" s="359"/>
    </row>
    <row r="258" spans="1:4" ht="16">
      <c r="A258" s="360"/>
      <c r="B258" s="357" t="s">
        <v>598</v>
      </c>
      <c r="C258" s="358" t="s">
        <v>599</v>
      </c>
      <c r="D258" s="359"/>
    </row>
    <row r="259" spans="1:4" ht="28">
      <c r="A259" s="360"/>
      <c r="B259" s="357" t="s">
        <v>600</v>
      </c>
      <c r="C259" s="358" t="s">
        <v>601</v>
      </c>
      <c r="D259" s="359"/>
    </row>
    <row r="260" spans="1:4" ht="16">
      <c r="A260" s="360"/>
      <c r="B260" s="357" t="s">
        <v>602</v>
      </c>
      <c r="C260" s="358" t="s">
        <v>603</v>
      </c>
      <c r="D260" s="359"/>
    </row>
    <row r="261" spans="1:4" ht="16">
      <c r="A261" s="360"/>
      <c r="B261" s="357" t="s">
        <v>604</v>
      </c>
      <c r="C261" s="358" t="s">
        <v>605</v>
      </c>
      <c r="D261" s="359"/>
    </row>
    <row r="262" spans="1:4" ht="16">
      <c r="A262" s="360"/>
      <c r="B262" s="357" t="s">
        <v>606</v>
      </c>
      <c r="C262" s="358" t="s">
        <v>607</v>
      </c>
      <c r="D262" s="359"/>
    </row>
    <row r="263" spans="1:4" ht="42">
      <c r="A263" s="360"/>
      <c r="B263" s="357" t="s">
        <v>608</v>
      </c>
      <c r="C263" s="358" t="s">
        <v>609</v>
      </c>
      <c r="D263" s="359"/>
    </row>
    <row r="264" spans="1:4" ht="28">
      <c r="A264" s="360"/>
      <c r="B264" s="361" t="s">
        <v>610</v>
      </c>
      <c r="C264" s="358" t="s">
        <v>611</v>
      </c>
      <c r="D264" s="359"/>
    </row>
    <row r="265" spans="1:4" ht="42">
      <c r="A265" s="360"/>
      <c r="B265" s="361" t="s">
        <v>612</v>
      </c>
      <c r="C265" s="358" t="s">
        <v>613</v>
      </c>
      <c r="D265" s="359"/>
    </row>
    <row r="266" spans="1:4" ht="16">
      <c r="A266" s="360"/>
      <c r="B266" s="357" t="s">
        <v>614</v>
      </c>
      <c r="C266" s="358" t="s">
        <v>615</v>
      </c>
      <c r="D266" s="359"/>
    </row>
    <row r="267" spans="1:4" ht="17">
      <c r="A267" s="11" t="s">
        <v>616</v>
      </c>
      <c r="B267" s="365"/>
      <c r="C267" s="365"/>
      <c r="D267" s="359"/>
    </row>
    <row r="268" spans="1:4" ht="28">
      <c r="A268" s="1"/>
      <c r="B268" s="357" t="s">
        <v>617</v>
      </c>
      <c r="C268" s="358" t="s">
        <v>618</v>
      </c>
      <c r="D268" s="359"/>
    </row>
    <row r="269" spans="1:4" ht="42">
      <c r="A269" s="1"/>
      <c r="B269" s="357" t="s">
        <v>619</v>
      </c>
      <c r="C269" s="358" t="s">
        <v>620</v>
      </c>
      <c r="D269" s="359"/>
    </row>
    <row r="270" spans="1:4" ht="28">
      <c r="A270" s="360"/>
      <c r="B270" s="357" t="s">
        <v>621</v>
      </c>
      <c r="C270" s="366" t="s">
        <v>622</v>
      </c>
      <c r="D270" s="359"/>
    </row>
    <row r="271" spans="1:4" ht="28">
      <c r="A271" s="360"/>
      <c r="B271" s="357" t="s">
        <v>623</v>
      </c>
      <c r="C271" s="358" t="s">
        <v>624</v>
      </c>
      <c r="D271" s="359"/>
    </row>
    <row r="272" spans="1:4" ht="28">
      <c r="A272" s="360"/>
      <c r="B272" s="361" t="s">
        <v>625</v>
      </c>
      <c r="C272" s="358" t="s">
        <v>626</v>
      </c>
      <c r="D272" s="359"/>
    </row>
    <row r="273" spans="1:4" ht="17">
      <c r="A273" s="11" t="s">
        <v>627</v>
      </c>
      <c r="B273" s="365"/>
      <c r="C273" s="365"/>
      <c r="D273" s="359"/>
    </row>
    <row r="274" spans="1:4" ht="16">
      <c r="A274" s="360"/>
      <c r="B274" s="378" t="s">
        <v>628</v>
      </c>
      <c r="C274" s="358" t="s">
        <v>629</v>
      </c>
      <c r="D274" s="359"/>
    </row>
    <row r="275" spans="1:4" ht="17">
      <c r="A275" s="11" t="s">
        <v>65</v>
      </c>
      <c r="B275" s="365"/>
      <c r="C275" s="365"/>
      <c r="D275" s="359"/>
    </row>
    <row r="276" spans="1:4" ht="28">
      <c r="A276" s="1"/>
      <c r="B276" s="357" t="s">
        <v>630</v>
      </c>
      <c r="C276" s="379" t="s">
        <v>631</v>
      </c>
      <c r="D276" s="359"/>
    </row>
    <row r="277" spans="1:4" ht="29">
      <c r="A277" s="360"/>
      <c r="B277" s="372" t="s">
        <v>632</v>
      </c>
      <c r="C277" s="380" t="s">
        <v>633</v>
      </c>
      <c r="D277" s="501" t="s">
        <v>652</v>
      </c>
    </row>
    <row r="278" spans="1:4" ht="42">
      <c r="A278" s="360"/>
      <c r="B278" s="363" t="s">
        <v>634</v>
      </c>
      <c r="C278" s="358" t="s">
        <v>635</v>
      </c>
      <c r="D278" s="359"/>
    </row>
    <row r="279" spans="1:4" ht="17">
      <c r="A279" s="11" t="s">
        <v>11</v>
      </c>
      <c r="B279" s="365"/>
      <c r="C279" s="365"/>
      <c r="D279" s="359"/>
    </row>
    <row r="280" spans="1:4" ht="16">
      <c r="A280" s="360"/>
      <c r="B280" s="365"/>
      <c r="C280" s="365"/>
      <c r="D280" s="359"/>
    </row>
    <row r="281" spans="1:4" ht="17">
      <c r="A281" s="11" t="s">
        <v>636</v>
      </c>
      <c r="B281" s="365"/>
      <c r="C281" s="365"/>
      <c r="D281" s="359"/>
    </row>
    <row r="282" spans="1:4" ht="16">
      <c r="A282" s="360"/>
      <c r="B282" s="365"/>
      <c r="C282" s="365"/>
      <c r="D282" s="359"/>
    </row>
    <row r="283" spans="1:4" ht="17">
      <c r="A283" s="11" t="s">
        <v>637</v>
      </c>
      <c r="B283" s="365"/>
      <c r="C283" s="365"/>
      <c r="D283" s="359"/>
    </row>
    <row r="284" spans="1:4" ht="16">
      <c r="A284" s="360"/>
      <c r="B284" s="9"/>
      <c r="C284" s="9"/>
    </row>
    <row r="285" spans="1:4" ht="16">
      <c r="A285" s="360"/>
      <c r="B285" s="9"/>
      <c r="C285" s="9"/>
    </row>
    <row r="286" spans="1:4" ht="16">
      <c r="A286" s="360"/>
      <c r="B286" s="9"/>
      <c r="C286" s="9"/>
    </row>
    <row r="287" spans="1:4" ht="16">
      <c r="A287" s="360"/>
      <c r="B287" s="9"/>
      <c r="C287" s="9"/>
    </row>
    <row r="288" spans="1:4" ht="16">
      <c r="A288" s="360"/>
      <c r="B288" s="9"/>
      <c r="C288" s="9"/>
    </row>
    <row r="289" spans="1:3" ht="16">
      <c r="A289" s="360"/>
      <c r="B289" s="9"/>
      <c r="C289" s="9"/>
    </row>
    <row r="290" spans="1:3" ht="16">
      <c r="A290" s="360"/>
      <c r="B290" s="9"/>
      <c r="C290" s="9"/>
    </row>
    <row r="291" spans="1:3" ht="16">
      <c r="A291" s="360"/>
      <c r="B291" s="9"/>
      <c r="C291" s="9"/>
    </row>
    <row r="292" spans="1:3" ht="16">
      <c r="A292" s="360"/>
      <c r="B292" s="9"/>
      <c r="C292" s="9"/>
    </row>
    <row r="293" spans="1:3" ht="16">
      <c r="A293" s="360"/>
      <c r="B293" s="9"/>
      <c r="C293" s="9"/>
    </row>
    <row r="294" spans="1:3" ht="16">
      <c r="A294" s="360"/>
      <c r="B294" s="9"/>
      <c r="C294" s="9"/>
    </row>
    <row r="295" spans="1:3" ht="16">
      <c r="A295" s="360"/>
      <c r="B295" s="9"/>
      <c r="C295" s="9"/>
    </row>
    <row r="296" spans="1:3" ht="16">
      <c r="A296" s="360"/>
      <c r="B296" s="9"/>
      <c r="C296" s="9"/>
    </row>
    <row r="297" spans="1:3" ht="16">
      <c r="A297" s="360"/>
      <c r="B297" s="9"/>
      <c r="C297" s="9"/>
    </row>
    <row r="298" spans="1:3" ht="16">
      <c r="A298" s="360"/>
      <c r="B298" s="9"/>
      <c r="C298" s="9"/>
    </row>
    <row r="299" spans="1:3" ht="16">
      <c r="A299" s="360"/>
      <c r="B299" s="9"/>
      <c r="C299" s="9"/>
    </row>
    <row r="300" spans="1:3" ht="16">
      <c r="A300" s="360"/>
      <c r="B300" s="9"/>
      <c r="C300" s="9"/>
    </row>
    <row r="301" spans="1:3" ht="16">
      <c r="A301" s="360"/>
      <c r="B301" s="9"/>
      <c r="C301" s="9"/>
    </row>
    <row r="302" spans="1:3" ht="16">
      <c r="A302" s="360"/>
      <c r="B302" s="9"/>
      <c r="C302" s="9"/>
    </row>
    <row r="303" spans="1:3" ht="16">
      <c r="A303" s="360"/>
      <c r="B303" s="9"/>
      <c r="C303" s="9"/>
    </row>
    <row r="304" spans="1:3" ht="16">
      <c r="A304" s="360"/>
      <c r="B304" s="9"/>
      <c r="C304" s="9"/>
    </row>
    <row r="305" spans="1:3" ht="16">
      <c r="A305" s="360"/>
      <c r="B305" s="9"/>
      <c r="C305" s="9"/>
    </row>
    <row r="306" spans="1:3" ht="16">
      <c r="A306" s="360"/>
      <c r="B306" s="9"/>
      <c r="C306" s="9"/>
    </row>
    <row r="307" spans="1:3" ht="16">
      <c r="A307" s="360"/>
      <c r="B307" s="9"/>
      <c r="C307" s="9"/>
    </row>
    <row r="308" spans="1:3" ht="16">
      <c r="A308" s="360"/>
      <c r="B308" s="9"/>
      <c r="C308" s="9"/>
    </row>
    <row r="309" spans="1:3" ht="16">
      <c r="A309" s="360"/>
      <c r="B309" s="9"/>
      <c r="C309" s="9"/>
    </row>
    <row r="310" spans="1:3" ht="16">
      <c r="A310" s="360"/>
      <c r="B310" s="9"/>
      <c r="C310" s="9"/>
    </row>
    <row r="311" spans="1:3" ht="16">
      <c r="A311" s="360"/>
      <c r="B311" s="9"/>
      <c r="C311" s="9"/>
    </row>
    <row r="312" spans="1:3" ht="16">
      <c r="A312" s="360"/>
      <c r="B312" s="9"/>
      <c r="C312" s="9"/>
    </row>
    <row r="313" spans="1:3" ht="16">
      <c r="A313" s="360"/>
      <c r="B313" s="9"/>
      <c r="C313" s="9"/>
    </row>
    <row r="314" spans="1:3" ht="16">
      <c r="A314" s="360"/>
      <c r="B314" s="9"/>
      <c r="C314" s="9"/>
    </row>
    <row r="315" spans="1:3" ht="16">
      <c r="A315" s="360"/>
      <c r="B315" s="9"/>
      <c r="C315" s="9"/>
    </row>
    <row r="316" spans="1:3" ht="16">
      <c r="A316" s="360"/>
      <c r="B316" s="9"/>
      <c r="C316" s="9"/>
    </row>
    <row r="317" spans="1:3" ht="16">
      <c r="A317" s="360"/>
      <c r="B317" s="9"/>
      <c r="C317" s="9"/>
    </row>
    <row r="318" spans="1:3" ht="16">
      <c r="A318" s="360"/>
      <c r="B318" s="9"/>
      <c r="C318" s="9"/>
    </row>
    <row r="319" spans="1:3" ht="16">
      <c r="A319" s="360"/>
      <c r="B319" s="9"/>
      <c r="C319" s="9"/>
    </row>
    <row r="320" spans="1:3" ht="16">
      <c r="A320" s="360"/>
      <c r="B320" s="9"/>
      <c r="C320" s="9"/>
    </row>
    <row r="321" spans="1:3" ht="16">
      <c r="A321" s="360"/>
      <c r="B321" s="9"/>
      <c r="C321" s="9"/>
    </row>
    <row r="322" spans="1:3" ht="16">
      <c r="A322" s="360"/>
      <c r="B322" s="9"/>
      <c r="C322" s="9"/>
    </row>
    <row r="323" spans="1:3" ht="16">
      <c r="A323" s="360"/>
      <c r="B323" s="9"/>
      <c r="C323" s="9"/>
    </row>
    <row r="324" spans="1:3" ht="16">
      <c r="A324" s="360"/>
      <c r="B324" s="9"/>
      <c r="C324" s="9"/>
    </row>
    <row r="325" spans="1:3" ht="16">
      <c r="A325" s="360"/>
      <c r="B325" s="9"/>
      <c r="C325" s="9"/>
    </row>
    <row r="326" spans="1:3" ht="16">
      <c r="A326" s="360"/>
      <c r="B326" s="9"/>
      <c r="C326" s="9"/>
    </row>
    <row r="327" spans="1:3" ht="16">
      <c r="A327" s="360"/>
      <c r="B327" s="9"/>
      <c r="C327" s="9"/>
    </row>
    <row r="328" spans="1:3" ht="16">
      <c r="A328" s="360"/>
      <c r="B328" s="9"/>
      <c r="C328" s="9"/>
    </row>
    <row r="329" spans="1:3" ht="16">
      <c r="A329" s="360"/>
      <c r="B329" s="9"/>
      <c r="C329" s="9"/>
    </row>
    <row r="330" spans="1:3" ht="16">
      <c r="A330" s="360"/>
      <c r="B330" s="9"/>
      <c r="C330" s="9"/>
    </row>
    <row r="331" spans="1:3" ht="16">
      <c r="A331" s="360"/>
      <c r="B331" s="9"/>
      <c r="C331" s="9"/>
    </row>
    <row r="332" spans="1:3" ht="16">
      <c r="A332" s="360"/>
      <c r="B332" s="9"/>
      <c r="C332" s="9"/>
    </row>
    <row r="333" spans="1:3" ht="16">
      <c r="A333" s="360"/>
      <c r="B333" s="9"/>
      <c r="C333" s="9"/>
    </row>
    <row r="334" spans="1:3" ht="16">
      <c r="A334" s="360"/>
      <c r="B334" s="9"/>
      <c r="C334" s="9"/>
    </row>
    <row r="335" spans="1:3" ht="16">
      <c r="A335" s="360"/>
      <c r="B335" s="9"/>
      <c r="C335" s="9"/>
    </row>
    <row r="336" spans="1:3" ht="16">
      <c r="A336" s="360"/>
      <c r="B336" s="9"/>
      <c r="C336" s="9"/>
    </row>
    <row r="337" spans="1:3" ht="16">
      <c r="A337" s="360"/>
      <c r="B337" s="9"/>
      <c r="C337" s="9"/>
    </row>
    <row r="338" spans="1:3" ht="16">
      <c r="A338" s="360"/>
      <c r="B338" s="9"/>
      <c r="C338" s="9"/>
    </row>
    <row r="339" spans="1:3" ht="16">
      <c r="A339" s="360"/>
      <c r="B339" s="9"/>
      <c r="C339" s="9"/>
    </row>
    <row r="340" spans="1:3" ht="16">
      <c r="A340" s="360"/>
      <c r="B340" s="9"/>
      <c r="C340" s="9"/>
    </row>
    <row r="341" spans="1:3" ht="16">
      <c r="A341" s="360"/>
      <c r="B341" s="9"/>
      <c r="C341" s="9"/>
    </row>
    <row r="342" spans="1:3" ht="16">
      <c r="A342" s="360"/>
      <c r="B342" s="9"/>
      <c r="C342" s="9"/>
    </row>
    <row r="343" spans="1:3" ht="16">
      <c r="A343" s="360"/>
      <c r="B343" s="9"/>
      <c r="C343" s="9"/>
    </row>
    <row r="344" spans="1:3" ht="16">
      <c r="A344" s="360"/>
      <c r="B344" s="9"/>
      <c r="C344" s="9"/>
    </row>
    <row r="345" spans="1:3" ht="16">
      <c r="A345" s="360"/>
      <c r="B345" s="9"/>
      <c r="C345" s="9"/>
    </row>
    <row r="346" spans="1:3" ht="16">
      <c r="A346" s="360"/>
      <c r="B346" s="9"/>
      <c r="C346" s="9"/>
    </row>
    <row r="347" spans="1:3" ht="16">
      <c r="A347" s="360"/>
      <c r="B347" s="9"/>
      <c r="C347" s="9"/>
    </row>
    <row r="348" spans="1:3" ht="16">
      <c r="A348" s="360"/>
      <c r="B348" s="9"/>
      <c r="C348" s="9"/>
    </row>
    <row r="349" spans="1:3" ht="16">
      <c r="A349" s="360"/>
      <c r="B349" s="9"/>
      <c r="C349" s="9"/>
    </row>
    <row r="350" spans="1:3" ht="16">
      <c r="A350" s="360"/>
      <c r="B350" s="9"/>
      <c r="C350" s="9"/>
    </row>
    <row r="351" spans="1:3" ht="16">
      <c r="A351" s="360"/>
      <c r="B351" s="9"/>
      <c r="C351" s="9"/>
    </row>
    <row r="352" spans="1:3" ht="16">
      <c r="A352" s="360"/>
      <c r="B352" s="9"/>
      <c r="C352" s="9"/>
    </row>
    <row r="353" spans="1:3" ht="16">
      <c r="A353" s="360"/>
      <c r="B353" s="9"/>
      <c r="C353" s="9"/>
    </row>
    <row r="354" spans="1:3" ht="16">
      <c r="A354" s="360"/>
      <c r="B354" s="9"/>
      <c r="C354" s="9"/>
    </row>
    <row r="355" spans="1:3" ht="16">
      <c r="A355" s="360"/>
      <c r="B355" s="9"/>
      <c r="C355" s="9"/>
    </row>
    <row r="356" spans="1:3" ht="16">
      <c r="A356" s="360"/>
      <c r="B356" s="9"/>
      <c r="C356" s="9"/>
    </row>
    <row r="357" spans="1:3" ht="16">
      <c r="A357" s="360"/>
      <c r="B357" s="9"/>
      <c r="C357" s="9"/>
    </row>
    <row r="358" spans="1:3" ht="16">
      <c r="A358" s="360"/>
      <c r="B358" s="9"/>
      <c r="C358" s="9"/>
    </row>
    <row r="359" spans="1:3" ht="16">
      <c r="A359" s="360"/>
      <c r="B359" s="9"/>
      <c r="C359" s="9"/>
    </row>
    <row r="360" spans="1:3" ht="16">
      <c r="A360" s="360"/>
      <c r="B360" s="9"/>
      <c r="C360" s="9"/>
    </row>
    <row r="361" spans="1:3" ht="16">
      <c r="A361" s="360"/>
      <c r="B361" s="9"/>
      <c r="C361" s="9"/>
    </row>
    <row r="362" spans="1:3" ht="16">
      <c r="A362" s="360"/>
      <c r="B362" s="9"/>
      <c r="C362" s="9"/>
    </row>
    <row r="363" spans="1:3" ht="16">
      <c r="A363" s="360"/>
      <c r="B363" s="9"/>
      <c r="C363" s="9"/>
    </row>
    <row r="364" spans="1:3" ht="16">
      <c r="A364" s="360"/>
      <c r="B364" s="9"/>
      <c r="C364" s="9"/>
    </row>
    <row r="365" spans="1:3" ht="16">
      <c r="A365" s="360"/>
      <c r="B365" s="9"/>
      <c r="C365" s="9"/>
    </row>
    <row r="366" spans="1:3" ht="16">
      <c r="A366" s="360"/>
      <c r="B366" s="9"/>
      <c r="C366" s="9"/>
    </row>
    <row r="367" spans="1:3" ht="16">
      <c r="A367" s="360"/>
      <c r="B367" s="9"/>
      <c r="C367" s="9"/>
    </row>
    <row r="368" spans="1:3" ht="16">
      <c r="A368" s="360"/>
      <c r="B368" s="9"/>
      <c r="C368" s="9"/>
    </row>
    <row r="369" spans="1:3" ht="16">
      <c r="A369" s="360"/>
      <c r="B369" s="9"/>
      <c r="C369" s="9"/>
    </row>
    <row r="370" spans="1:3" ht="16">
      <c r="A370" s="360"/>
      <c r="B370" s="9"/>
      <c r="C370" s="9"/>
    </row>
    <row r="371" spans="1:3" ht="16">
      <c r="A371" s="360"/>
      <c r="B371" s="9"/>
      <c r="C371" s="9"/>
    </row>
    <row r="372" spans="1:3" ht="16">
      <c r="A372" s="360"/>
      <c r="B372" s="9"/>
      <c r="C372" s="9"/>
    </row>
    <row r="373" spans="1:3" ht="16">
      <c r="A373" s="360"/>
      <c r="B373" s="9"/>
      <c r="C373" s="9"/>
    </row>
    <row r="374" spans="1:3" ht="16">
      <c r="A374" s="360"/>
      <c r="B374" s="9"/>
      <c r="C374" s="9"/>
    </row>
    <row r="375" spans="1:3" ht="16">
      <c r="A375" s="360"/>
      <c r="B375" s="9"/>
      <c r="C375" s="9"/>
    </row>
    <row r="376" spans="1:3" ht="16">
      <c r="A376" s="360"/>
      <c r="B376" s="9"/>
      <c r="C376" s="9"/>
    </row>
    <row r="377" spans="1:3" ht="16">
      <c r="A377" s="360"/>
      <c r="B377" s="9"/>
      <c r="C377" s="9"/>
    </row>
    <row r="378" spans="1:3" ht="16">
      <c r="A378" s="360"/>
      <c r="B378" s="9"/>
      <c r="C378" s="9"/>
    </row>
    <row r="379" spans="1:3" ht="16">
      <c r="A379" s="360"/>
      <c r="B379" s="9"/>
      <c r="C379" s="9"/>
    </row>
    <row r="380" spans="1:3" ht="16">
      <c r="A380" s="360"/>
      <c r="B380" s="9"/>
      <c r="C380" s="9"/>
    </row>
    <row r="381" spans="1:3" ht="16">
      <c r="A381" s="360"/>
      <c r="B381" s="9"/>
      <c r="C381" s="9"/>
    </row>
    <row r="382" spans="1:3" ht="16">
      <c r="A382" s="360"/>
      <c r="B382" s="9"/>
      <c r="C382" s="9"/>
    </row>
    <row r="383" spans="1:3" ht="16">
      <c r="A383" s="360"/>
      <c r="B383" s="9"/>
      <c r="C383" s="9"/>
    </row>
    <row r="384" spans="1:3" ht="16">
      <c r="A384" s="360"/>
      <c r="B384" s="9"/>
      <c r="C384" s="9"/>
    </row>
    <row r="385" spans="1:3" ht="16">
      <c r="A385" s="360"/>
      <c r="B385" s="9"/>
      <c r="C385" s="9"/>
    </row>
    <row r="386" spans="1:3" ht="16">
      <c r="A386" s="360"/>
      <c r="B386" s="9"/>
      <c r="C386" s="9"/>
    </row>
    <row r="387" spans="1:3" ht="16">
      <c r="A387" s="360"/>
      <c r="B387" s="9"/>
      <c r="C387" s="9"/>
    </row>
    <row r="388" spans="1:3" ht="16">
      <c r="A388" s="360"/>
      <c r="B388" s="9"/>
      <c r="C388" s="9"/>
    </row>
    <row r="389" spans="1:3" ht="16">
      <c r="A389" s="360"/>
      <c r="B389" s="9"/>
      <c r="C389" s="9"/>
    </row>
    <row r="390" spans="1:3" ht="16">
      <c r="A390" s="360"/>
      <c r="B390" s="9"/>
      <c r="C390" s="9"/>
    </row>
    <row r="391" spans="1:3" ht="16">
      <c r="A391" s="360"/>
      <c r="B391" s="9"/>
      <c r="C391" s="9"/>
    </row>
    <row r="392" spans="1:3" ht="16">
      <c r="A392" s="360"/>
      <c r="B392" s="9"/>
      <c r="C392" s="9"/>
    </row>
    <row r="393" spans="1:3" ht="16">
      <c r="A393" s="360"/>
      <c r="B393" s="9"/>
      <c r="C393" s="9"/>
    </row>
    <row r="394" spans="1:3" ht="16">
      <c r="A394" s="360"/>
      <c r="B394" s="9"/>
      <c r="C394" s="9"/>
    </row>
    <row r="395" spans="1:3" ht="16">
      <c r="A395" s="360"/>
      <c r="B395" s="9"/>
      <c r="C395" s="9"/>
    </row>
    <row r="396" spans="1:3" ht="16">
      <c r="A396" s="360"/>
      <c r="B396" s="9"/>
      <c r="C396" s="9"/>
    </row>
    <row r="397" spans="1:3" ht="16">
      <c r="A397" s="360"/>
      <c r="B397" s="9"/>
      <c r="C397" s="9"/>
    </row>
    <row r="398" spans="1:3" ht="16">
      <c r="A398" s="360"/>
      <c r="B398" s="9"/>
      <c r="C398" s="9"/>
    </row>
    <row r="399" spans="1:3" ht="16">
      <c r="A399" s="360"/>
      <c r="B399" s="9"/>
      <c r="C399" s="9"/>
    </row>
    <row r="400" spans="1:3" ht="16">
      <c r="A400" s="360"/>
      <c r="B400" s="9"/>
      <c r="C400" s="9"/>
    </row>
    <row r="401" spans="1:3" ht="16">
      <c r="A401" s="360"/>
      <c r="B401" s="9"/>
      <c r="C401" s="9"/>
    </row>
    <row r="402" spans="1:3" ht="16">
      <c r="A402" s="360"/>
      <c r="B402" s="9"/>
      <c r="C402" s="9"/>
    </row>
    <row r="403" spans="1:3" ht="16">
      <c r="A403" s="360"/>
      <c r="B403" s="9"/>
      <c r="C403" s="9"/>
    </row>
    <row r="404" spans="1:3" ht="16">
      <c r="A404" s="360"/>
      <c r="B404" s="9"/>
      <c r="C404" s="9"/>
    </row>
    <row r="405" spans="1:3" ht="16">
      <c r="A405" s="360"/>
      <c r="B405" s="9"/>
      <c r="C405" s="9"/>
    </row>
    <row r="406" spans="1:3" ht="16">
      <c r="A406" s="360"/>
      <c r="B406" s="9"/>
      <c r="C406" s="9"/>
    </row>
    <row r="407" spans="1:3" ht="16">
      <c r="A407" s="360"/>
      <c r="B407" s="9"/>
      <c r="C407" s="9"/>
    </row>
    <row r="408" spans="1:3" ht="16">
      <c r="A408" s="360"/>
      <c r="B408" s="9"/>
      <c r="C408" s="9"/>
    </row>
    <row r="409" spans="1:3" ht="16">
      <c r="A409" s="360"/>
      <c r="B409" s="9"/>
      <c r="C409" s="9"/>
    </row>
    <row r="410" spans="1:3" ht="16">
      <c r="A410" s="360"/>
      <c r="B410" s="9"/>
      <c r="C410" s="9"/>
    </row>
    <row r="411" spans="1:3" ht="16">
      <c r="A411" s="360"/>
      <c r="B411" s="9"/>
      <c r="C411" s="9"/>
    </row>
    <row r="412" spans="1:3" ht="16">
      <c r="A412" s="360"/>
      <c r="B412" s="9"/>
      <c r="C412" s="9"/>
    </row>
    <row r="413" spans="1:3" ht="16">
      <c r="A413" s="360"/>
      <c r="B413" s="9"/>
      <c r="C413" s="9"/>
    </row>
    <row r="414" spans="1:3" ht="16">
      <c r="A414" s="360"/>
      <c r="B414" s="9"/>
      <c r="C414" s="9"/>
    </row>
    <row r="415" spans="1:3" ht="16">
      <c r="A415" s="360"/>
      <c r="B415" s="9"/>
      <c r="C415" s="9"/>
    </row>
    <row r="416" spans="1:3" ht="16">
      <c r="A416" s="360"/>
      <c r="B416" s="9"/>
      <c r="C416" s="9"/>
    </row>
    <row r="417" spans="1:3" ht="16">
      <c r="A417" s="360"/>
      <c r="B417" s="9"/>
      <c r="C417" s="9"/>
    </row>
    <row r="418" spans="1:3" ht="16">
      <c r="A418" s="360"/>
      <c r="B418" s="9"/>
      <c r="C418" s="9"/>
    </row>
    <row r="419" spans="1:3" ht="16">
      <c r="A419" s="360"/>
      <c r="B419" s="9"/>
      <c r="C419" s="9"/>
    </row>
    <row r="420" spans="1:3" ht="16">
      <c r="A420" s="360"/>
      <c r="B420" s="9"/>
      <c r="C420" s="9"/>
    </row>
    <row r="421" spans="1:3" ht="16">
      <c r="A421" s="360"/>
      <c r="B421" s="9"/>
      <c r="C421" s="9"/>
    </row>
    <row r="422" spans="1:3" ht="16">
      <c r="A422" s="360"/>
      <c r="B422" s="9"/>
      <c r="C422" s="9"/>
    </row>
    <row r="423" spans="1:3" ht="16">
      <c r="A423" s="360"/>
      <c r="B423" s="9"/>
      <c r="C423" s="9"/>
    </row>
    <row r="424" spans="1:3" ht="16">
      <c r="A424" s="360"/>
      <c r="B424" s="9"/>
      <c r="C424" s="9"/>
    </row>
    <row r="425" spans="1:3" ht="16">
      <c r="A425" s="360"/>
      <c r="B425" s="9"/>
      <c r="C425" s="9"/>
    </row>
    <row r="426" spans="1:3" ht="16">
      <c r="A426" s="360"/>
      <c r="B426" s="9"/>
      <c r="C426" s="9"/>
    </row>
    <row r="427" spans="1:3" ht="16">
      <c r="A427" s="360"/>
      <c r="B427" s="9"/>
      <c r="C427" s="9"/>
    </row>
    <row r="428" spans="1:3" ht="16">
      <c r="A428" s="360"/>
      <c r="B428" s="9"/>
      <c r="C428" s="9"/>
    </row>
    <row r="429" spans="1:3" ht="16">
      <c r="A429" s="360"/>
      <c r="B429" s="9"/>
      <c r="C429" s="9"/>
    </row>
    <row r="430" spans="1:3" ht="16">
      <c r="A430" s="360"/>
      <c r="B430" s="9"/>
      <c r="C430" s="9"/>
    </row>
    <row r="431" spans="1:3" ht="16">
      <c r="A431" s="360"/>
      <c r="B431" s="9"/>
      <c r="C431" s="9"/>
    </row>
    <row r="432" spans="1:3" ht="16">
      <c r="A432" s="360"/>
      <c r="B432" s="9"/>
      <c r="C432" s="9"/>
    </row>
    <row r="433" spans="1:3" ht="16">
      <c r="A433" s="360"/>
      <c r="B433" s="9"/>
      <c r="C433" s="9"/>
    </row>
    <row r="434" spans="1:3" ht="16">
      <c r="A434" s="360"/>
      <c r="B434" s="9"/>
      <c r="C434" s="9"/>
    </row>
    <row r="435" spans="1:3" ht="16">
      <c r="A435" s="360"/>
      <c r="B435" s="9"/>
      <c r="C435" s="9"/>
    </row>
    <row r="436" spans="1:3" ht="16">
      <c r="A436" s="360"/>
      <c r="B436" s="9"/>
      <c r="C436" s="9"/>
    </row>
    <row r="437" spans="1:3" ht="16">
      <c r="A437" s="360"/>
      <c r="B437" s="9"/>
      <c r="C437" s="9"/>
    </row>
    <row r="438" spans="1:3" ht="16">
      <c r="A438" s="360"/>
      <c r="B438" s="9"/>
      <c r="C438" s="9"/>
    </row>
    <row r="439" spans="1:3" ht="16">
      <c r="A439" s="360"/>
      <c r="B439" s="9"/>
      <c r="C439" s="9"/>
    </row>
    <row r="440" spans="1:3" ht="16">
      <c r="A440" s="360"/>
      <c r="B440" s="9"/>
      <c r="C440" s="9"/>
    </row>
    <row r="441" spans="1:3" ht="16">
      <c r="A441" s="360"/>
      <c r="B441" s="9"/>
      <c r="C441" s="9"/>
    </row>
    <row r="442" spans="1:3" ht="16">
      <c r="A442" s="360"/>
      <c r="B442" s="9"/>
      <c r="C442" s="9"/>
    </row>
    <row r="443" spans="1:3" ht="16">
      <c r="A443" s="360"/>
      <c r="B443" s="9"/>
      <c r="C443" s="9"/>
    </row>
    <row r="444" spans="1:3" ht="16">
      <c r="A444" s="360"/>
      <c r="B444" s="9"/>
      <c r="C444" s="9"/>
    </row>
    <row r="445" spans="1:3" ht="16">
      <c r="A445" s="360"/>
      <c r="B445" s="9"/>
      <c r="C445" s="9"/>
    </row>
    <row r="446" spans="1:3" ht="16">
      <c r="A446" s="360"/>
      <c r="B446" s="9"/>
      <c r="C446" s="9"/>
    </row>
    <row r="447" spans="1:3" ht="16">
      <c r="A447" s="360"/>
      <c r="B447" s="9"/>
      <c r="C447" s="9"/>
    </row>
    <row r="448" spans="1:3" ht="16">
      <c r="A448" s="360"/>
      <c r="B448" s="9"/>
      <c r="C448" s="9"/>
    </row>
    <row r="449" spans="1:3" ht="16">
      <c r="A449" s="360"/>
      <c r="B449" s="9"/>
      <c r="C449" s="9"/>
    </row>
    <row r="450" spans="1:3" ht="16">
      <c r="A450" s="360"/>
      <c r="B450" s="9"/>
      <c r="C450" s="9"/>
    </row>
    <row r="451" spans="1:3" ht="16">
      <c r="A451" s="360"/>
      <c r="B451" s="9"/>
      <c r="C451" s="9"/>
    </row>
    <row r="452" spans="1:3" ht="16">
      <c r="A452" s="360"/>
      <c r="B452" s="9"/>
      <c r="C452" s="9"/>
    </row>
    <row r="453" spans="1:3" ht="16">
      <c r="A453" s="360"/>
      <c r="B453" s="9"/>
      <c r="C453" s="9"/>
    </row>
    <row r="454" spans="1:3" ht="16">
      <c r="A454" s="360"/>
      <c r="B454" s="9"/>
      <c r="C454" s="9"/>
    </row>
    <row r="455" spans="1:3" ht="16">
      <c r="A455" s="360"/>
      <c r="B455" s="9"/>
      <c r="C455" s="9"/>
    </row>
    <row r="456" spans="1:3" ht="16">
      <c r="A456" s="360"/>
      <c r="B456" s="9"/>
      <c r="C456" s="9"/>
    </row>
    <row r="457" spans="1:3" ht="16">
      <c r="A457" s="360"/>
      <c r="B457" s="9"/>
      <c r="C457" s="9"/>
    </row>
    <row r="458" spans="1:3" ht="16">
      <c r="A458" s="360"/>
      <c r="B458" s="9"/>
      <c r="C458" s="9"/>
    </row>
    <row r="459" spans="1:3" ht="16">
      <c r="A459" s="360"/>
      <c r="B459" s="9"/>
      <c r="C459" s="9"/>
    </row>
    <row r="460" spans="1:3" ht="16">
      <c r="A460" s="360"/>
      <c r="B460" s="9"/>
      <c r="C460" s="9"/>
    </row>
    <row r="461" spans="1:3" ht="16">
      <c r="A461" s="360"/>
      <c r="B461" s="9"/>
      <c r="C461" s="9"/>
    </row>
    <row r="462" spans="1:3" ht="16">
      <c r="A462" s="360"/>
      <c r="B462" s="9"/>
      <c r="C462" s="9"/>
    </row>
    <row r="463" spans="1:3" ht="16">
      <c r="A463" s="360"/>
      <c r="B463" s="9"/>
      <c r="C463" s="9"/>
    </row>
    <row r="464" spans="1:3" ht="16">
      <c r="A464" s="360"/>
      <c r="B464" s="9"/>
      <c r="C464" s="9"/>
    </row>
    <row r="465" spans="1:3" ht="16">
      <c r="A465" s="360"/>
      <c r="B465" s="9"/>
      <c r="C465" s="9"/>
    </row>
    <row r="466" spans="1:3" ht="16">
      <c r="A466" s="360"/>
      <c r="B466" s="9"/>
      <c r="C466" s="9"/>
    </row>
    <row r="467" spans="1:3" ht="16">
      <c r="A467" s="360"/>
      <c r="B467" s="9"/>
      <c r="C467" s="9"/>
    </row>
    <row r="468" spans="1:3" ht="16">
      <c r="A468" s="360"/>
      <c r="B468" s="9"/>
      <c r="C468" s="9"/>
    </row>
    <row r="469" spans="1:3" ht="16">
      <c r="A469" s="360"/>
      <c r="B469" s="9"/>
      <c r="C469" s="9"/>
    </row>
    <row r="470" spans="1:3" ht="16">
      <c r="A470" s="360"/>
      <c r="B470" s="9"/>
      <c r="C470" s="9"/>
    </row>
    <row r="471" spans="1:3" ht="16">
      <c r="A471" s="360"/>
      <c r="B471" s="9"/>
      <c r="C471" s="9"/>
    </row>
    <row r="472" spans="1:3" ht="16">
      <c r="A472" s="360"/>
      <c r="B472" s="9"/>
      <c r="C472" s="9"/>
    </row>
    <row r="473" spans="1:3" ht="16">
      <c r="A473" s="360"/>
      <c r="B473" s="9"/>
      <c r="C473" s="9"/>
    </row>
    <row r="474" spans="1:3" ht="16">
      <c r="A474" s="360"/>
      <c r="B474" s="9"/>
      <c r="C474" s="9"/>
    </row>
    <row r="475" spans="1:3" ht="16">
      <c r="A475" s="360"/>
      <c r="B475" s="9"/>
      <c r="C475" s="9"/>
    </row>
    <row r="476" spans="1:3" ht="16">
      <c r="A476" s="360"/>
      <c r="B476" s="9"/>
      <c r="C476" s="9"/>
    </row>
    <row r="477" spans="1:3" ht="16">
      <c r="A477" s="360"/>
      <c r="B477" s="9"/>
      <c r="C477" s="9"/>
    </row>
    <row r="478" spans="1:3" ht="16">
      <c r="A478" s="360"/>
      <c r="B478" s="9"/>
      <c r="C478" s="9"/>
    </row>
    <row r="479" spans="1:3" ht="16">
      <c r="A479" s="360"/>
      <c r="B479" s="9"/>
      <c r="C479" s="9"/>
    </row>
    <row r="480" spans="1:3" ht="16">
      <c r="A480" s="360"/>
      <c r="B480" s="9"/>
      <c r="C480" s="9"/>
    </row>
    <row r="481" spans="1:3" ht="16">
      <c r="A481" s="360"/>
      <c r="B481" s="9"/>
      <c r="C481" s="9"/>
    </row>
    <row r="482" spans="1:3" ht="16">
      <c r="A482" s="360"/>
      <c r="B482" s="9"/>
      <c r="C482" s="9"/>
    </row>
    <row r="483" spans="1:3" ht="16">
      <c r="A483" s="360"/>
      <c r="B483" s="9"/>
      <c r="C483" s="9"/>
    </row>
    <row r="484" spans="1:3" ht="16">
      <c r="A484" s="360"/>
      <c r="B484" s="9"/>
      <c r="C484" s="9"/>
    </row>
    <row r="485" spans="1:3" ht="16">
      <c r="A485" s="360"/>
      <c r="B485" s="9"/>
      <c r="C485" s="9"/>
    </row>
    <row r="486" spans="1:3" ht="16">
      <c r="A486" s="360"/>
      <c r="B486" s="9"/>
      <c r="C486" s="9"/>
    </row>
    <row r="487" spans="1:3" ht="16">
      <c r="A487" s="360"/>
      <c r="B487" s="9"/>
      <c r="C487" s="9"/>
    </row>
    <row r="488" spans="1:3" ht="16">
      <c r="A488" s="360"/>
      <c r="B488" s="9"/>
      <c r="C488" s="9"/>
    </row>
    <row r="489" spans="1:3" ht="16">
      <c r="A489" s="360"/>
      <c r="B489" s="9"/>
      <c r="C489" s="9"/>
    </row>
    <row r="490" spans="1:3" ht="16">
      <c r="A490" s="360"/>
      <c r="B490" s="9"/>
      <c r="C490" s="9"/>
    </row>
    <row r="491" spans="1:3" ht="16">
      <c r="A491" s="360"/>
      <c r="B491" s="9"/>
      <c r="C491" s="9"/>
    </row>
    <row r="492" spans="1:3" ht="16">
      <c r="A492" s="360"/>
      <c r="B492" s="9"/>
      <c r="C492" s="9"/>
    </row>
    <row r="493" spans="1:3" ht="16">
      <c r="A493" s="360"/>
      <c r="B493" s="9"/>
      <c r="C493" s="9"/>
    </row>
    <row r="494" spans="1:3" ht="16">
      <c r="A494" s="360"/>
      <c r="B494" s="9"/>
      <c r="C494" s="9"/>
    </row>
    <row r="495" spans="1:3" ht="16">
      <c r="A495" s="360"/>
      <c r="B495" s="9"/>
      <c r="C495" s="9"/>
    </row>
    <row r="496" spans="1:3" ht="16">
      <c r="A496" s="360"/>
      <c r="B496" s="9"/>
      <c r="C496" s="9"/>
    </row>
    <row r="497" spans="1:3" ht="16">
      <c r="A497" s="360"/>
      <c r="B497" s="9"/>
      <c r="C497" s="9"/>
    </row>
    <row r="498" spans="1:3" ht="16">
      <c r="A498" s="360"/>
      <c r="B498" s="9"/>
      <c r="C498" s="9"/>
    </row>
    <row r="499" spans="1:3" ht="16">
      <c r="A499" s="360"/>
      <c r="B499" s="9"/>
      <c r="C499" s="9"/>
    </row>
    <row r="500" spans="1:3" ht="16">
      <c r="A500" s="360"/>
      <c r="B500" s="9"/>
      <c r="C500" s="9"/>
    </row>
    <row r="501" spans="1:3" ht="16">
      <c r="A501" s="360"/>
      <c r="B501" s="9"/>
      <c r="C501" s="9"/>
    </row>
    <row r="502" spans="1:3" ht="16">
      <c r="A502" s="360"/>
      <c r="B502" s="9"/>
      <c r="C502" s="9"/>
    </row>
    <row r="503" spans="1:3" ht="16">
      <c r="A503" s="360"/>
      <c r="B503" s="9"/>
      <c r="C503" s="9"/>
    </row>
    <row r="504" spans="1:3" ht="16">
      <c r="A504" s="360"/>
      <c r="B504" s="9"/>
      <c r="C504" s="9"/>
    </row>
    <row r="505" spans="1:3" ht="16">
      <c r="A505" s="360"/>
      <c r="B505" s="9"/>
      <c r="C505" s="9"/>
    </row>
    <row r="506" spans="1:3" ht="16">
      <c r="A506" s="360"/>
      <c r="B506" s="9"/>
      <c r="C506" s="9"/>
    </row>
    <row r="507" spans="1:3" ht="16">
      <c r="A507" s="360"/>
      <c r="B507" s="9"/>
      <c r="C507" s="9"/>
    </row>
    <row r="508" spans="1:3" ht="16">
      <c r="A508" s="360"/>
      <c r="B508" s="9"/>
      <c r="C508" s="9"/>
    </row>
    <row r="509" spans="1:3" ht="16">
      <c r="A509" s="360"/>
      <c r="B509" s="9"/>
      <c r="C509" s="9"/>
    </row>
    <row r="510" spans="1:3" ht="16">
      <c r="A510" s="360"/>
      <c r="B510" s="9"/>
      <c r="C510" s="9"/>
    </row>
    <row r="511" spans="1:3" ht="16">
      <c r="A511" s="360"/>
      <c r="B511" s="9"/>
      <c r="C511" s="9"/>
    </row>
    <row r="512" spans="1:3" ht="16">
      <c r="A512" s="360"/>
      <c r="B512" s="9"/>
      <c r="C512" s="9"/>
    </row>
    <row r="513" spans="1:3" ht="16">
      <c r="A513" s="360"/>
      <c r="B513" s="9"/>
      <c r="C513" s="9"/>
    </row>
    <row r="514" spans="1:3" ht="16">
      <c r="A514" s="360"/>
      <c r="B514" s="9"/>
      <c r="C514" s="9"/>
    </row>
    <row r="515" spans="1:3" ht="16">
      <c r="A515" s="360"/>
      <c r="B515" s="9"/>
      <c r="C515" s="9"/>
    </row>
    <row r="516" spans="1:3" ht="16">
      <c r="A516" s="360"/>
      <c r="B516" s="9"/>
      <c r="C516" s="9"/>
    </row>
    <row r="517" spans="1:3" ht="16">
      <c r="A517" s="360"/>
      <c r="B517" s="9"/>
      <c r="C517" s="9"/>
    </row>
    <row r="518" spans="1:3" ht="16">
      <c r="A518" s="360"/>
      <c r="B518" s="9"/>
      <c r="C518" s="9"/>
    </row>
    <row r="519" spans="1:3" ht="16">
      <c r="A519" s="360"/>
      <c r="B519" s="9"/>
      <c r="C519" s="9"/>
    </row>
    <row r="520" spans="1:3" ht="16">
      <c r="A520" s="360"/>
      <c r="B520" s="9"/>
      <c r="C520" s="9"/>
    </row>
    <row r="521" spans="1:3" ht="16">
      <c r="A521" s="360"/>
      <c r="B521" s="9"/>
      <c r="C521" s="9"/>
    </row>
    <row r="522" spans="1:3" ht="16">
      <c r="A522" s="360"/>
      <c r="B522" s="9"/>
      <c r="C522" s="9"/>
    </row>
    <row r="523" spans="1:3" ht="16">
      <c r="A523" s="360"/>
      <c r="B523" s="9"/>
      <c r="C523" s="9"/>
    </row>
    <row r="524" spans="1:3" ht="16">
      <c r="A524" s="360"/>
      <c r="B524" s="9"/>
      <c r="C524" s="9"/>
    </row>
    <row r="525" spans="1:3" ht="16">
      <c r="A525" s="360"/>
      <c r="B525" s="9"/>
      <c r="C525" s="9"/>
    </row>
    <row r="526" spans="1:3" ht="16">
      <c r="A526" s="360"/>
      <c r="B526" s="9"/>
      <c r="C526" s="9"/>
    </row>
    <row r="527" spans="1:3" ht="16">
      <c r="A527" s="360"/>
      <c r="B527" s="9"/>
      <c r="C527" s="9"/>
    </row>
    <row r="528" spans="1:3" ht="16">
      <c r="A528" s="360"/>
      <c r="B528" s="9"/>
      <c r="C528" s="9"/>
    </row>
    <row r="529" spans="1:3" ht="16">
      <c r="A529" s="360"/>
      <c r="B529" s="9"/>
      <c r="C529" s="9"/>
    </row>
    <row r="530" spans="1:3" ht="16">
      <c r="A530" s="360"/>
      <c r="B530" s="9"/>
      <c r="C530" s="9"/>
    </row>
    <row r="531" spans="1:3" ht="16">
      <c r="A531" s="360"/>
      <c r="B531" s="9"/>
      <c r="C531" s="9"/>
    </row>
    <row r="532" spans="1:3" ht="16">
      <c r="A532" s="360"/>
      <c r="B532" s="9"/>
      <c r="C532" s="9"/>
    </row>
    <row r="533" spans="1:3" ht="16">
      <c r="A533" s="360"/>
      <c r="B533" s="9"/>
      <c r="C533" s="9"/>
    </row>
    <row r="534" spans="1:3" ht="16">
      <c r="A534" s="360"/>
      <c r="B534" s="9"/>
      <c r="C534" s="9"/>
    </row>
    <row r="535" spans="1:3" ht="16">
      <c r="A535" s="360"/>
      <c r="B535" s="9"/>
      <c r="C535" s="9"/>
    </row>
    <row r="536" spans="1:3" ht="16">
      <c r="A536" s="360"/>
      <c r="B536" s="9"/>
      <c r="C536" s="9"/>
    </row>
    <row r="537" spans="1:3" ht="16">
      <c r="A537" s="360"/>
      <c r="B537" s="9"/>
      <c r="C537" s="9"/>
    </row>
    <row r="538" spans="1:3" ht="16">
      <c r="A538" s="360"/>
      <c r="B538" s="9"/>
      <c r="C538" s="9"/>
    </row>
    <row r="539" spans="1:3" ht="16">
      <c r="A539" s="360"/>
      <c r="B539" s="9"/>
      <c r="C539" s="9"/>
    </row>
    <row r="540" spans="1:3" ht="16">
      <c r="A540" s="360"/>
      <c r="B540" s="9"/>
      <c r="C540" s="9"/>
    </row>
    <row r="541" spans="1:3" ht="16">
      <c r="A541" s="360"/>
      <c r="B541" s="9"/>
      <c r="C541" s="9"/>
    </row>
    <row r="542" spans="1:3" ht="16">
      <c r="A542" s="360"/>
      <c r="B542" s="9"/>
      <c r="C542" s="9"/>
    </row>
    <row r="543" spans="1:3" ht="16">
      <c r="A543" s="360"/>
      <c r="B543" s="9"/>
      <c r="C543" s="9"/>
    </row>
    <row r="544" spans="1:3" ht="16">
      <c r="A544" s="360"/>
      <c r="B544" s="9"/>
      <c r="C544" s="9"/>
    </row>
    <row r="545" spans="1:3" ht="16">
      <c r="A545" s="360"/>
      <c r="B545" s="9"/>
      <c r="C545" s="9"/>
    </row>
    <row r="546" spans="1:3" ht="16">
      <c r="A546" s="360"/>
      <c r="B546" s="9"/>
      <c r="C546" s="9"/>
    </row>
    <row r="547" spans="1:3" ht="16">
      <c r="A547" s="360"/>
      <c r="B547" s="9"/>
      <c r="C547" s="9"/>
    </row>
    <row r="548" spans="1:3" ht="16">
      <c r="A548" s="360"/>
      <c r="B548" s="9"/>
      <c r="C548" s="9"/>
    </row>
    <row r="549" spans="1:3" ht="16">
      <c r="A549" s="360"/>
      <c r="B549" s="9"/>
      <c r="C549" s="9"/>
    </row>
    <row r="550" spans="1:3" ht="16">
      <c r="A550" s="360"/>
      <c r="B550" s="9"/>
      <c r="C550" s="9"/>
    </row>
    <row r="551" spans="1:3" ht="16">
      <c r="A551" s="360"/>
      <c r="B551" s="9"/>
      <c r="C551" s="9"/>
    </row>
    <row r="552" spans="1:3" ht="16">
      <c r="A552" s="360"/>
      <c r="B552" s="9"/>
      <c r="C552" s="9"/>
    </row>
    <row r="553" spans="1:3" ht="16">
      <c r="A553" s="360"/>
      <c r="B553" s="9"/>
      <c r="C553" s="9"/>
    </row>
    <row r="554" spans="1:3" ht="16">
      <c r="A554" s="360"/>
      <c r="B554" s="9"/>
      <c r="C554" s="9"/>
    </row>
    <row r="555" spans="1:3" ht="16">
      <c r="A555" s="360"/>
      <c r="B555" s="9"/>
      <c r="C555" s="9"/>
    </row>
    <row r="556" spans="1:3" ht="16">
      <c r="A556" s="360"/>
      <c r="B556" s="9"/>
      <c r="C556" s="9"/>
    </row>
    <row r="557" spans="1:3" ht="16">
      <c r="A557" s="360"/>
      <c r="B557" s="9"/>
      <c r="C557" s="9"/>
    </row>
    <row r="558" spans="1:3" ht="16">
      <c r="A558" s="360"/>
      <c r="B558" s="9"/>
      <c r="C558" s="9"/>
    </row>
    <row r="559" spans="1:3" ht="16">
      <c r="A559" s="360"/>
      <c r="B559" s="9"/>
      <c r="C559" s="9"/>
    </row>
    <row r="560" spans="1:3" ht="16">
      <c r="A560" s="360"/>
      <c r="B560" s="9"/>
      <c r="C560" s="9"/>
    </row>
    <row r="561" spans="1:3" ht="16">
      <c r="A561" s="360"/>
      <c r="B561" s="9"/>
      <c r="C561" s="9"/>
    </row>
    <row r="562" spans="1:3" ht="16">
      <c r="A562" s="360"/>
      <c r="B562" s="9"/>
      <c r="C562" s="9"/>
    </row>
    <row r="563" spans="1:3" ht="16">
      <c r="A563" s="360"/>
      <c r="B563" s="9"/>
      <c r="C563" s="9"/>
    </row>
    <row r="564" spans="1:3" ht="16">
      <c r="A564" s="360"/>
      <c r="B564" s="9"/>
      <c r="C564" s="9"/>
    </row>
    <row r="565" spans="1:3" ht="16">
      <c r="A565" s="360"/>
      <c r="B565" s="9"/>
      <c r="C565" s="9"/>
    </row>
    <row r="566" spans="1:3" ht="16">
      <c r="A566" s="360"/>
      <c r="B566" s="9"/>
      <c r="C566" s="9"/>
    </row>
    <row r="567" spans="1:3" ht="16">
      <c r="A567" s="360"/>
      <c r="B567" s="9"/>
      <c r="C567" s="9"/>
    </row>
    <row r="568" spans="1:3" ht="16">
      <c r="A568" s="360"/>
      <c r="B568" s="9"/>
      <c r="C568" s="9"/>
    </row>
    <row r="569" spans="1:3" ht="16">
      <c r="A569" s="360"/>
      <c r="B569" s="9"/>
      <c r="C569" s="9"/>
    </row>
    <row r="570" spans="1:3" ht="16">
      <c r="A570" s="360"/>
      <c r="B570" s="9"/>
      <c r="C570" s="9"/>
    </row>
    <row r="571" spans="1:3" ht="16">
      <c r="A571" s="360"/>
      <c r="B571" s="9"/>
      <c r="C571" s="9"/>
    </row>
    <row r="572" spans="1:3" ht="16">
      <c r="A572" s="360"/>
      <c r="B572" s="9"/>
      <c r="C572" s="9"/>
    </row>
    <row r="573" spans="1:3" ht="16">
      <c r="A573" s="360"/>
      <c r="B573" s="9"/>
      <c r="C573" s="9"/>
    </row>
    <row r="574" spans="1:3" ht="16">
      <c r="A574" s="360"/>
      <c r="B574" s="9"/>
      <c r="C574" s="9"/>
    </row>
    <row r="575" spans="1:3" ht="16">
      <c r="A575" s="360"/>
      <c r="B575" s="9"/>
      <c r="C575" s="9"/>
    </row>
    <row r="576" spans="1:3" ht="16">
      <c r="A576" s="360"/>
      <c r="B576" s="9"/>
      <c r="C576" s="9"/>
    </row>
    <row r="577" spans="1:3" ht="16">
      <c r="A577" s="360"/>
      <c r="B577" s="9"/>
      <c r="C577" s="9"/>
    </row>
    <row r="578" spans="1:3" ht="16">
      <c r="A578" s="360"/>
      <c r="B578" s="9"/>
      <c r="C578" s="9"/>
    </row>
    <row r="579" spans="1:3" ht="16">
      <c r="A579" s="360"/>
      <c r="B579" s="9"/>
      <c r="C579" s="9"/>
    </row>
    <row r="580" spans="1:3" ht="16">
      <c r="A580" s="360"/>
      <c r="B580" s="9"/>
      <c r="C580" s="9"/>
    </row>
    <row r="581" spans="1:3" ht="16">
      <c r="A581" s="360"/>
      <c r="B581" s="9"/>
      <c r="C581" s="9"/>
    </row>
    <row r="582" spans="1:3" ht="16">
      <c r="A582" s="360"/>
      <c r="B582" s="9"/>
      <c r="C582" s="9"/>
    </row>
    <row r="583" spans="1:3" ht="16">
      <c r="A583" s="360"/>
      <c r="B583" s="9"/>
      <c r="C583" s="9"/>
    </row>
    <row r="584" spans="1:3" ht="16">
      <c r="A584" s="360"/>
      <c r="B584" s="9"/>
      <c r="C584" s="9"/>
    </row>
    <row r="585" spans="1:3" ht="16">
      <c r="A585" s="360"/>
      <c r="B585" s="9"/>
      <c r="C585" s="9"/>
    </row>
    <row r="586" spans="1:3" ht="16">
      <c r="A586" s="360"/>
      <c r="B586" s="9"/>
      <c r="C586" s="9"/>
    </row>
    <row r="587" spans="1:3" ht="16">
      <c r="A587" s="360"/>
      <c r="B587" s="9"/>
      <c r="C587" s="9"/>
    </row>
    <row r="588" spans="1:3" ht="16">
      <c r="A588" s="360"/>
      <c r="B588" s="9"/>
      <c r="C588" s="9"/>
    </row>
    <row r="589" spans="1:3" ht="16">
      <c r="A589" s="360"/>
      <c r="B589" s="9"/>
      <c r="C589" s="9"/>
    </row>
    <row r="590" spans="1:3" ht="16">
      <c r="A590" s="360"/>
      <c r="B590" s="9"/>
      <c r="C590" s="9"/>
    </row>
    <row r="591" spans="1:3" ht="16">
      <c r="A591" s="360"/>
      <c r="B591" s="9"/>
      <c r="C591" s="9"/>
    </row>
    <row r="592" spans="1:3" ht="16">
      <c r="A592" s="360"/>
      <c r="B592" s="9"/>
      <c r="C592" s="9"/>
    </row>
    <row r="593" spans="1:3" ht="16">
      <c r="A593" s="360"/>
      <c r="B593" s="9"/>
      <c r="C593" s="9"/>
    </row>
    <row r="594" spans="1:3" ht="16">
      <c r="A594" s="360"/>
      <c r="B594" s="9"/>
      <c r="C594" s="9"/>
    </row>
    <row r="595" spans="1:3" ht="16">
      <c r="A595" s="360"/>
      <c r="B595" s="9"/>
      <c r="C595" s="9"/>
    </row>
    <row r="596" spans="1:3" ht="16">
      <c r="A596" s="360"/>
      <c r="B596" s="9"/>
      <c r="C596" s="9"/>
    </row>
    <row r="597" spans="1:3" ht="16">
      <c r="A597" s="360"/>
      <c r="B597" s="9"/>
      <c r="C597" s="9"/>
    </row>
    <row r="598" spans="1:3" ht="16">
      <c r="A598" s="360"/>
      <c r="B598" s="9"/>
      <c r="C598" s="9"/>
    </row>
    <row r="599" spans="1:3" ht="16">
      <c r="A599" s="360"/>
      <c r="B599" s="9"/>
      <c r="C599" s="9"/>
    </row>
    <row r="600" spans="1:3" ht="16">
      <c r="A600" s="360"/>
      <c r="B600" s="9"/>
      <c r="C600" s="9"/>
    </row>
    <row r="601" spans="1:3" ht="16">
      <c r="A601" s="360"/>
      <c r="B601" s="9"/>
      <c r="C601" s="9"/>
    </row>
    <row r="602" spans="1:3" ht="16">
      <c r="A602" s="360"/>
      <c r="B602" s="9"/>
      <c r="C602" s="9"/>
    </row>
    <row r="603" spans="1:3" ht="16">
      <c r="A603" s="360"/>
      <c r="B603" s="9"/>
      <c r="C603" s="9"/>
    </row>
    <row r="604" spans="1:3" ht="16">
      <c r="A604" s="360"/>
      <c r="B604" s="9"/>
      <c r="C604" s="9"/>
    </row>
    <row r="605" spans="1:3" ht="16">
      <c r="A605" s="360"/>
      <c r="B605" s="9"/>
      <c r="C605" s="9"/>
    </row>
    <row r="606" spans="1:3" ht="16">
      <c r="A606" s="360"/>
      <c r="B606" s="9"/>
      <c r="C606" s="9"/>
    </row>
    <row r="607" spans="1:3" ht="16">
      <c r="A607" s="360"/>
      <c r="B607" s="9"/>
      <c r="C607" s="9"/>
    </row>
    <row r="608" spans="1:3" ht="16">
      <c r="A608" s="360"/>
      <c r="B608" s="9"/>
      <c r="C608" s="9"/>
    </row>
    <row r="609" spans="1:3" ht="16">
      <c r="A609" s="360"/>
      <c r="B609" s="9"/>
      <c r="C609" s="9"/>
    </row>
    <row r="610" spans="1:3" ht="16">
      <c r="A610" s="360"/>
      <c r="B610" s="9"/>
      <c r="C610" s="9"/>
    </row>
    <row r="611" spans="1:3" ht="16">
      <c r="A611" s="360"/>
      <c r="B611" s="9"/>
      <c r="C611" s="9"/>
    </row>
    <row r="612" spans="1:3" ht="16">
      <c r="A612" s="360"/>
      <c r="B612" s="9"/>
      <c r="C612" s="9"/>
    </row>
    <row r="613" spans="1:3" ht="16">
      <c r="A613" s="360"/>
      <c r="B613" s="9"/>
      <c r="C613" s="9"/>
    </row>
    <row r="614" spans="1:3" ht="16">
      <c r="A614" s="360"/>
      <c r="B614" s="9"/>
      <c r="C614" s="9"/>
    </row>
    <row r="615" spans="1:3" ht="16">
      <c r="A615" s="360"/>
      <c r="B615" s="9"/>
      <c r="C615" s="9"/>
    </row>
    <row r="616" spans="1:3" ht="16">
      <c r="A616" s="360"/>
      <c r="B616" s="9"/>
      <c r="C616" s="9"/>
    </row>
    <row r="617" spans="1:3" ht="16">
      <c r="A617" s="360"/>
      <c r="B617" s="9"/>
      <c r="C617" s="9"/>
    </row>
    <row r="618" spans="1:3" ht="16">
      <c r="A618" s="360"/>
      <c r="B618" s="9"/>
      <c r="C618" s="9"/>
    </row>
    <row r="619" spans="1:3" ht="16">
      <c r="A619" s="360"/>
      <c r="B619" s="9"/>
      <c r="C619" s="9"/>
    </row>
    <row r="620" spans="1:3" ht="16">
      <c r="A620" s="360"/>
      <c r="B620" s="9"/>
      <c r="C620" s="9"/>
    </row>
    <row r="621" spans="1:3" ht="16">
      <c r="A621" s="360"/>
      <c r="B621" s="9"/>
      <c r="C621" s="9"/>
    </row>
    <row r="622" spans="1:3" ht="16">
      <c r="A622" s="360"/>
      <c r="B622" s="9"/>
      <c r="C622" s="9"/>
    </row>
    <row r="623" spans="1:3" ht="16">
      <c r="A623" s="360"/>
      <c r="B623" s="9"/>
      <c r="C623" s="9"/>
    </row>
    <row r="624" spans="1:3" ht="16">
      <c r="A624" s="360"/>
      <c r="B624" s="9"/>
      <c r="C624" s="9"/>
    </row>
    <row r="625" spans="1:3" ht="16">
      <c r="A625" s="360"/>
      <c r="B625" s="9"/>
      <c r="C625" s="9"/>
    </row>
    <row r="626" spans="1:3" ht="16">
      <c r="A626" s="360"/>
      <c r="B626" s="9"/>
      <c r="C626" s="9"/>
    </row>
    <row r="627" spans="1:3" ht="16">
      <c r="A627" s="360"/>
      <c r="B627" s="9"/>
      <c r="C627" s="9"/>
    </row>
    <row r="628" spans="1:3" ht="16">
      <c r="A628" s="360"/>
      <c r="B628" s="9"/>
      <c r="C628" s="9"/>
    </row>
    <row r="629" spans="1:3" ht="16">
      <c r="A629" s="360"/>
      <c r="B629" s="9"/>
      <c r="C629" s="9"/>
    </row>
    <row r="630" spans="1:3" ht="16">
      <c r="A630" s="360"/>
      <c r="B630" s="9"/>
      <c r="C630" s="9"/>
    </row>
    <row r="631" spans="1:3" ht="16">
      <c r="A631" s="360"/>
      <c r="B631" s="9"/>
      <c r="C631" s="9"/>
    </row>
    <row r="632" spans="1:3" ht="16">
      <c r="A632" s="360"/>
      <c r="B632" s="9"/>
      <c r="C632" s="9"/>
    </row>
    <row r="633" spans="1:3" ht="16">
      <c r="A633" s="360"/>
      <c r="B633" s="9"/>
      <c r="C633" s="9"/>
    </row>
    <row r="634" spans="1:3" ht="16">
      <c r="A634" s="360"/>
      <c r="B634" s="9"/>
      <c r="C634" s="9"/>
    </row>
    <row r="635" spans="1:3" ht="16">
      <c r="A635" s="360"/>
      <c r="B635" s="9"/>
      <c r="C635" s="9"/>
    </row>
    <row r="636" spans="1:3" ht="16">
      <c r="A636" s="360"/>
      <c r="B636" s="9"/>
      <c r="C636" s="9"/>
    </row>
    <row r="637" spans="1:3" ht="16">
      <c r="A637" s="360"/>
      <c r="B637" s="9"/>
      <c r="C637" s="9"/>
    </row>
    <row r="638" spans="1:3" ht="16">
      <c r="A638" s="360"/>
      <c r="B638" s="9"/>
      <c r="C638" s="9"/>
    </row>
    <row r="639" spans="1:3" ht="16">
      <c r="A639" s="360"/>
      <c r="B639" s="9"/>
      <c r="C639" s="9"/>
    </row>
    <row r="640" spans="1:3" ht="16">
      <c r="A640" s="360"/>
      <c r="B640" s="9"/>
      <c r="C640" s="9"/>
    </row>
    <row r="641" spans="1:3" ht="16">
      <c r="A641" s="360"/>
      <c r="B641" s="9"/>
      <c r="C641" s="9"/>
    </row>
    <row r="642" spans="1:3" ht="16">
      <c r="A642" s="360"/>
      <c r="B642" s="9"/>
      <c r="C642" s="9"/>
    </row>
    <row r="643" spans="1:3" ht="16">
      <c r="A643" s="360"/>
      <c r="B643" s="9"/>
      <c r="C643" s="9"/>
    </row>
    <row r="644" spans="1:3" ht="16">
      <c r="A644" s="360"/>
      <c r="B644" s="9"/>
      <c r="C644" s="9"/>
    </row>
    <row r="645" spans="1:3" ht="16">
      <c r="A645" s="360"/>
      <c r="B645" s="9"/>
      <c r="C645" s="9"/>
    </row>
    <row r="646" spans="1:3" ht="16">
      <c r="A646" s="360"/>
      <c r="B646" s="9"/>
      <c r="C646" s="9"/>
    </row>
    <row r="647" spans="1:3" ht="16">
      <c r="A647" s="360"/>
      <c r="B647" s="9"/>
      <c r="C647" s="9"/>
    </row>
    <row r="648" spans="1:3" ht="16">
      <c r="A648" s="360"/>
      <c r="B648" s="9"/>
      <c r="C648" s="9"/>
    </row>
    <row r="649" spans="1:3" ht="16">
      <c r="A649" s="360"/>
      <c r="B649" s="9"/>
      <c r="C649" s="9"/>
    </row>
    <row r="650" spans="1:3" ht="16">
      <c r="A650" s="360"/>
      <c r="B650" s="9"/>
      <c r="C650" s="9"/>
    </row>
    <row r="651" spans="1:3" ht="16">
      <c r="A651" s="360"/>
      <c r="B651" s="9"/>
      <c r="C651" s="9"/>
    </row>
    <row r="652" spans="1:3" ht="16">
      <c r="A652" s="360"/>
      <c r="B652" s="9"/>
      <c r="C652" s="9"/>
    </row>
    <row r="653" spans="1:3" ht="16">
      <c r="A653" s="360"/>
      <c r="B653" s="9"/>
      <c r="C653" s="9"/>
    </row>
    <row r="654" spans="1:3" ht="16">
      <c r="A654" s="360"/>
      <c r="B654" s="9"/>
      <c r="C654" s="9"/>
    </row>
    <row r="655" spans="1:3" ht="16">
      <c r="A655" s="360"/>
      <c r="B655" s="9"/>
      <c r="C655" s="9"/>
    </row>
    <row r="656" spans="1:3" ht="16">
      <c r="A656" s="360"/>
      <c r="B656" s="9"/>
      <c r="C656" s="9"/>
    </row>
    <row r="657" spans="1:3" ht="16">
      <c r="A657" s="360"/>
      <c r="B657" s="9"/>
      <c r="C657" s="9"/>
    </row>
    <row r="658" spans="1:3" ht="16">
      <c r="A658" s="360"/>
      <c r="B658" s="9"/>
      <c r="C658" s="9"/>
    </row>
    <row r="659" spans="1:3" ht="16">
      <c r="A659" s="360"/>
      <c r="B659" s="9"/>
      <c r="C659" s="9"/>
    </row>
    <row r="660" spans="1:3" ht="16">
      <c r="A660" s="360"/>
      <c r="B660" s="9"/>
      <c r="C660" s="9"/>
    </row>
    <row r="661" spans="1:3" ht="16">
      <c r="A661" s="360"/>
      <c r="B661" s="9"/>
      <c r="C661" s="9"/>
    </row>
    <row r="662" spans="1:3" ht="16">
      <c r="A662" s="360"/>
      <c r="B662" s="9"/>
      <c r="C662" s="9"/>
    </row>
    <row r="663" spans="1:3" ht="16">
      <c r="A663" s="360"/>
      <c r="B663" s="9"/>
      <c r="C663" s="9"/>
    </row>
    <row r="664" spans="1:3" ht="16">
      <c r="A664" s="360"/>
      <c r="B664" s="9"/>
      <c r="C664" s="9"/>
    </row>
    <row r="665" spans="1:3" ht="16">
      <c r="A665" s="360"/>
      <c r="B665" s="9"/>
      <c r="C665" s="9"/>
    </row>
    <row r="666" spans="1:3" ht="16">
      <c r="A666" s="360"/>
      <c r="B666" s="9"/>
      <c r="C666" s="9"/>
    </row>
    <row r="667" spans="1:3" ht="16">
      <c r="A667" s="360"/>
      <c r="B667" s="9"/>
      <c r="C667" s="9"/>
    </row>
    <row r="668" spans="1:3" ht="16">
      <c r="A668" s="360"/>
      <c r="B668" s="9"/>
      <c r="C668" s="9"/>
    </row>
    <row r="669" spans="1:3" ht="16">
      <c r="A669" s="360"/>
      <c r="B669" s="9"/>
      <c r="C669" s="9"/>
    </row>
    <row r="670" spans="1:3" ht="16">
      <c r="A670" s="360"/>
      <c r="B670" s="9"/>
      <c r="C670" s="9"/>
    </row>
    <row r="671" spans="1:3" ht="16">
      <c r="A671" s="360"/>
      <c r="B671" s="9"/>
      <c r="C671" s="9"/>
    </row>
    <row r="672" spans="1:3" ht="16">
      <c r="A672" s="360"/>
      <c r="B672" s="9"/>
      <c r="C672" s="9"/>
    </row>
    <row r="673" spans="1:3" ht="16">
      <c r="A673" s="360"/>
      <c r="B673" s="9"/>
      <c r="C673" s="9"/>
    </row>
    <row r="674" spans="1:3" ht="16">
      <c r="A674" s="360"/>
      <c r="B674" s="9"/>
      <c r="C674" s="9"/>
    </row>
    <row r="675" spans="1:3" ht="16">
      <c r="A675" s="360"/>
      <c r="B675" s="9"/>
      <c r="C675" s="9"/>
    </row>
    <row r="676" spans="1:3" ht="16">
      <c r="A676" s="360"/>
      <c r="B676" s="9"/>
      <c r="C676" s="9"/>
    </row>
    <row r="677" spans="1:3" ht="16">
      <c r="A677" s="360"/>
      <c r="B677" s="9"/>
      <c r="C677" s="9"/>
    </row>
    <row r="678" spans="1:3" ht="16">
      <c r="A678" s="360"/>
      <c r="B678" s="9"/>
      <c r="C678" s="9"/>
    </row>
    <row r="679" spans="1:3" ht="16">
      <c r="A679" s="360"/>
      <c r="B679" s="9"/>
      <c r="C679" s="9"/>
    </row>
    <row r="680" spans="1:3" ht="16">
      <c r="A680" s="360"/>
      <c r="B680" s="9"/>
      <c r="C680" s="9"/>
    </row>
    <row r="681" spans="1:3" ht="16">
      <c r="A681" s="360"/>
      <c r="B681" s="9"/>
      <c r="C681" s="9"/>
    </row>
    <row r="682" spans="1:3" ht="16">
      <c r="A682" s="360"/>
      <c r="B682" s="9"/>
      <c r="C682" s="9"/>
    </row>
    <row r="683" spans="1:3" ht="16">
      <c r="A683" s="360"/>
      <c r="B683" s="9"/>
      <c r="C683" s="9"/>
    </row>
    <row r="684" spans="1:3" ht="16">
      <c r="A684" s="360"/>
      <c r="B684" s="9"/>
      <c r="C684" s="9"/>
    </row>
    <row r="685" spans="1:3" ht="16">
      <c r="A685" s="360"/>
      <c r="B685" s="9"/>
      <c r="C685" s="9"/>
    </row>
    <row r="686" spans="1:3" ht="16">
      <c r="A686" s="360"/>
      <c r="B686" s="9"/>
      <c r="C686" s="9"/>
    </row>
    <row r="687" spans="1:3" ht="16">
      <c r="A687" s="360"/>
      <c r="B687" s="9"/>
      <c r="C687" s="9"/>
    </row>
    <row r="688" spans="1:3" ht="16">
      <c r="A688" s="360"/>
      <c r="B688" s="9"/>
      <c r="C688" s="9"/>
    </row>
    <row r="689" spans="1:3" ht="16">
      <c r="A689" s="360"/>
      <c r="B689" s="9"/>
      <c r="C689" s="9"/>
    </row>
    <row r="690" spans="1:3" ht="16">
      <c r="A690" s="360"/>
      <c r="B690" s="9"/>
      <c r="C690" s="9"/>
    </row>
    <row r="691" spans="1:3" ht="16">
      <c r="A691" s="360"/>
      <c r="B691" s="9"/>
      <c r="C691" s="9"/>
    </row>
    <row r="692" spans="1:3" ht="16">
      <c r="A692" s="360"/>
      <c r="B692" s="9"/>
      <c r="C692" s="9"/>
    </row>
    <row r="693" spans="1:3" ht="16">
      <c r="A693" s="360"/>
      <c r="B693" s="9"/>
      <c r="C693" s="9"/>
    </row>
    <row r="694" spans="1:3" ht="16">
      <c r="A694" s="360"/>
      <c r="B694" s="9"/>
      <c r="C694" s="9"/>
    </row>
    <row r="695" spans="1:3" ht="16">
      <c r="A695" s="360"/>
      <c r="B695" s="9"/>
      <c r="C695" s="9"/>
    </row>
    <row r="696" spans="1:3" ht="16">
      <c r="A696" s="360"/>
      <c r="B696" s="9"/>
      <c r="C696" s="9"/>
    </row>
    <row r="697" spans="1:3" ht="16">
      <c r="A697" s="360"/>
      <c r="B697" s="9"/>
      <c r="C697" s="9"/>
    </row>
    <row r="698" spans="1:3" ht="16">
      <c r="A698" s="360"/>
      <c r="B698" s="9"/>
      <c r="C698" s="9"/>
    </row>
    <row r="699" spans="1:3" ht="16">
      <c r="A699" s="360"/>
      <c r="B699" s="9"/>
      <c r="C699" s="9"/>
    </row>
    <row r="700" spans="1:3" ht="16">
      <c r="A700" s="360"/>
      <c r="B700" s="9"/>
      <c r="C700" s="9"/>
    </row>
    <row r="701" spans="1:3" ht="16">
      <c r="A701" s="360"/>
      <c r="B701" s="9"/>
      <c r="C701" s="9"/>
    </row>
    <row r="702" spans="1:3" ht="16">
      <c r="A702" s="360"/>
      <c r="B702" s="9"/>
      <c r="C702" s="9"/>
    </row>
    <row r="703" spans="1:3" ht="16">
      <c r="A703" s="360"/>
      <c r="B703" s="9"/>
      <c r="C703" s="9"/>
    </row>
    <row r="704" spans="1:3" ht="16">
      <c r="A704" s="360"/>
      <c r="B704" s="9"/>
      <c r="C704" s="9"/>
    </row>
    <row r="705" spans="1:3" ht="16">
      <c r="A705" s="360"/>
      <c r="B705" s="9"/>
      <c r="C705" s="9"/>
    </row>
    <row r="706" spans="1:3" ht="16">
      <c r="A706" s="360"/>
      <c r="B706" s="9"/>
      <c r="C706" s="9"/>
    </row>
    <row r="707" spans="1:3" ht="16">
      <c r="A707" s="360"/>
      <c r="B707" s="9"/>
      <c r="C707" s="9"/>
    </row>
    <row r="708" spans="1:3" ht="16">
      <c r="A708" s="360"/>
      <c r="B708" s="9"/>
      <c r="C708" s="9"/>
    </row>
    <row r="709" spans="1:3" ht="16">
      <c r="A709" s="360"/>
      <c r="B709" s="9"/>
      <c r="C709" s="9"/>
    </row>
    <row r="710" spans="1:3" ht="16">
      <c r="A710" s="360"/>
      <c r="B710" s="9"/>
      <c r="C710" s="9"/>
    </row>
    <row r="711" spans="1:3" ht="16">
      <c r="A711" s="360"/>
      <c r="B711" s="9"/>
      <c r="C711" s="9"/>
    </row>
    <row r="712" spans="1:3" ht="16">
      <c r="A712" s="360"/>
      <c r="B712" s="9"/>
      <c r="C712" s="9"/>
    </row>
    <row r="713" spans="1:3" ht="16">
      <c r="A713" s="360"/>
      <c r="B713" s="9"/>
      <c r="C713" s="9"/>
    </row>
    <row r="714" spans="1:3" ht="16">
      <c r="A714" s="360"/>
      <c r="B714" s="9"/>
      <c r="C714" s="9"/>
    </row>
    <row r="715" spans="1:3" ht="16">
      <c r="A715" s="360"/>
      <c r="B715" s="9"/>
      <c r="C715" s="9"/>
    </row>
    <row r="716" spans="1:3" ht="16">
      <c r="A716" s="360"/>
      <c r="B716" s="9"/>
      <c r="C716" s="9"/>
    </row>
    <row r="717" spans="1:3" ht="16">
      <c r="A717" s="360"/>
      <c r="B717" s="9"/>
      <c r="C717" s="9"/>
    </row>
    <row r="718" spans="1:3" ht="16">
      <c r="A718" s="360"/>
      <c r="B718" s="9"/>
      <c r="C718" s="9"/>
    </row>
    <row r="719" spans="1:3" ht="16">
      <c r="A719" s="360"/>
      <c r="B719" s="9"/>
      <c r="C719" s="9"/>
    </row>
    <row r="720" spans="1:3" ht="16">
      <c r="A720" s="360"/>
      <c r="B720" s="9"/>
      <c r="C720" s="9"/>
    </row>
    <row r="721" spans="1:3" ht="16">
      <c r="A721" s="360"/>
      <c r="B721" s="9"/>
      <c r="C721" s="9"/>
    </row>
    <row r="722" spans="1:3" ht="16">
      <c r="A722" s="360"/>
      <c r="B722" s="9"/>
      <c r="C722" s="9"/>
    </row>
    <row r="723" spans="1:3" ht="16">
      <c r="A723" s="360"/>
      <c r="B723" s="9"/>
      <c r="C723" s="9"/>
    </row>
    <row r="724" spans="1:3" ht="16">
      <c r="A724" s="360"/>
      <c r="B724" s="9"/>
      <c r="C724" s="9"/>
    </row>
    <row r="725" spans="1:3" ht="16">
      <c r="A725" s="360"/>
      <c r="B725" s="9"/>
      <c r="C725" s="9"/>
    </row>
    <row r="726" spans="1:3" ht="16">
      <c r="A726" s="360"/>
      <c r="B726" s="9"/>
      <c r="C726" s="9"/>
    </row>
    <row r="727" spans="1:3" ht="16">
      <c r="A727" s="360"/>
      <c r="B727" s="9"/>
      <c r="C727" s="9"/>
    </row>
    <row r="728" spans="1:3" ht="16">
      <c r="A728" s="360"/>
      <c r="B728" s="9"/>
      <c r="C728" s="9"/>
    </row>
    <row r="729" spans="1:3" ht="16">
      <c r="A729" s="360"/>
      <c r="B729" s="9"/>
      <c r="C729" s="9"/>
    </row>
    <row r="730" spans="1:3" ht="16">
      <c r="A730" s="360"/>
      <c r="B730" s="9"/>
      <c r="C730" s="9"/>
    </row>
    <row r="731" spans="1:3" ht="16">
      <c r="A731" s="360"/>
      <c r="B731" s="9"/>
      <c r="C731" s="9"/>
    </row>
    <row r="732" spans="1:3" ht="16">
      <c r="A732" s="360"/>
      <c r="B732" s="9"/>
      <c r="C732" s="9"/>
    </row>
    <row r="733" spans="1:3" ht="16">
      <c r="A733" s="360"/>
      <c r="B733" s="9"/>
      <c r="C733" s="9"/>
    </row>
    <row r="734" spans="1:3" ht="16">
      <c r="A734" s="360"/>
      <c r="B734" s="9"/>
      <c r="C734" s="9"/>
    </row>
    <row r="735" spans="1:3" ht="16">
      <c r="A735" s="360"/>
      <c r="B735" s="9"/>
      <c r="C735" s="9"/>
    </row>
    <row r="736" spans="1:3" ht="16">
      <c r="A736" s="360"/>
      <c r="B736" s="9"/>
      <c r="C736" s="9"/>
    </row>
    <row r="737" spans="1:3" ht="16">
      <c r="A737" s="360"/>
      <c r="B737" s="9"/>
      <c r="C737" s="9"/>
    </row>
    <row r="738" spans="1:3" ht="16">
      <c r="A738" s="360"/>
      <c r="B738" s="9"/>
      <c r="C738" s="9"/>
    </row>
    <row r="739" spans="1:3" ht="16">
      <c r="A739" s="360"/>
      <c r="B739" s="9"/>
      <c r="C739" s="9"/>
    </row>
    <row r="740" spans="1:3" ht="16">
      <c r="A740" s="360"/>
      <c r="B740" s="9"/>
      <c r="C740" s="9"/>
    </row>
    <row r="741" spans="1:3" ht="16">
      <c r="A741" s="360"/>
      <c r="B741" s="9"/>
      <c r="C741" s="9"/>
    </row>
    <row r="742" spans="1:3" ht="16">
      <c r="A742" s="360"/>
      <c r="B742" s="9"/>
      <c r="C742" s="9"/>
    </row>
    <row r="743" spans="1:3" ht="16">
      <c r="A743" s="360"/>
      <c r="B743" s="9"/>
      <c r="C743" s="9"/>
    </row>
    <row r="744" spans="1:3" ht="16">
      <c r="A744" s="360"/>
      <c r="B744" s="9"/>
      <c r="C744" s="9"/>
    </row>
    <row r="745" spans="1:3" ht="16">
      <c r="A745" s="360"/>
      <c r="B745" s="9"/>
      <c r="C745" s="9"/>
    </row>
    <row r="746" spans="1:3" ht="16">
      <c r="A746" s="360"/>
      <c r="B746" s="9"/>
      <c r="C746" s="9"/>
    </row>
    <row r="747" spans="1:3" ht="16">
      <c r="A747" s="360"/>
      <c r="B747" s="9"/>
      <c r="C747" s="9"/>
    </row>
    <row r="748" spans="1:3" ht="16">
      <c r="A748" s="360"/>
      <c r="B748" s="9"/>
      <c r="C748" s="9"/>
    </row>
    <row r="749" spans="1:3" ht="16">
      <c r="A749" s="360"/>
      <c r="B749" s="9"/>
      <c r="C749" s="9"/>
    </row>
    <row r="750" spans="1:3" ht="16">
      <c r="A750" s="360"/>
      <c r="B750" s="9"/>
      <c r="C750" s="9"/>
    </row>
    <row r="751" spans="1:3" ht="16">
      <c r="A751" s="360"/>
      <c r="B751" s="9"/>
      <c r="C751" s="9"/>
    </row>
    <row r="752" spans="1:3" ht="16">
      <c r="A752" s="360"/>
      <c r="B752" s="9"/>
      <c r="C752" s="9"/>
    </row>
    <row r="753" spans="1:3" ht="16">
      <c r="A753" s="360"/>
      <c r="B753" s="9"/>
      <c r="C753" s="9"/>
    </row>
    <row r="754" spans="1:3" ht="16">
      <c r="A754" s="360"/>
      <c r="B754" s="9"/>
      <c r="C754" s="9"/>
    </row>
    <row r="755" spans="1:3" ht="16">
      <c r="A755" s="360"/>
      <c r="B755" s="9"/>
      <c r="C755" s="9"/>
    </row>
    <row r="756" spans="1:3" ht="16">
      <c r="A756" s="360"/>
      <c r="B756" s="9"/>
      <c r="C756" s="9"/>
    </row>
    <row r="757" spans="1:3" ht="16">
      <c r="A757" s="360"/>
      <c r="B757" s="9"/>
      <c r="C757" s="9"/>
    </row>
    <row r="758" spans="1:3" ht="16">
      <c r="A758" s="360"/>
      <c r="B758" s="9"/>
      <c r="C758" s="9"/>
    </row>
    <row r="759" spans="1:3" ht="16">
      <c r="A759" s="360"/>
      <c r="B759" s="9"/>
      <c r="C759" s="9"/>
    </row>
    <row r="760" spans="1:3" ht="16">
      <c r="A760" s="360"/>
      <c r="B760" s="9"/>
      <c r="C760" s="9"/>
    </row>
    <row r="761" spans="1:3" ht="16">
      <c r="A761" s="360"/>
      <c r="B761" s="9"/>
      <c r="C761" s="9"/>
    </row>
    <row r="762" spans="1:3" ht="16">
      <c r="A762" s="360"/>
      <c r="B762" s="9"/>
      <c r="C762" s="9"/>
    </row>
    <row r="763" spans="1:3" ht="16">
      <c r="A763" s="360"/>
      <c r="B763" s="9"/>
      <c r="C763" s="9"/>
    </row>
    <row r="764" spans="1:3" ht="16">
      <c r="A764" s="360"/>
      <c r="B764" s="9"/>
      <c r="C764" s="9"/>
    </row>
    <row r="765" spans="1:3" ht="16">
      <c r="A765" s="360"/>
      <c r="B765" s="9"/>
      <c r="C765" s="9"/>
    </row>
    <row r="766" spans="1:3" ht="16">
      <c r="A766" s="360"/>
      <c r="B766" s="9"/>
      <c r="C766" s="9"/>
    </row>
    <row r="767" spans="1:3" ht="16">
      <c r="A767" s="360"/>
      <c r="B767" s="9"/>
      <c r="C767" s="9"/>
    </row>
    <row r="768" spans="1:3" ht="16">
      <c r="A768" s="360"/>
      <c r="B768" s="9"/>
      <c r="C768" s="9"/>
    </row>
    <row r="769" spans="1:3" ht="16">
      <c r="A769" s="360"/>
      <c r="B769" s="9"/>
      <c r="C769" s="9"/>
    </row>
    <row r="770" spans="1:3" ht="16">
      <c r="A770" s="360"/>
      <c r="B770" s="9"/>
      <c r="C770" s="9"/>
    </row>
    <row r="771" spans="1:3" ht="16">
      <c r="A771" s="360"/>
      <c r="B771" s="9"/>
      <c r="C771" s="9"/>
    </row>
    <row r="772" spans="1:3" ht="16">
      <c r="A772" s="360"/>
      <c r="B772" s="9"/>
      <c r="C772" s="9"/>
    </row>
    <row r="773" spans="1:3" ht="16">
      <c r="A773" s="360"/>
      <c r="B773" s="9"/>
      <c r="C773" s="9"/>
    </row>
    <row r="774" spans="1:3" ht="16">
      <c r="A774" s="360"/>
      <c r="B774" s="9"/>
      <c r="C774" s="9"/>
    </row>
    <row r="775" spans="1:3" ht="16">
      <c r="A775" s="360"/>
      <c r="B775" s="9"/>
      <c r="C775" s="9"/>
    </row>
    <row r="776" spans="1:3" ht="16">
      <c r="A776" s="360"/>
      <c r="B776" s="9"/>
      <c r="C776" s="9"/>
    </row>
    <row r="777" spans="1:3" ht="16">
      <c r="A777" s="360"/>
      <c r="B777" s="9"/>
      <c r="C777" s="9"/>
    </row>
    <row r="778" spans="1:3" ht="16">
      <c r="A778" s="360"/>
      <c r="B778" s="9"/>
      <c r="C778" s="9"/>
    </row>
    <row r="779" spans="1:3" ht="16">
      <c r="A779" s="360"/>
      <c r="B779" s="9"/>
      <c r="C779" s="9"/>
    </row>
    <row r="780" spans="1:3" ht="16">
      <c r="A780" s="360"/>
      <c r="B780" s="9"/>
      <c r="C780" s="9"/>
    </row>
    <row r="781" spans="1:3" ht="16">
      <c r="A781" s="360"/>
      <c r="B781" s="9"/>
      <c r="C781" s="9"/>
    </row>
    <row r="782" spans="1:3" ht="16">
      <c r="A782" s="360"/>
      <c r="B782" s="9"/>
      <c r="C782" s="9"/>
    </row>
    <row r="783" spans="1:3" ht="16">
      <c r="A783" s="360"/>
      <c r="B783" s="9"/>
      <c r="C783" s="9"/>
    </row>
    <row r="784" spans="1:3" ht="16">
      <c r="A784" s="360"/>
      <c r="B784" s="9"/>
      <c r="C784" s="9"/>
    </row>
    <row r="785" spans="1:3" ht="16">
      <c r="A785" s="360"/>
      <c r="B785" s="9"/>
      <c r="C785" s="9"/>
    </row>
    <row r="786" spans="1:3" ht="16">
      <c r="A786" s="360"/>
      <c r="B786" s="9"/>
      <c r="C786" s="9"/>
    </row>
    <row r="787" spans="1:3" ht="16">
      <c r="A787" s="360"/>
      <c r="B787" s="9"/>
      <c r="C787" s="9"/>
    </row>
    <row r="788" spans="1:3" ht="16">
      <c r="A788" s="360"/>
      <c r="B788" s="9"/>
      <c r="C788" s="9"/>
    </row>
    <row r="789" spans="1:3" ht="16">
      <c r="A789" s="360"/>
      <c r="B789" s="9"/>
      <c r="C789" s="9"/>
    </row>
    <row r="790" spans="1:3" ht="16">
      <c r="A790" s="360"/>
      <c r="B790" s="9"/>
      <c r="C790" s="9"/>
    </row>
    <row r="791" spans="1:3" ht="16">
      <c r="A791" s="360"/>
      <c r="B791" s="9"/>
      <c r="C791" s="9"/>
    </row>
    <row r="792" spans="1:3" ht="16">
      <c r="A792" s="360"/>
      <c r="B792" s="9"/>
      <c r="C792" s="9"/>
    </row>
    <row r="793" spans="1:3" ht="16">
      <c r="A793" s="360"/>
      <c r="B793" s="9"/>
      <c r="C793" s="9"/>
    </row>
    <row r="794" spans="1:3" ht="16">
      <c r="A794" s="360"/>
      <c r="B794" s="9"/>
      <c r="C794" s="9"/>
    </row>
    <row r="795" spans="1:3" ht="16">
      <c r="A795" s="360"/>
      <c r="B795" s="9"/>
      <c r="C795" s="9"/>
    </row>
    <row r="796" spans="1:3" ht="16">
      <c r="A796" s="360"/>
      <c r="B796" s="9"/>
      <c r="C796" s="9"/>
    </row>
    <row r="797" spans="1:3" ht="16">
      <c r="A797" s="360"/>
      <c r="B797" s="9"/>
      <c r="C797" s="9"/>
    </row>
    <row r="798" spans="1:3" ht="16">
      <c r="A798" s="360"/>
      <c r="B798" s="9"/>
      <c r="C798" s="9"/>
    </row>
    <row r="799" spans="1:3" ht="16">
      <c r="A799" s="360"/>
      <c r="B799" s="9"/>
      <c r="C799" s="9"/>
    </row>
    <row r="800" spans="1:3" ht="16">
      <c r="A800" s="360"/>
      <c r="B800" s="9"/>
      <c r="C800" s="9"/>
    </row>
    <row r="801" spans="1:3" ht="16">
      <c r="A801" s="360"/>
      <c r="B801" s="9"/>
      <c r="C801" s="9"/>
    </row>
    <row r="802" spans="1:3" ht="16">
      <c r="A802" s="360"/>
      <c r="B802" s="9"/>
      <c r="C802" s="9"/>
    </row>
    <row r="803" spans="1:3" ht="16">
      <c r="A803" s="360"/>
      <c r="B803" s="9"/>
      <c r="C803" s="9"/>
    </row>
    <row r="804" spans="1:3" ht="16">
      <c r="A804" s="360"/>
      <c r="B804" s="9"/>
      <c r="C804" s="9"/>
    </row>
    <row r="805" spans="1:3" ht="16">
      <c r="A805" s="360"/>
      <c r="B805" s="9"/>
      <c r="C805" s="9"/>
    </row>
    <row r="806" spans="1:3" ht="16">
      <c r="A806" s="360"/>
      <c r="B806" s="9"/>
      <c r="C806" s="9"/>
    </row>
    <row r="807" spans="1:3" ht="16">
      <c r="A807" s="360"/>
      <c r="B807" s="9"/>
      <c r="C807" s="9"/>
    </row>
    <row r="808" spans="1:3" ht="16">
      <c r="A808" s="360"/>
      <c r="B808" s="9"/>
      <c r="C808" s="9"/>
    </row>
    <row r="809" spans="1:3" ht="16">
      <c r="A809" s="360"/>
      <c r="B809" s="9"/>
      <c r="C809" s="9"/>
    </row>
    <row r="810" spans="1:3" ht="16">
      <c r="A810" s="360"/>
      <c r="B810" s="9"/>
      <c r="C810" s="9"/>
    </row>
    <row r="811" spans="1:3" ht="16">
      <c r="A811" s="360"/>
      <c r="B811" s="9"/>
      <c r="C811" s="9"/>
    </row>
    <row r="812" spans="1:3" ht="16">
      <c r="A812" s="360"/>
      <c r="B812" s="9"/>
      <c r="C812" s="9"/>
    </row>
    <row r="813" spans="1:3" ht="16">
      <c r="A813" s="360"/>
      <c r="B813" s="9"/>
      <c r="C813" s="9"/>
    </row>
    <row r="814" spans="1:3" ht="16">
      <c r="A814" s="360"/>
      <c r="B814" s="9"/>
      <c r="C814" s="9"/>
    </row>
    <row r="815" spans="1:3" ht="16">
      <c r="A815" s="360"/>
      <c r="B815" s="9"/>
      <c r="C815" s="9"/>
    </row>
    <row r="816" spans="1:3" ht="16">
      <c r="A816" s="360"/>
      <c r="B816" s="9"/>
      <c r="C816" s="9"/>
    </row>
    <row r="817" spans="1:3" ht="16">
      <c r="A817" s="360"/>
      <c r="B817" s="9"/>
      <c r="C817" s="9"/>
    </row>
    <row r="818" spans="1:3" ht="16">
      <c r="A818" s="360"/>
      <c r="B818" s="9"/>
      <c r="C818" s="9"/>
    </row>
    <row r="819" spans="1:3" ht="16">
      <c r="A819" s="360"/>
      <c r="B819" s="9"/>
      <c r="C819" s="9"/>
    </row>
    <row r="820" spans="1:3" ht="16">
      <c r="A820" s="360"/>
      <c r="B820" s="9"/>
      <c r="C820" s="9"/>
    </row>
    <row r="821" spans="1:3" ht="16">
      <c r="A821" s="360"/>
      <c r="B821" s="9"/>
      <c r="C821" s="9"/>
    </row>
    <row r="822" spans="1:3" ht="16">
      <c r="A822" s="360"/>
      <c r="B822" s="9"/>
      <c r="C822" s="9"/>
    </row>
    <row r="823" spans="1:3" ht="16">
      <c r="A823" s="360"/>
      <c r="B823" s="9"/>
      <c r="C823" s="9"/>
    </row>
    <row r="824" spans="1:3" ht="16">
      <c r="A824" s="360"/>
      <c r="B824" s="9"/>
      <c r="C824" s="9"/>
    </row>
    <row r="825" spans="1:3" ht="16">
      <c r="A825" s="360"/>
      <c r="B825" s="9"/>
      <c r="C825" s="9"/>
    </row>
    <row r="826" spans="1:3" ht="16">
      <c r="A826" s="360"/>
      <c r="B826" s="9"/>
      <c r="C826" s="9"/>
    </row>
    <row r="827" spans="1:3" ht="16">
      <c r="A827" s="360"/>
      <c r="B827" s="9"/>
      <c r="C827" s="9"/>
    </row>
    <row r="828" spans="1:3" ht="16">
      <c r="A828" s="360"/>
      <c r="B828" s="9"/>
      <c r="C828" s="9"/>
    </row>
    <row r="829" spans="1:3" ht="16">
      <c r="A829" s="360"/>
      <c r="B829" s="9"/>
      <c r="C829" s="9"/>
    </row>
    <row r="830" spans="1:3" ht="16">
      <c r="A830" s="360"/>
      <c r="B830" s="9"/>
      <c r="C830" s="9"/>
    </row>
    <row r="831" spans="1:3" ht="16">
      <c r="A831" s="360"/>
      <c r="B831" s="9"/>
      <c r="C831" s="9"/>
    </row>
    <row r="832" spans="1:3" ht="16">
      <c r="A832" s="360"/>
      <c r="B832" s="9"/>
      <c r="C832" s="9"/>
    </row>
    <row r="833" spans="1:3" ht="16">
      <c r="A833" s="360"/>
      <c r="B833" s="9"/>
      <c r="C833" s="9"/>
    </row>
    <row r="834" spans="1:3" ht="16">
      <c r="A834" s="360"/>
      <c r="B834" s="9"/>
      <c r="C834" s="9"/>
    </row>
    <row r="835" spans="1:3" ht="16">
      <c r="A835" s="360"/>
      <c r="B835" s="9"/>
      <c r="C835" s="9"/>
    </row>
    <row r="836" spans="1:3" ht="16">
      <c r="A836" s="360"/>
      <c r="B836" s="9"/>
      <c r="C836" s="9"/>
    </row>
    <row r="837" spans="1:3" ht="16">
      <c r="A837" s="360"/>
      <c r="B837" s="9"/>
      <c r="C837" s="9"/>
    </row>
    <row r="838" spans="1:3" ht="16">
      <c r="A838" s="360"/>
      <c r="B838" s="9"/>
      <c r="C838" s="9"/>
    </row>
    <row r="839" spans="1:3" ht="16">
      <c r="A839" s="360"/>
      <c r="B839" s="9"/>
      <c r="C839" s="9"/>
    </row>
    <row r="840" spans="1:3" ht="16">
      <c r="A840" s="360"/>
      <c r="B840" s="9"/>
      <c r="C840" s="9"/>
    </row>
    <row r="841" spans="1:3" ht="16">
      <c r="A841" s="360"/>
      <c r="B841" s="9"/>
      <c r="C841" s="9"/>
    </row>
    <row r="842" spans="1:3" ht="16">
      <c r="A842" s="360"/>
      <c r="B842" s="9"/>
      <c r="C842" s="9"/>
    </row>
    <row r="843" spans="1:3" ht="16">
      <c r="A843" s="360"/>
      <c r="B843" s="9"/>
      <c r="C843" s="9"/>
    </row>
    <row r="844" spans="1:3" ht="16">
      <c r="A844" s="360"/>
      <c r="B844" s="9"/>
      <c r="C844" s="9"/>
    </row>
    <row r="845" spans="1:3" ht="16">
      <c r="A845" s="360"/>
      <c r="B845" s="9"/>
      <c r="C845" s="9"/>
    </row>
    <row r="846" spans="1:3" ht="16">
      <c r="A846" s="360"/>
      <c r="B846" s="9"/>
      <c r="C846" s="9"/>
    </row>
    <row r="847" spans="1:3" ht="16">
      <c r="A847" s="360"/>
      <c r="B847" s="9"/>
      <c r="C847" s="9"/>
    </row>
    <row r="848" spans="1:3" ht="16">
      <c r="A848" s="360"/>
      <c r="B848" s="9"/>
      <c r="C848" s="9"/>
    </row>
    <row r="849" spans="1:3" ht="16">
      <c r="A849" s="360"/>
      <c r="B849" s="9"/>
      <c r="C849" s="9"/>
    </row>
    <row r="850" spans="1:3" ht="16">
      <c r="A850" s="360"/>
      <c r="B850" s="9"/>
      <c r="C850" s="9"/>
    </row>
    <row r="851" spans="1:3" ht="16">
      <c r="A851" s="360"/>
      <c r="B851" s="9"/>
      <c r="C851" s="9"/>
    </row>
    <row r="852" spans="1:3" ht="16">
      <c r="A852" s="360"/>
      <c r="B852" s="9"/>
      <c r="C852" s="9"/>
    </row>
    <row r="853" spans="1:3" ht="16">
      <c r="A853" s="360"/>
      <c r="B853" s="9"/>
      <c r="C853" s="9"/>
    </row>
    <row r="854" spans="1:3" ht="16">
      <c r="A854" s="360"/>
      <c r="B854" s="9"/>
      <c r="C854" s="9"/>
    </row>
    <row r="855" spans="1:3" ht="16">
      <c r="A855" s="360"/>
      <c r="B855" s="9"/>
      <c r="C855" s="9"/>
    </row>
    <row r="856" spans="1:3" ht="16">
      <c r="A856" s="360"/>
      <c r="B856" s="9"/>
      <c r="C856" s="9"/>
    </row>
    <row r="857" spans="1:3" ht="16">
      <c r="A857" s="360"/>
      <c r="B857" s="9"/>
      <c r="C857" s="9"/>
    </row>
    <row r="858" spans="1:3" ht="16">
      <c r="A858" s="360"/>
      <c r="B858" s="9"/>
      <c r="C858" s="9"/>
    </row>
    <row r="859" spans="1:3" ht="16">
      <c r="A859" s="360"/>
      <c r="B859" s="9"/>
      <c r="C859" s="9"/>
    </row>
    <row r="860" spans="1:3" ht="16">
      <c r="A860" s="360"/>
      <c r="B860" s="9"/>
      <c r="C860" s="9"/>
    </row>
    <row r="861" spans="1:3" ht="16">
      <c r="A861" s="360"/>
      <c r="B861" s="9"/>
      <c r="C861" s="9"/>
    </row>
    <row r="862" spans="1:3" ht="16">
      <c r="A862" s="360"/>
      <c r="B862" s="9"/>
      <c r="C862" s="9"/>
    </row>
    <row r="863" spans="1:3" ht="16">
      <c r="A863" s="360"/>
      <c r="B863" s="9"/>
      <c r="C863" s="9"/>
    </row>
    <row r="864" spans="1:3" ht="16">
      <c r="A864" s="360"/>
      <c r="B864" s="9"/>
      <c r="C864" s="9"/>
    </row>
    <row r="865" spans="1:3" ht="16">
      <c r="A865" s="360"/>
      <c r="B865" s="9"/>
      <c r="C865" s="9"/>
    </row>
    <row r="866" spans="1:3" ht="16">
      <c r="A866" s="360"/>
      <c r="B866" s="9"/>
      <c r="C866" s="9"/>
    </row>
    <row r="867" spans="1:3" ht="16">
      <c r="A867" s="360"/>
      <c r="B867" s="9"/>
      <c r="C867" s="9"/>
    </row>
    <row r="868" spans="1:3" ht="16">
      <c r="A868" s="360"/>
      <c r="B868" s="9"/>
      <c r="C868" s="9"/>
    </row>
    <row r="869" spans="1:3" ht="16">
      <c r="A869" s="360"/>
      <c r="B869" s="9"/>
      <c r="C869" s="9"/>
    </row>
    <row r="870" spans="1:3" ht="16">
      <c r="A870" s="360"/>
      <c r="B870" s="9"/>
      <c r="C870" s="9"/>
    </row>
    <row r="871" spans="1:3" ht="16">
      <c r="A871" s="360"/>
      <c r="B871" s="9"/>
      <c r="C871" s="9"/>
    </row>
    <row r="872" spans="1:3" ht="16">
      <c r="A872" s="360"/>
      <c r="B872" s="9"/>
      <c r="C872" s="9"/>
    </row>
    <row r="873" spans="1:3" ht="16">
      <c r="A873" s="360"/>
      <c r="B873" s="9"/>
      <c r="C873" s="9"/>
    </row>
    <row r="874" spans="1:3" ht="16">
      <c r="A874" s="360"/>
      <c r="B874" s="9"/>
      <c r="C874" s="9"/>
    </row>
    <row r="875" spans="1:3" ht="16">
      <c r="A875" s="360"/>
      <c r="B875" s="9"/>
      <c r="C875" s="9"/>
    </row>
    <row r="876" spans="1:3" ht="16">
      <c r="A876" s="360"/>
      <c r="B876" s="9"/>
      <c r="C876" s="9"/>
    </row>
    <row r="877" spans="1:3" ht="16">
      <c r="A877" s="360"/>
      <c r="B877" s="9"/>
      <c r="C877" s="9"/>
    </row>
    <row r="878" spans="1:3" ht="16">
      <c r="A878" s="360"/>
      <c r="B878" s="9"/>
      <c r="C878" s="9"/>
    </row>
    <row r="879" spans="1:3" ht="16">
      <c r="A879" s="360"/>
      <c r="B879" s="9"/>
      <c r="C879" s="9"/>
    </row>
    <row r="880" spans="1:3" ht="16">
      <c r="A880" s="360"/>
      <c r="B880" s="9"/>
      <c r="C880" s="9"/>
    </row>
    <row r="881" spans="1:3" ht="16">
      <c r="A881" s="360"/>
      <c r="B881" s="9"/>
      <c r="C881" s="9"/>
    </row>
    <row r="882" spans="1:3" ht="16">
      <c r="A882" s="360"/>
      <c r="B882" s="9"/>
      <c r="C882" s="9"/>
    </row>
    <row r="883" spans="1:3" ht="16">
      <c r="A883" s="360"/>
      <c r="B883" s="9"/>
      <c r="C883" s="9"/>
    </row>
    <row r="884" spans="1:3" ht="16">
      <c r="A884" s="360"/>
      <c r="B884" s="9"/>
      <c r="C884" s="9"/>
    </row>
    <row r="885" spans="1:3" ht="16">
      <c r="A885" s="360"/>
      <c r="B885" s="9"/>
      <c r="C885" s="9"/>
    </row>
    <row r="886" spans="1:3" ht="16">
      <c r="A886" s="360"/>
      <c r="B886" s="9"/>
      <c r="C886" s="9"/>
    </row>
    <row r="887" spans="1:3" ht="16">
      <c r="A887" s="360"/>
      <c r="B887" s="9"/>
      <c r="C887" s="9"/>
    </row>
    <row r="888" spans="1:3" ht="16">
      <c r="A888" s="360"/>
      <c r="B888" s="9"/>
      <c r="C888" s="9"/>
    </row>
    <row r="889" spans="1:3" ht="16">
      <c r="A889" s="360"/>
      <c r="B889" s="9"/>
      <c r="C889" s="9"/>
    </row>
    <row r="890" spans="1:3" ht="16">
      <c r="A890" s="360"/>
      <c r="B890" s="9"/>
      <c r="C890" s="9"/>
    </row>
    <row r="891" spans="1:3" ht="16">
      <c r="A891" s="360"/>
      <c r="B891" s="9"/>
      <c r="C891" s="9"/>
    </row>
    <row r="892" spans="1:3" ht="16">
      <c r="A892" s="360"/>
      <c r="B892" s="9"/>
      <c r="C892" s="9"/>
    </row>
    <row r="893" spans="1:3" ht="16">
      <c r="A893" s="360"/>
      <c r="B893" s="9"/>
      <c r="C893" s="9"/>
    </row>
    <row r="894" spans="1:3" ht="16">
      <c r="A894" s="360"/>
      <c r="B894" s="9"/>
      <c r="C894" s="9"/>
    </row>
    <row r="895" spans="1:3" ht="16">
      <c r="A895" s="360"/>
      <c r="B895" s="9"/>
      <c r="C895" s="9"/>
    </row>
    <row r="896" spans="1:3" ht="16">
      <c r="A896" s="360"/>
      <c r="B896" s="9"/>
      <c r="C896" s="9"/>
    </row>
    <row r="897" spans="1:3" ht="16">
      <c r="A897" s="360"/>
      <c r="B897" s="9"/>
      <c r="C897" s="9"/>
    </row>
    <row r="898" spans="1:3" ht="16">
      <c r="A898" s="360"/>
      <c r="B898" s="9"/>
      <c r="C898" s="9"/>
    </row>
    <row r="899" spans="1:3" ht="16">
      <c r="A899" s="360"/>
      <c r="B899" s="9"/>
      <c r="C899" s="9"/>
    </row>
    <row r="900" spans="1:3" ht="16">
      <c r="A900" s="360"/>
      <c r="B900" s="9"/>
      <c r="C900" s="9"/>
    </row>
    <row r="901" spans="1:3" ht="16">
      <c r="A901" s="360"/>
      <c r="B901" s="9"/>
      <c r="C901" s="9"/>
    </row>
    <row r="902" spans="1:3" ht="16">
      <c r="A902" s="360"/>
      <c r="B902" s="9"/>
      <c r="C902" s="9"/>
    </row>
    <row r="903" spans="1:3" ht="16">
      <c r="A903" s="360"/>
      <c r="B903" s="9"/>
      <c r="C903" s="9"/>
    </row>
    <row r="904" spans="1:3" ht="16">
      <c r="A904" s="360"/>
      <c r="B904" s="9"/>
      <c r="C904" s="9"/>
    </row>
    <row r="905" spans="1:3" ht="16">
      <c r="A905" s="360"/>
      <c r="B905" s="9"/>
      <c r="C905" s="9"/>
    </row>
    <row r="906" spans="1:3" ht="16">
      <c r="A906" s="360"/>
      <c r="B906" s="9"/>
      <c r="C906" s="9"/>
    </row>
    <row r="907" spans="1:3" ht="16">
      <c r="A907" s="360"/>
      <c r="B907" s="9"/>
      <c r="C907" s="9"/>
    </row>
    <row r="908" spans="1:3" ht="16">
      <c r="A908" s="360"/>
      <c r="B908" s="9"/>
      <c r="C908" s="9"/>
    </row>
    <row r="909" spans="1:3" ht="16">
      <c r="A909" s="360"/>
      <c r="B909" s="9"/>
      <c r="C909" s="9"/>
    </row>
    <row r="910" spans="1:3" ht="16">
      <c r="A910" s="360"/>
      <c r="B910" s="9"/>
      <c r="C910" s="9"/>
    </row>
    <row r="911" spans="1:3" ht="16">
      <c r="A911" s="360"/>
      <c r="B911" s="9"/>
      <c r="C911" s="9"/>
    </row>
    <row r="912" spans="1:3" ht="16">
      <c r="A912" s="360"/>
      <c r="B912" s="9"/>
      <c r="C912" s="9"/>
    </row>
    <row r="913" spans="1:3" ht="16">
      <c r="A913" s="360"/>
      <c r="B913" s="9"/>
      <c r="C913" s="9"/>
    </row>
    <row r="914" spans="1:3" ht="16">
      <c r="A914" s="360"/>
      <c r="B914" s="9"/>
      <c r="C914" s="9"/>
    </row>
    <row r="915" spans="1:3" ht="16">
      <c r="A915" s="360"/>
      <c r="B915" s="9"/>
      <c r="C915" s="9"/>
    </row>
    <row r="916" spans="1:3" ht="16">
      <c r="A916" s="360"/>
      <c r="B916" s="9"/>
      <c r="C916" s="9"/>
    </row>
    <row r="917" spans="1:3" ht="16">
      <c r="A917" s="360"/>
      <c r="B917" s="9"/>
      <c r="C917" s="9"/>
    </row>
    <row r="918" spans="1:3" ht="16">
      <c r="A918" s="360"/>
      <c r="B918" s="9"/>
      <c r="C918" s="9"/>
    </row>
    <row r="919" spans="1:3" ht="16">
      <c r="A919" s="360"/>
      <c r="B919" s="9"/>
      <c r="C919" s="9"/>
    </row>
    <row r="920" spans="1:3" ht="16">
      <c r="A920" s="360"/>
      <c r="B920" s="9"/>
      <c r="C920" s="9"/>
    </row>
    <row r="921" spans="1:3" ht="16">
      <c r="A921" s="360"/>
      <c r="B921" s="9"/>
      <c r="C921" s="9"/>
    </row>
    <row r="922" spans="1:3" ht="16">
      <c r="A922" s="360"/>
      <c r="B922" s="9"/>
      <c r="C922" s="9"/>
    </row>
    <row r="923" spans="1:3" ht="16">
      <c r="A923" s="360"/>
      <c r="B923" s="9"/>
      <c r="C923" s="9"/>
    </row>
    <row r="924" spans="1:3" ht="16">
      <c r="A924" s="360"/>
      <c r="B924" s="9"/>
      <c r="C924" s="9"/>
    </row>
    <row r="925" spans="1:3" ht="16">
      <c r="A925" s="360"/>
      <c r="B925" s="9"/>
      <c r="C925" s="9"/>
    </row>
    <row r="926" spans="1:3" ht="16">
      <c r="A926" s="360"/>
      <c r="B926" s="9"/>
      <c r="C926" s="9"/>
    </row>
    <row r="927" spans="1:3" ht="16">
      <c r="A927" s="360"/>
      <c r="B927" s="9"/>
      <c r="C927" s="9"/>
    </row>
    <row r="928" spans="1:3" ht="16">
      <c r="A928" s="360"/>
      <c r="B928" s="9"/>
      <c r="C928" s="9"/>
    </row>
    <row r="929" spans="1:3" ht="16">
      <c r="A929" s="360"/>
      <c r="B929" s="9"/>
      <c r="C929" s="9"/>
    </row>
    <row r="930" spans="1:3" ht="16">
      <c r="A930" s="360"/>
      <c r="B930" s="9"/>
      <c r="C930" s="9"/>
    </row>
    <row r="931" spans="1:3" ht="16">
      <c r="A931" s="360"/>
      <c r="B931" s="9"/>
      <c r="C931" s="9"/>
    </row>
    <row r="932" spans="1:3" ht="16">
      <c r="A932" s="360"/>
      <c r="B932" s="9"/>
      <c r="C932" s="9"/>
    </row>
    <row r="933" spans="1:3" ht="16">
      <c r="A933" s="360"/>
      <c r="B933" s="9"/>
      <c r="C933" s="9"/>
    </row>
    <row r="934" spans="1:3" ht="16">
      <c r="A934" s="360"/>
      <c r="B934" s="9"/>
      <c r="C934" s="9"/>
    </row>
    <row r="935" spans="1:3" ht="16">
      <c r="A935" s="360"/>
      <c r="B935" s="9"/>
      <c r="C935" s="9"/>
    </row>
    <row r="936" spans="1:3" ht="16">
      <c r="A936" s="360"/>
      <c r="B936" s="9"/>
      <c r="C936" s="9"/>
    </row>
    <row r="937" spans="1:3" ht="16">
      <c r="A937" s="360"/>
      <c r="B937" s="9"/>
      <c r="C937" s="9"/>
    </row>
    <row r="938" spans="1:3" ht="16">
      <c r="A938" s="360"/>
      <c r="B938" s="9"/>
      <c r="C938" s="9"/>
    </row>
    <row r="939" spans="1:3" ht="16">
      <c r="A939" s="360"/>
      <c r="B939" s="9"/>
      <c r="C939" s="9"/>
    </row>
    <row r="940" spans="1:3" ht="16">
      <c r="A940" s="360"/>
      <c r="B940" s="9"/>
      <c r="C940" s="9"/>
    </row>
    <row r="941" spans="1:3" ht="16">
      <c r="A941" s="360"/>
      <c r="B941" s="9"/>
      <c r="C941" s="9"/>
    </row>
    <row r="942" spans="1:3" ht="16">
      <c r="A942" s="360"/>
      <c r="B942" s="9"/>
      <c r="C942" s="9"/>
    </row>
    <row r="943" spans="1:3" ht="16">
      <c r="A943" s="360"/>
      <c r="B943" s="9"/>
      <c r="C943" s="9"/>
    </row>
    <row r="944" spans="1:3" ht="16">
      <c r="A944" s="360"/>
      <c r="B944" s="9"/>
      <c r="C944" s="9"/>
    </row>
    <row r="945" spans="1:3" ht="16">
      <c r="A945" s="360"/>
      <c r="B945" s="9"/>
      <c r="C945" s="9"/>
    </row>
    <row r="946" spans="1:3" ht="16">
      <c r="A946" s="360"/>
      <c r="B946" s="9"/>
      <c r="C946" s="9"/>
    </row>
    <row r="947" spans="1:3" ht="16">
      <c r="A947" s="360"/>
      <c r="B947" s="9"/>
      <c r="C947" s="9"/>
    </row>
    <row r="948" spans="1:3" ht="16">
      <c r="A948" s="360"/>
      <c r="B948" s="9"/>
      <c r="C948" s="9"/>
    </row>
    <row r="949" spans="1:3" ht="16">
      <c r="A949" s="360"/>
      <c r="B949" s="9"/>
      <c r="C949" s="9"/>
    </row>
    <row r="950" spans="1:3" ht="16">
      <c r="A950" s="360"/>
      <c r="B950" s="9"/>
      <c r="C950" s="9"/>
    </row>
    <row r="951" spans="1:3" ht="16">
      <c r="A951" s="360"/>
      <c r="B951" s="9"/>
      <c r="C951" s="9"/>
    </row>
    <row r="952" spans="1:3" ht="16">
      <c r="A952" s="360"/>
      <c r="B952" s="9"/>
      <c r="C952" s="9"/>
    </row>
    <row r="953" spans="1:3" ht="16">
      <c r="A953" s="360"/>
      <c r="B953" s="9"/>
      <c r="C953" s="9"/>
    </row>
    <row r="954" spans="1:3" ht="16">
      <c r="A954" s="360"/>
      <c r="B954" s="9"/>
      <c r="C954" s="9"/>
    </row>
    <row r="955" spans="1:3" ht="16">
      <c r="A955" s="360"/>
      <c r="B955" s="9"/>
      <c r="C955" s="9"/>
    </row>
    <row r="956" spans="1:3" ht="16">
      <c r="A956" s="360"/>
      <c r="B956" s="9"/>
      <c r="C956" s="9"/>
    </row>
    <row r="957" spans="1:3" ht="16">
      <c r="A957" s="360"/>
      <c r="B957" s="9"/>
      <c r="C957" s="9"/>
    </row>
    <row r="958" spans="1:3" ht="16">
      <c r="A958" s="360"/>
      <c r="B958" s="9"/>
      <c r="C958" s="9"/>
    </row>
    <row r="959" spans="1:3" ht="16">
      <c r="A959" s="360"/>
      <c r="B959" s="9"/>
      <c r="C959" s="9"/>
    </row>
    <row r="960" spans="1:3" ht="16">
      <c r="A960" s="360"/>
      <c r="B960" s="9"/>
      <c r="C960" s="9"/>
    </row>
    <row r="961" spans="1:3" ht="16">
      <c r="A961" s="360"/>
      <c r="B961" s="9"/>
      <c r="C961" s="9"/>
    </row>
    <row r="962" spans="1:3" ht="16">
      <c r="A962" s="360"/>
      <c r="B962" s="9"/>
      <c r="C962" s="9"/>
    </row>
    <row r="963" spans="1:3" ht="16">
      <c r="A963" s="360"/>
      <c r="B963" s="9"/>
      <c r="C963" s="9"/>
    </row>
    <row r="964" spans="1:3" ht="16">
      <c r="A964" s="360"/>
      <c r="B964" s="9"/>
      <c r="C964" s="9"/>
    </row>
    <row r="965" spans="1:3" ht="16">
      <c r="A965" s="360"/>
      <c r="B965" s="9"/>
      <c r="C965" s="9"/>
    </row>
    <row r="966" spans="1:3" ht="16">
      <c r="A966" s="360"/>
      <c r="B966" s="9"/>
      <c r="C966" s="9"/>
    </row>
    <row r="967" spans="1:3" ht="16">
      <c r="A967" s="360"/>
      <c r="B967" s="9"/>
      <c r="C967" s="9"/>
    </row>
    <row r="968" spans="1:3" ht="16">
      <c r="A968" s="360"/>
      <c r="B968" s="9"/>
      <c r="C968" s="9"/>
    </row>
    <row r="969" spans="1:3" ht="16">
      <c r="A969" s="360"/>
      <c r="B969" s="9"/>
      <c r="C969" s="9"/>
    </row>
    <row r="970" spans="1:3" ht="16">
      <c r="A970" s="360"/>
      <c r="B970" s="9"/>
      <c r="C970" s="9"/>
    </row>
    <row r="971" spans="1:3" ht="16">
      <c r="A971" s="360"/>
      <c r="B971" s="9"/>
      <c r="C971" s="9"/>
    </row>
    <row r="972" spans="1:3" ht="16">
      <c r="A972" s="360"/>
      <c r="B972" s="9"/>
      <c r="C972" s="9"/>
    </row>
    <row r="973" spans="1:3" ht="16">
      <c r="A973" s="360"/>
      <c r="B973" s="9"/>
      <c r="C973" s="9"/>
    </row>
    <row r="974" spans="1:3" ht="16">
      <c r="A974" s="360"/>
      <c r="B974" s="9"/>
      <c r="C974" s="9"/>
    </row>
    <row r="975" spans="1:3" ht="16">
      <c r="A975" s="360"/>
      <c r="B975" s="9"/>
      <c r="C975" s="9"/>
    </row>
    <row r="976" spans="1:3" ht="16">
      <c r="A976" s="360"/>
      <c r="B976" s="9"/>
      <c r="C976" s="9"/>
    </row>
    <row r="977" spans="1:3" ht="16">
      <c r="A977" s="360"/>
      <c r="B977" s="9"/>
      <c r="C977" s="9"/>
    </row>
    <row r="978" spans="1:3" ht="16">
      <c r="A978" s="360"/>
      <c r="B978" s="9"/>
      <c r="C978" s="9"/>
    </row>
    <row r="979" spans="1:3" ht="16">
      <c r="A979" s="360"/>
      <c r="B979" s="9"/>
      <c r="C979" s="9"/>
    </row>
    <row r="980" spans="1:3" ht="16">
      <c r="A980" s="360"/>
      <c r="B980" s="9"/>
      <c r="C980" s="9"/>
    </row>
    <row r="981" spans="1:3" ht="16">
      <c r="A981" s="360"/>
      <c r="B981" s="9"/>
      <c r="C981" s="9"/>
    </row>
    <row r="982" spans="1:3" ht="16">
      <c r="A982" s="360"/>
      <c r="B982" s="9"/>
      <c r="C982" s="9"/>
    </row>
    <row r="983" spans="1:3" ht="16">
      <c r="A983" s="360"/>
      <c r="B983" s="9"/>
      <c r="C983" s="9"/>
    </row>
    <row r="984" spans="1:3" ht="16">
      <c r="A984" s="360"/>
      <c r="B984" s="9"/>
      <c r="C984" s="9"/>
    </row>
    <row r="985" spans="1:3" ht="16">
      <c r="A985" s="360"/>
      <c r="B985" s="9"/>
      <c r="C985" s="9"/>
    </row>
    <row r="986" spans="1:3" ht="16">
      <c r="A986" s="360"/>
      <c r="B986" s="9"/>
      <c r="C986" s="9"/>
    </row>
    <row r="987" spans="1:3" ht="16">
      <c r="A987" s="360"/>
      <c r="B987" s="9"/>
      <c r="C987" s="9"/>
    </row>
    <row r="988" spans="1:3" ht="16">
      <c r="A988" s="360"/>
      <c r="B988" s="9"/>
      <c r="C988" s="9"/>
    </row>
    <row r="989" spans="1:3" ht="16">
      <c r="A989" s="360"/>
      <c r="B989" s="9"/>
      <c r="C989" s="9"/>
    </row>
    <row r="990" spans="1:3" ht="16">
      <c r="A990" s="360"/>
      <c r="B990" s="9"/>
      <c r="C990" s="9"/>
    </row>
    <row r="991" spans="1:3" ht="16">
      <c r="A991" s="360"/>
      <c r="B991" s="9"/>
      <c r="C991" s="9"/>
    </row>
    <row r="992" spans="1:3" ht="16">
      <c r="A992" s="360"/>
      <c r="B992" s="9"/>
      <c r="C992" s="9"/>
    </row>
    <row r="993" spans="1:3" ht="16">
      <c r="A993" s="360"/>
      <c r="B993" s="9"/>
      <c r="C993" s="9"/>
    </row>
    <row r="994" spans="1:3" ht="16">
      <c r="A994" s="360"/>
      <c r="B994" s="9"/>
      <c r="C994" s="9"/>
    </row>
    <row r="995" spans="1:3" ht="16">
      <c r="A995" s="360"/>
      <c r="B995" s="9"/>
      <c r="C995" s="9"/>
    </row>
    <row r="996" spans="1:3" ht="16">
      <c r="A996" s="360"/>
      <c r="B996" s="9"/>
      <c r="C996" s="9"/>
    </row>
    <row r="997" spans="1:3" ht="16">
      <c r="A997" s="360"/>
      <c r="B997" s="9"/>
      <c r="C997" s="9"/>
    </row>
    <row r="998" spans="1:3" ht="16">
      <c r="A998" s="360"/>
      <c r="B998" s="9"/>
      <c r="C998" s="9"/>
    </row>
    <row r="999" spans="1:3" ht="16">
      <c r="A999" s="360"/>
      <c r="B999" s="9"/>
      <c r="C999" s="9"/>
    </row>
    <row r="1000" spans="1:3" ht="16">
      <c r="A1000" s="360"/>
      <c r="B1000" s="9"/>
      <c r="C1000" s="9"/>
    </row>
    <row r="1001" spans="1:3" ht="16">
      <c r="A1001" s="360"/>
      <c r="B1001" s="9"/>
      <c r="C1001" s="9"/>
    </row>
    <row r="1002" spans="1:3" ht="16">
      <c r="A1002" s="360"/>
      <c r="B1002" s="9"/>
      <c r="C1002" s="9"/>
    </row>
    <row r="1003" spans="1:3" ht="16">
      <c r="A1003" s="360"/>
      <c r="B1003" s="9"/>
      <c r="C1003" s="9"/>
    </row>
    <row r="1004" spans="1:3" ht="16">
      <c r="A1004" s="360"/>
      <c r="B1004" s="9"/>
      <c r="C1004" s="9"/>
    </row>
    <row r="1005" spans="1:3" ht="16">
      <c r="A1005" s="360"/>
      <c r="B1005" s="9"/>
      <c r="C1005" s="9"/>
    </row>
    <row r="1006" spans="1:3" ht="16">
      <c r="A1006" s="360"/>
      <c r="B1006" s="9"/>
      <c r="C1006" s="9"/>
    </row>
    <row r="1007" spans="1:3" ht="16">
      <c r="A1007" s="360"/>
      <c r="B1007" s="9"/>
      <c r="C1007" s="9"/>
    </row>
    <row r="1008" spans="1:3" ht="16">
      <c r="A1008" s="360"/>
      <c r="B1008" s="9"/>
      <c r="C1008" s="9"/>
    </row>
    <row r="1009" spans="1:3" ht="16">
      <c r="A1009" s="360"/>
      <c r="B1009" s="9"/>
      <c r="C1009" s="9"/>
    </row>
    <row r="1010" spans="1:3" ht="16">
      <c r="A1010" s="360"/>
      <c r="B1010" s="9"/>
      <c r="C1010" s="9"/>
    </row>
    <row r="1011" spans="1:3" ht="16">
      <c r="A1011" s="360"/>
      <c r="B1011" s="9"/>
      <c r="C1011" s="9"/>
    </row>
    <row r="1012" spans="1:3" ht="16">
      <c r="A1012" s="360"/>
      <c r="B1012" s="9"/>
      <c r="C1012" s="9"/>
    </row>
    <row r="1013" spans="1:3" ht="16">
      <c r="A1013" s="360"/>
      <c r="B1013" s="9"/>
      <c r="C1013" s="9"/>
    </row>
    <row r="1014" spans="1:3" ht="16">
      <c r="A1014" s="360"/>
      <c r="B1014" s="9"/>
      <c r="C1014" s="9"/>
    </row>
    <row r="1015" spans="1:3" ht="16">
      <c r="A1015" s="360"/>
      <c r="B1015" s="9"/>
      <c r="C1015" s="9"/>
    </row>
    <row r="1016" spans="1:3" ht="16">
      <c r="A1016" s="360"/>
      <c r="B1016" s="9"/>
      <c r="C1016" s="9"/>
    </row>
    <row r="1017" spans="1:3" ht="16">
      <c r="A1017" s="360"/>
      <c r="B1017" s="9"/>
      <c r="C1017" s="9"/>
    </row>
    <row r="1018" spans="1:3" ht="16">
      <c r="A1018" s="360"/>
      <c r="B1018" s="9"/>
      <c r="C1018" s="9"/>
    </row>
    <row r="1019" spans="1:3" ht="16">
      <c r="A1019" s="360"/>
      <c r="B1019" s="9"/>
      <c r="C1019" s="9"/>
    </row>
    <row r="1020" spans="1:3" ht="16">
      <c r="A1020" s="360"/>
      <c r="B1020" s="9"/>
      <c r="C1020" s="9"/>
    </row>
    <row r="1021" spans="1:3" ht="16">
      <c r="A1021" s="360"/>
      <c r="B1021" s="9"/>
      <c r="C1021" s="9"/>
    </row>
    <row r="1022" spans="1:3" ht="16">
      <c r="A1022" s="360"/>
      <c r="B1022" s="9"/>
      <c r="C1022" s="9"/>
    </row>
    <row r="1023" spans="1:3" ht="16">
      <c r="A1023" s="360"/>
      <c r="B1023" s="9"/>
      <c r="C1023" s="9"/>
    </row>
    <row r="1024" spans="1:3" ht="16">
      <c r="A1024" s="360"/>
      <c r="B1024" s="9"/>
      <c r="C1024" s="9"/>
    </row>
    <row r="1025" spans="1:3" ht="16">
      <c r="A1025" s="360"/>
      <c r="B1025" s="9"/>
      <c r="C1025" s="9"/>
    </row>
    <row r="1026" spans="1:3" ht="16">
      <c r="A1026" s="360"/>
      <c r="B1026" s="9"/>
      <c r="C1026" s="9"/>
    </row>
    <row r="1027" spans="1:3" ht="16">
      <c r="A1027" s="360"/>
      <c r="B1027" s="9"/>
      <c r="C1027" s="9"/>
    </row>
    <row r="1028" spans="1:3" ht="16">
      <c r="A1028" s="360"/>
      <c r="B1028" s="9"/>
      <c r="C1028" s="9"/>
    </row>
    <row r="1029" spans="1:3" ht="16">
      <c r="A1029" s="360"/>
      <c r="B1029" s="9"/>
      <c r="C1029" s="9"/>
    </row>
    <row r="1030" spans="1:3" ht="16">
      <c r="A1030" s="360"/>
      <c r="B1030" s="9"/>
      <c r="C1030" s="9"/>
    </row>
    <row r="1031" spans="1:3" ht="16">
      <c r="A1031" s="360"/>
      <c r="B1031" s="9"/>
      <c r="C1031" s="9"/>
    </row>
    <row r="1032" spans="1:3" ht="16">
      <c r="A1032" s="360"/>
      <c r="B1032" s="9"/>
      <c r="C1032" s="9"/>
    </row>
    <row r="1033" spans="1:3" ht="16">
      <c r="A1033" s="360"/>
      <c r="B1033" s="9"/>
      <c r="C1033" s="9"/>
    </row>
    <row r="1034" spans="1:3" ht="16">
      <c r="A1034" s="360"/>
      <c r="B1034" s="9"/>
      <c r="C1034" s="9"/>
    </row>
    <row r="1035" spans="1:3" ht="16">
      <c r="A1035" s="360"/>
      <c r="B1035" s="9"/>
      <c r="C1035" s="9"/>
    </row>
    <row r="1036" spans="1:3" ht="16">
      <c r="A1036" s="360"/>
      <c r="B1036" s="9"/>
      <c r="C1036" s="9"/>
    </row>
    <row r="1037" spans="1:3" ht="16">
      <c r="A1037" s="360"/>
      <c r="B1037" s="9"/>
      <c r="C1037" s="9"/>
    </row>
    <row r="1038" spans="1:3" ht="16">
      <c r="A1038" s="360"/>
      <c r="B1038" s="9"/>
      <c r="C1038" s="9"/>
    </row>
    <row r="1039" spans="1:3" ht="16">
      <c r="A1039" s="360"/>
      <c r="B1039" s="9"/>
      <c r="C1039" s="9"/>
    </row>
    <row r="1040" spans="1:3" ht="16">
      <c r="A1040" s="360"/>
      <c r="B1040" s="9"/>
      <c r="C1040" s="9"/>
    </row>
    <row r="1041" spans="1:3" ht="16">
      <c r="A1041" s="360"/>
      <c r="B1041" s="9"/>
      <c r="C1041" s="9"/>
    </row>
    <row r="1042" spans="1:3" ht="16">
      <c r="A1042" s="360"/>
      <c r="B1042" s="9"/>
      <c r="C1042" s="9"/>
    </row>
    <row r="1043" spans="1:3" ht="16">
      <c r="A1043" s="360"/>
      <c r="B1043" s="9"/>
      <c r="C1043" s="9"/>
    </row>
    <row r="1044" spans="1:3" ht="16">
      <c r="A1044" s="360"/>
      <c r="B1044" s="9"/>
      <c r="C1044" s="9"/>
    </row>
    <row r="1045" spans="1:3" ht="16">
      <c r="A1045" s="360"/>
      <c r="B1045" s="9"/>
      <c r="C1045" s="9"/>
    </row>
    <row r="1046" spans="1:3" ht="16">
      <c r="A1046" s="360"/>
      <c r="B1046" s="9"/>
      <c r="C1046" s="9"/>
    </row>
    <row r="1047" spans="1:3" ht="16">
      <c r="A1047" s="360"/>
      <c r="B1047" s="9"/>
      <c r="C1047" s="9"/>
    </row>
    <row r="1048" spans="1:3" ht="16">
      <c r="A1048" s="360"/>
      <c r="B1048" s="9"/>
      <c r="C1048" s="9"/>
    </row>
    <row r="1049" spans="1:3" ht="16">
      <c r="A1049" s="360"/>
      <c r="B1049" s="9"/>
      <c r="C1049" s="9"/>
    </row>
    <row r="1050" spans="1:3" ht="16">
      <c r="A1050" s="360"/>
      <c r="B1050" s="9"/>
      <c r="C1050" s="9"/>
    </row>
    <row r="1051" spans="1:3" ht="16">
      <c r="A1051" s="360"/>
      <c r="B1051" s="9"/>
      <c r="C1051" s="9"/>
    </row>
    <row r="1052" spans="1:3" ht="16">
      <c r="A1052" s="360"/>
      <c r="B1052" s="9"/>
      <c r="C1052" s="9"/>
    </row>
    <row r="1053" spans="1:3" ht="16">
      <c r="A1053" s="360"/>
      <c r="B1053" s="9"/>
      <c r="C1053" s="9"/>
    </row>
    <row r="1054" spans="1:3" ht="16">
      <c r="A1054" s="360"/>
      <c r="B1054" s="9"/>
      <c r="C1054" s="9"/>
    </row>
    <row r="1055" spans="1:3" ht="16">
      <c r="A1055" s="360"/>
      <c r="B1055" s="9"/>
      <c r="C1055" s="9"/>
    </row>
    <row r="1056" spans="1:3" ht="16">
      <c r="A1056" s="360"/>
      <c r="B1056" s="9"/>
      <c r="C1056" s="9"/>
    </row>
    <row r="1057" spans="1:3" ht="16">
      <c r="A1057" s="360"/>
      <c r="B1057" s="9"/>
      <c r="C1057" s="9"/>
    </row>
    <row r="1058" spans="1:3" ht="16">
      <c r="A1058" s="360"/>
      <c r="B1058" s="9"/>
      <c r="C1058" s="9"/>
    </row>
    <row r="1059" spans="1:3" ht="16">
      <c r="A1059" s="360"/>
      <c r="B1059" s="9"/>
      <c r="C1059" s="9"/>
    </row>
    <row r="1060" spans="1:3" ht="16">
      <c r="A1060" s="360"/>
      <c r="B1060" s="9"/>
      <c r="C1060" s="9"/>
    </row>
    <row r="1061" spans="1:3" ht="16">
      <c r="A1061" s="360"/>
      <c r="B1061" s="9"/>
      <c r="C1061" s="9"/>
    </row>
    <row r="1062" spans="1:3" ht="16">
      <c r="A1062" s="360"/>
      <c r="B1062" s="9"/>
      <c r="C1062" s="9"/>
    </row>
    <row r="1063" spans="1:3" ht="16">
      <c r="A1063" s="360"/>
      <c r="B1063" s="9"/>
      <c r="C1063" s="9"/>
    </row>
    <row r="1064" spans="1:3" ht="16">
      <c r="A1064" s="360"/>
      <c r="B1064" s="9"/>
      <c r="C1064" s="9"/>
    </row>
    <row r="1065" spans="1:3" ht="16">
      <c r="A1065" s="360"/>
      <c r="B1065" s="9"/>
      <c r="C1065" s="9"/>
    </row>
    <row r="1066" spans="1:3" ht="16">
      <c r="A1066" s="360"/>
      <c r="B1066" s="9"/>
      <c r="C1066" s="9"/>
    </row>
    <row r="1067" spans="1:3" ht="16">
      <c r="A1067" s="360"/>
      <c r="B1067" s="9"/>
      <c r="C1067" s="9"/>
    </row>
    <row r="1068" spans="1:3" ht="16">
      <c r="A1068" s="360"/>
      <c r="B1068" s="9"/>
      <c r="C1068" s="9"/>
    </row>
    <row r="1069" spans="1:3" ht="16">
      <c r="A1069" s="360"/>
      <c r="B1069" s="9"/>
      <c r="C1069" s="9"/>
    </row>
    <row r="1070" spans="1:3" ht="16">
      <c r="A1070" s="360"/>
      <c r="B1070" s="9"/>
      <c r="C1070" s="9"/>
    </row>
    <row r="1071" spans="1:3" ht="16">
      <c r="A1071" s="360"/>
      <c r="B1071" s="9"/>
      <c r="C1071" s="9"/>
    </row>
    <row r="1072" spans="1:3" ht="16">
      <c r="A1072" s="360"/>
      <c r="B1072" s="9"/>
      <c r="C1072" s="9"/>
    </row>
    <row r="1073" spans="1:3" ht="16">
      <c r="A1073" s="360"/>
      <c r="B1073" s="9"/>
      <c r="C1073" s="9"/>
    </row>
    <row r="1074" spans="1:3" ht="16">
      <c r="A1074" s="360"/>
      <c r="B1074" s="9"/>
      <c r="C1074" s="9"/>
    </row>
    <row r="1075" spans="1:3" ht="16">
      <c r="A1075" s="360"/>
      <c r="B1075" s="9"/>
      <c r="C1075" s="9"/>
    </row>
    <row r="1076" spans="1:3" ht="16">
      <c r="A1076" s="360"/>
      <c r="B1076" s="9"/>
      <c r="C1076" s="9"/>
    </row>
    <row r="1077" spans="1:3" ht="16">
      <c r="A1077" s="360"/>
      <c r="B1077" s="9"/>
      <c r="C1077" s="9"/>
    </row>
    <row r="1078" spans="1:3" ht="16">
      <c r="A1078" s="360"/>
      <c r="B1078" s="9"/>
      <c r="C1078" s="9"/>
    </row>
    <row r="1079" spans="1:3" ht="16">
      <c r="A1079" s="360"/>
      <c r="B1079" s="9"/>
      <c r="C1079" s="9"/>
    </row>
    <row r="1080" spans="1:3" ht="16">
      <c r="A1080" s="360"/>
      <c r="B1080" s="9"/>
      <c r="C1080" s="9"/>
    </row>
    <row r="1081" spans="1:3" ht="16">
      <c r="A1081" s="360"/>
      <c r="B1081" s="9"/>
      <c r="C1081" s="9"/>
    </row>
    <row r="1082" spans="1:3" ht="16">
      <c r="A1082" s="360"/>
      <c r="B1082" s="9"/>
      <c r="C1082" s="9"/>
    </row>
    <row r="1083" spans="1:3" ht="16">
      <c r="A1083" s="360"/>
      <c r="B1083" s="9"/>
      <c r="C1083" s="9"/>
    </row>
    <row r="1084" spans="1:3" ht="16">
      <c r="A1084" s="360"/>
      <c r="B1084" s="9"/>
      <c r="C1084" s="9"/>
    </row>
    <row r="1085" spans="1:3" ht="16">
      <c r="A1085" s="360"/>
      <c r="B1085" s="9"/>
      <c r="C1085" s="9"/>
    </row>
    <row r="1086" spans="1:3" ht="16">
      <c r="A1086" s="360"/>
      <c r="B1086" s="9"/>
      <c r="C1086" s="9"/>
    </row>
    <row r="1087" spans="1:3" ht="16">
      <c r="A1087" s="360"/>
      <c r="B1087" s="9"/>
      <c r="C1087" s="9"/>
    </row>
    <row r="1088" spans="1:3" ht="16">
      <c r="A1088" s="360"/>
      <c r="B1088" s="9"/>
      <c r="C1088" s="9"/>
    </row>
    <row r="1089" spans="1:3" ht="16">
      <c r="A1089" s="360"/>
      <c r="B1089" s="9"/>
      <c r="C1089" s="9"/>
    </row>
    <row r="1090" spans="1:3" ht="16">
      <c r="A1090" s="360"/>
      <c r="B1090" s="9"/>
      <c r="C1090" s="9"/>
    </row>
    <row r="1091" spans="1:3" ht="16">
      <c r="A1091" s="360"/>
      <c r="B1091" s="9"/>
      <c r="C1091" s="9"/>
    </row>
    <row r="1092" spans="1:3" ht="16">
      <c r="A1092" s="360"/>
      <c r="B1092" s="9"/>
      <c r="C1092" s="9"/>
    </row>
    <row r="1093" spans="1:3" ht="16">
      <c r="A1093" s="360"/>
      <c r="B1093" s="9"/>
      <c r="C1093" s="9"/>
    </row>
    <row r="1094" spans="1:3" ht="16">
      <c r="A1094" s="360"/>
      <c r="B1094" s="9"/>
      <c r="C1094" s="9"/>
    </row>
    <row r="1095" spans="1:3" ht="16">
      <c r="A1095" s="360"/>
      <c r="B1095" s="9"/>
      <c r="C1095" s="9"/>
    </row>
    <row r="1096" spans="1:3" ht="16">
      <c r="A1096" s="360"/>
      <c r="B1096" s="9"/>
      <c r="C1096" s="9"/>
    </row>
    <row r="1097" spans="1:3" ht="16">
      <c r="A1097" s="360"/>
      <c r="B1097" s="9"/>
      <c r="C1097" s="9"/>
    </row>
    <row r="1098" spans="1:3" ht="16">
      <c r="A1098" s="360"/>
      <c r="B1098" s="9"/>
      <c r="C1098" s="9"/>
    </row>
    <row r="1099" spans="1:3" ht="16">
      <c r="A1099" s="360"/>
      <c r="B1099" s="9"/>
      <c r="C1099" s="9"/>
    </row>
    <row r="1100" spans="1:3" ht="16">
      <c r="A1100" s="360"/>
      <c r="B1100" s="9"/>
      <c r="C1100" s="9"/>
    </row>
    <row r="1101" spans="1:3" ht="16">
      <c r="A1101" s="360"/>
      <c r="B1101" s="9"/>
      <c r="C1101" s="9"/>
    </row>
    <row r="1102" spans="1:3" ht="16">
      <c r="A1102" s="360"/>
      <c r="B1102" s="9"/>
      <c r="C1102" s="9"/>
    </row>
    <row r="1103" spans="1:3" ht="16">
      <c r="A1103" s="360"/>
      <c r="B1103" s="9"/>
      <c r="C1103" s="9"/>
    </row>
    <row r="1104" spans="1:3" ht="16">
      <c r="A1104" s="360"/>
      <c r="B1104" s="9"/>
      <c r="C1104" s="9"/>
    </row>
    <row r="1105" spans="1:3" ht="16">
      <c r="A1105" s="360"/>
      <c r="B1105" s="9"/>
      <c r="C1105" s="9"/>
    </row>
    <row r="1106" spans="1:3" ht="16">
      <c r="A1106" s="360"/>
      <c r="B1106" s="9"/>
      <c r="C1106" s="9"/>
    </row>
    <row r="1107" spans="1:3" ht="16">
      <c r="A1107" s="360"/>
      <c r="B1107" s="9"/>
      <c r="C1107" s="9"/>
    </row>
    <row r="1108" spans="1:3" ht="16">
      <c r="A1108" s="360"/>
      <c r="B1108" s="9"/>
      <c r="C1108" s="9"/>
    </row>
    <row r="1109" spans="1:3" ht="16">
      <c r="A1109" s="360"/>
      <c r="B1109" s="9"/>
      <c r="C1109" s="9"/>
    </row>
    <row r="1110" spans="1:3" ht="16">
      <c r="A1110" s="360"/>
      <c r="B1110" s="9"/>
      <c r="C1110" s="9"/>
    </row>
    <row r="1111" spans="1:3" ht="16">
      <c r="A1111" s="360"/>
      <c r="B1111" s="9"/>
      <c r="C1111" s="9"/>
    </row>
    <row r="1112" spans="1:3" ht="16">
      <c r="A1112" s="360"/>
      <c r="B1112" s="9"/>
      <c r="C1112" s="9"/>
    </row>
    <row r="1113" spans="1:3" ht="16">
      <c r="A1113" s="360"/>
      <c r="B1113" s="9"/>
      <c r="C1113" s="9"/>
    </row>
    <row r="1114" spans="1:3" ht="16">
      <c r="A1114" s="360"/>
      <c r="B1114" s="9"/>
      <c r="C1114" s="9"/>
    </row>
    <row r="1115" spans="1:3" ht="16">
      <c r="A1115" s="360"/>
      <c r="B1115" s="9"/>
      <c r="C1115" s="9"/>
    </row>
    <row r="1116" spans="1:3" ht="16">
      <c r="A1116" s="360"/>
      <c r="B1116" s="9"/>
      <c r="C1116" s="9"/>
    </row>
    <row r="1117" spans="1:3" ht="16">
      <c r="A1117" s="360"/>
      <c r="B1117" s="9"/>
      <c r="C1117" s="9"/>
    </row>
    <row r="1118" spans="1:3" ht="16">
      <c r="A1118" s="360"/>
      <c r="B1118" s="9"/>
      <c r="C1118" s="9"/>
    </row>
    <row r="1119" spans="1:3" ht="16">
      <c r="A1119" s="360"/>
      <c r="B1119" s="9"/>
      <c r="C1119" s="9"/>
    </row>
    <row r="1120" spans="1:3" ht="16">
      <c r="A1120" s="360"/>
      <c r="B1120" s="9"/>
      <c r="C1120" s="9"/>
    </row>
    <row r="1121" spans="1:3" ht="16">
      <c r="A1121" s="360"/>
      <c r="B1121" s="9"/>
      <c r="C1121" s="9"/>
    </row>
    <row r="1122" spans="1:3" ht="16">
      <c r="A1122" s="360"/>
      <c r="B1122" s="9"/>
      <c r="C1122" s="9"/>
    </row>
    <row r="1123" spans="1:3" ht="16">
      <c r="A1123" s="360"/>
      <c r="B1123" s="9"/>
      <c r="C1123" s="9"/>
    </row>
    <row r="1124" spans="1:3" ht="16">
      <c r="A1124" s="360"/>
      <c r="B1124" s="9"/>
      <c r="C1124" s="9"/>
    </row>
    <row r="1125" spans="1:3" ht="16">
      <c r="A1125" s="360"/>
      <c r="B1125" s="9"/>
      <c r="C1125" s="9"/>
    </row>
    <row r="1126" spans="1:3" ht="16">
      <c r="A1126" s="360"/>
      <c r="B1126" s="9"/>
      <c r="C1126" s="9"/>
    </row>
    <row r="1127" spans="1:3" ht="16">
      <c r="A1127" s="360"/>
      <c r="B1127" s="9"/>
      <c r="C1127" s="9"/>
    </row>
    <row r="1128" spans="1:3" ht="16">
      <c r="A1128" s="360"/>
      <c r="B1128" s="9"/>
      <c r="C1128" s="9"/>
    </row>
    <row r="1129" spans="1:3" ht="16">
      <c r="A1129" s="360"/>
      <c r="B1129" s="9"/>
      <c r="C1129" s="9"/>
    </row>
    <row r="1130" spans="1:3" ht="16">
      <c r="A1130" s="360"/>
      <c r="B1130" s="9"/>
      <c r="C1130" s="9"/>
    </row>
    <row r="1131" spans="1:3" ht="16">
      <c r="A1131" s="360"/>
      <c r="B1131" s="9"/>
      <c r="C1131" s="9"/>
    </row>
    <row r="1132" spans="1:3" ht="16">
      <c r="A1132" s="360"/>
      <c r="B1132" s="9"/>
      <c r="C1132" s="9"/>
    </row>
    <row r="1133" spans="1:3" ht="16">
      <c r="A1133" s="360"/>
      <c r="B1133" s="9"/>
      <c r="C1133" s="9"/>
    </row>
    <row r="1134" spans="1:3" ht="16">
      <c r="A1134" s="360"/>
      <c r="B1134" s="9"/>
      <c r="C1134" s="9"/>
    </row>
    <row r="1135" spans="1:3" ht="16">
      <c r="A1135" s="360"/>
      <c r="B1135" s="9"/>
      <c r="C1135" s="9"/>
    </row>
    <row r="1136" spans="1:3" ht="16">
      <c r="A1136" s="360"/>
      <c r="B1136" s="9"/>
      <c r="C1136" s="9"/>
    </row>
    <row r="1137" spans="1:3" ht="16">
      <c r="A1137" s="360"/>
      <c r="B1137" s="9"/>
      <c r="C1137" s="9"/>
    </row>
    <row r="1138" spans="1:3" ht="16">
      <c r="A1138" s="360"/>
      <c r="B1138" s="9"/>
      <c r="C1138" s="9"/>
    </row>
    <row r="1139" spans="1:3" ht="16">
      <c r="A1139" s="360"/>
      <c r="B1139" s="9"/>
      <c r="C1139" s="9"/>
    </row>
    <row r="1140" spans="1:3" ht="16">
      <c r="A1140" s="360"/>
      <c r="B1140" s="9"/>
      <c r="C1140" s="9"/>
    </row>
    <row r="1141" spans="1:3" ht="16">
      <c r="A1141" s="360"/>
      <c r="B1141" s="9"/>
      <c r="C1141" s="9"/>
    </row>
    <row r="1142" spans="1:3" ht="16">
      <c r="A1142" s="360"/>
      <c r="B1142" s="9"/>
      <c r="C1142" s="9"/>
    </row>
    <row r="1143" spans="1:3" ht="16">
      <c r="A1143" s="360"/>
      <c r="B1143" s="9"/>
      <c r="C1143" s="9"/>
    </row>
    <row r="1144" spans="1:3" ht="16">
      <c r="A1144" s="360"/>
      <c r="B1144" s="9"/>
      <c r="C1144" s="9"/>
    </row>
    <row r="1145" spans="1:3" ht="16">
      <c r="A1145" s="360"/>
      <c r="B1145" s="9"/>
      <c r="C1145" s="9"/>
    </row>
    <row r="1146" spans="1:3" ht="16">
      <c r="A1146" s="360"/>
      <c r="B1146" s="9"/>
      <c r="C1146" s="9"/>
    </row>
    <row r="1147" spans="1:3" ht="16">
      <c r="A1147" s="360"/>
      <c r="B1147" s="9"/>
      <c r="C1147" s="9"/>
    </row>
    <row r="1148" spans="1:3" ht="16">
      <c r="A1148" s="360"/>
      <c r="B1148" s="9"/>
      <c r="C1148" s="9"/>
    </row>
    <row r="1149" spans="1:3" ht="16">
      <c r="A1149" s="360"/>
      <c r="B1149" s="9"/>
      <c r="C1149" s="9"/>
    </row>
    <row r="1150" spans="1:3" ht="16">
      <c r="A1150" s="360"/>
      <c r="B1150" s="9"/>
      <c r="C1150" s="9"/>
    </row>
    <row r="1151" spans="1:3" ht="16">
      <c r="A1151" s="360"/>
      <c r="B1151" s="9"/>
      <c r="C1151" s="9"/>
    </row>
    <row r="1152" spans="1:3" ht="16">
      <c r="A1152" s="360"/>
      <c r="B1152" s="9"/>
      <c r="C1152" s="9"/>
    </row>
    <row r="1153" spans="1:3" ht="16">
      <c r="A1153" s="360"/>
      <c r="B1153" s="9"/>
      <c r="C1153" s="9"/>
    </row>
    <row r="1154" spans="1:3" ht="16">
      <c r="A1154" s="360"/>
      <c r="B1154" s="9"/>
      <c r="C1154" s="9"/>
    </row>
    <row r="1155" spans="1:3" ht="16">
      <c r="A1155" s="360"/>
      <c r="B1155" s="9"/>
      <c r="C1155" s="9"/>
    </row>
    <row r="1156" spans="1:3" ht="16">
      <c r="A1156" s="360"/>
      <c r="B1156" s="9"/>
      <c r="C1156" s="9"/>
    </row>
    <row r="1157" spans="1:3" ht="16">
      <c r="A1157" s="360"/>
      <c r="B1157" s="9"/>
      <c r="C1157" s="9"/>
    </row>
    <row r="1158" spans="1:3" ht="16">
      <c r="A1158" s="360"/>
      <c r="B1158" s="9"/>
      <c r="C1158" s="9"/>
    </row>
    <row r="1159" spans="1:3" ht="16">
      <c r="A1159" s="360"/>
      <c r="B1159" s="9"/>
      <c r="C1159" s="9"/>
    </row>
    <row r="1160" spans="1:3" ht="16">
      <c r="A1160" s="360"/>
      <c r="B1160" s="9"/>
      <c r="C1160" s="9"/>
    </row>
    <row r="1161" spans="1:3" ht="16">
      <c r="A1161" s="360"/>
      <c r="B1161" s="9"/>
      <c r="C1161" s="9"/>
    </row>
    <row r="1162" spans="1:3" ht="16">
      <c r="A1162" s="360"/>
      <c r="B1162" s="9"/>
      <c r="C1162" s="9"/>
    </row>
    <row r="1163" spans="1:3" ht="16">
      <c r="A1163" s="360"/>
      <c r="B1163" s="9"/>
      <c r="C1163" s="9"/>
    </row>
    <row r="1164" spans="1:3" ht="16">
      <c r="A1164" s="360"/>
      <c r="B1164" s="9"/>
      <c r="C1164" s="9"/>
    </row>
    <row r="1165" spans="1:3" ht="16">
      <c r="A1165" s="360"/>
      <c r="B1165" s="9"/>
      <c r="C1165" s="9"/>
    </row>
    <row r="1166" spans="1:3" ht="16">
      <c r="A1166" s="360"/>
      <c r="B1166" s="9"/>
      <c r="C1166" s="9"/>
    </row>
    <row r="1167" spans="1:3" ht="16">
      <c r="A1167" s="360"/>
      <c r="B1167" s="9"/>
      <c r="C1167" s="9"/>
    </row>
    <row r="1168" spans="1:3" ht="16">
      <c r="A1168" s="360"/>
      <c r="B1168" s="9"/>
      <c r="C1168" s="9"/>
    </row>
    <row r="1169" spans="1:3" ht="16">
      <c r="A1169" s="360"/>
      <c r="B1169" s="9"/>
      <c r="C1169" s="9"/>
    </row>
    <row r="1170" spans="1:3" ht="16">
      <c r="A1170" s="360"/>
      <c r="B1170" s="9"/>
      <c r="C1170" s="9"/>
    </row>
    <row r="1171" spans="1:3" ht="16">
      <c r="A1171" s="360"/>
      <c r="B1171" s="9"/>
      <c r="C1171" s="9"/>
    </row>
    <row r="1172" spans="1:3" ht="16">
      <c r="A1172" s="360"/>
      <c r="B1172" s="9"/>
      <c r="C1172" s="9"/>
    </row>
    <row r="1173" spans="1:3" ht="16">
      <c r="A1173" s="360"/>
      <c r="B1173" s="9"/>
      <c r="C1173" s="9"/>
    </row>
    <row r="1174" spans="1:3" ht="16">
      <c r="A1174" s="360"/>
      <c r="B1174" s="9"/>
      <c r="C1174" s="9"/>
    </row>
    <row r="1175" spans="1:3" ht="16">
      <c r="A1175" s="360"/>
      <c r="B1175" s="9"/>
      <c r="C1175" s="9"/>
    </row>
    <row r="1176" spans="1:3" ht="16">
      <c r="A1176" s="360"/>
      <c r="B1176" s="9"/>
      <c r="C1176" s="9"/>
    </row>
    <row r="1177" spans="1:3" ht="16">
      <c r="A1177" s="360"/>
      <c r="B1177" s="9"/>
      <c r="C1177" s="9"/>
    </row>
    <row r="1178" spans="1:3" ht="16">
      <c r="A1178" s="360"/>
      <c r="B1178" s="9"/>
      <c r="C1178" s="9"/>
    </row>
    <row r="1179" spans="1:3" ht="16">
      <c r="A1179" s="360"/>
      <c r="B1179" s="9"/>
      <c r="C1179" s="9"/>
    </row>
    <row r="1180" spans="1:3" ht="16">
      <c r="A1180" s="360"/>
      <c r="B1180" s="9"/>
      <c r="C1180" s="9"/>
    </row>
    <row r="1181" spans="1:3" ht="16">
      <c r="A1181" s="360"/>
      <c r="B1181" s="9"/>
      <c r="C1181" s="9"/>
    </row>
    <row r="1182" spans="1:3" ht="16">
      <c r="A1182" s="360"/>
      <c r="B1182" s="9"/>
      <c r="C1182" s="9"/>
    </row>
    <row r="1183" spans="1:3" ht="16">
      <c r="A1183" s="360"/>
      <c r="B1183" s="9"/>
      <c r="C1183" s="9"/>
    </row>
    <row r="1184" spans="1:3" ht="16">
      <c r="A1184" s="360"/>
      <c r="B1184" s="9"/>
      <c r="C1184" s="9"/>
    </row>
    <row r="1185" spans="1:3" ht="16">
      <c r="A1185" s="360"/>
      <c r="B1185" s="9"/>
      <c r="C1185" s="9"/>
    </row>
    <row r="1186" spans="1:3" ht="16">
      <c r="A1186" s="360"/>
      <c r="B1186" s="9"/>
      <c r="C1186" s="9"/>
    </row>
    <row r="1187" spans="1:3" ht="16">
      <c r="A1187" s="360"/>
      <c r="B1187" s="9"/>
      <c r="C1187" s="9"/>
    </row>
    <row r="1188" spans="1:3" ht="16">
      <c r="A1188" s="360"/>
      <c r="B1188" s="9"/>
      <c r="C1188" s="9"/>
    </row>
    <row r="1189" spans="1:3" ht="16">
      <c r="A1189" s="360"/>
      <c r="B1189" s="9"/>
      <c r="C1189" s="9"/>
    </row>
    <row r="1190" spans="1:3" ht="16">
      <c r="A1190" s="360"/>
      <c r="B1190" s="9"/>
      <c r="C1190" s="9"/>
    </row>
    <row r="1191" spans="1:3" ht="16">
      <c r="A1191" s="360"/>
      <c r="B1191" s="9"/>
      <c r="C1191" s="9"/>
    </row>
    <row r="1192" spans="1:3" ht="16">
      <c r="A1192" s="360"/>
      <c r="B1192" s="9"/>
      <c r="C1192" s="9"/>
    </row>
    <row r="1193" spans="1:3" ht="16">
      <c r="A1193" s="360"/>
      <c r="B1193" s="9"/>
      <c r="C1193" s="9"/>
    </row>
    <row r="1194" spans="1:3" ht="16">
      <c r="A1194" s="360"/>
      <c r="B1194" s="9"/>
      <c r="C1194" s="9"/>
    </row>
    <row r="1195" spans="1:3" ht="16">
      <c r="A1195" s="360"/>
      <c r="B1195" s="9"/>
      <c r="C1195" s="9"/>
    </row>
    <row r="1196" spans="1:3" ht="16">
      <c r="A1196" s="360"/>
      <c r="B1196" s="9"/>
      <c r="C1196" s="9"/>
    </row>
    <row r="1197" spans="1:3" ht="16">
      <c r="A1197" s="360"/>
      <c r="B1197" s="9"/>
      <c r="C1197" s="9"/>
    </row>
    <row r="1198" spans="1:3" ht="16">
      <c r="A1198" s="360"/>
      <c r="B1198" s="9"/>
      <c r="C1198" s="9"/>
    </row>
    <row r="1199" spans="1:3" ht="16">
      <c r="A1199" s="360"/>
      <c r="B1199" s="9"/>
      <c r="C1199" s="9"/>
    </row>
    <row r="1200" spans="1:3" ht="16">
      <c r="A1200" s="360"/>
      <c r="B1200" s="9"/>
      <c r="C1200" s="9"/>
    </row>
    <row r="1201" spans="1:3" ht="16">
      <c r="A1201" s="360"/>
      <c r="B1201" s="9"/>
      <c r="C1201" s="9"/>
    </row>
    <row r="1202" spans="1:3" ht="16">
      <c r="A1202" s="360"/>
      <c r="B1202" s="9"/>
      <c r="C1202" s="9"/>
    </row>
    <row r="1203" spans="1:3" ht="16">
      <c r="A1203" s="360"/>
      <c r="B1203" s="9"/>
      <c r="C1203" s="9"/>
    </row>
    <row r="1204" spans="1:3" ht="16">
      <c r="A1204" s="360"/>
      <c r="B1204" s="9"/>
      <c r="C1204" s="9"/>
    </row>
    <row r="1205" spans="1:3" ht="16">
      <c r="A1205" s="360"/>
      <c r="B1205" s="9"/>
      <c r="C1205" s="9"/>
    </row>
    <row r="1206" spans="1:3" ht="16">
      <c r="A1206" s="360"/>
      <c r="B1206" s="9"/>
      <c r="C1206" s="9"/>
    </row>
    <row r="1207" spans="1:3" ht="16">
      <c r="A1207" s="360"/>
      <c r="B1207" s="9"/>
      <c r="C1207" s="9"/>
    </row>
    <row r="1208" spans="1:3" ht="16">
      <c r="A1208" s="360"/>
      <c r="B1208" s="9"/>
      <c r="C1208" s="9"/>
    </row>
    <row r="1209" spans="1:3" ht="16">
      <c r="A1209" s="360"/>
      <c r="B1209" s="9"/>
      <c r="C1209" s="9"/>
    </row>
    <row r="1210" spans="1:3" ht="16">
      <c r="A1210" s="360"/>
      <c r="B1210" s="9"/>
      <c r="C1210" s="9"/>
    </row>
    <row r="1211" spans="1:3" ht="16">
      <c r="A1211" s="360"/>
      <c r="B1211" s="9"/>
      <c r="C1211" s="9"/>
    </row>
    <row r="1212" spans="1:3" ht="16">
      <c r="A1212" s="360"/>
      <c r="B1212" s="9"/>
      <c r="C1212" s="9"/>
    </row>
    <row r="1213" spans="1:3" ht="16">
      <c r="A1213" s="360"/>
      <c r="B1213" s="9"/>
      <c r="C1213" s="9"/>
    </row>
    <row r="1214" spans="1:3" ht="16">
      <c r="A1214" s="360"/>
      <c r="B1214" s="9"/>
      <c r="C1214" s="9"/>
    </row>
    <row r="1215" spans="1:3" ht="16">
      <c r="A1215" s="360"/>
      <c r="B1215" s="9"/>
      <c r="C1215" s="9"/>
    </row>
    <row r="1216" spans="1:3" ht="16">
      <c r="A1216" s="360"/>
      <c r="B1216" s="9"/>
      <c r="C1216" s="9"/>
    </row>
    <row r="1217" spans="1:3" ht="16">
      <c r="A1217" s="360"/>
      <c r="B1217" s="9"/>
      <c r="C1217" s="9"/>
    </row>
    <row r="1218" spans="1:3" ht="16">
      <c r="A1218" s="360"/>
      <c r="B1218" s="9"/>
      <c r="C1218" s="9"/>
    </row>
    <row r="1219" spans="1:3" ht="16">
      <c r="A1219" s="360"/>
      <c r="B1219" s="9"/>
      <c r="C1219" s="9"/>
    </row>
    <row r="1220" spans="1:3" ht="16">
      <c r="A1220" s="360"/>
      <c r="B1220" s="9"/>
      <c r="C1220" s="9"/>
    </row>
    <row r="1221" spans="1:3" ht="16">
      <c r="A1221" s="360"/>
      <c r="B1221" s="9"/>
      <c r="C1221" s="9"/>
    </row>
    <row r="1222" spans="1:3" ht="16">
      <c r="A1222" s="360"/>
      <c r="B1222" s="9"/>
      <c r="C1222" s="9"/>
    </row>
    <row r="1223" spans="1:3" ht="16">
      <c r="A1223" s="360"/>
      <c r="B1223" s="9"/>
      <c r="C1223" s="9"/>
    </row>
    <row r="1224" spans="1:3" ht="16">
      <c r="A1224" s="360"/>
      <c r="B1224" s="9"/>
      <c r="C1224" s="9"/>
    </row>
    <row r="1225" spans="1:3" ht="16">
      <c r="A1225" s="360"/>
      <c r="B1225" s="9"/>
      <c r="C1225" s="9"/>
    </row>
    <row r="1226" spans="1:3" ht="16">
      <c r="A1226" s="360"/>
      <c r="B1226" s="9"/>
      <c r="C1226" s="9"/>
    </row>
    <row r="1227" spans="1:3" ht="16">
      <c r="A1227" s="360"/>
      <c r="B1227" s="9"/>
      <c r="C1227" s="9"/>
    </row>
    <row r="1228" spans="1:3" ht="16">
      <c r="A1228" s="360"/>
      <c r="B1228" s="9"/>
      <c r="C1228" s="9"/>
    </row>
    <row r="1229" spans="1:3" ht="16">
      <c r="A1229" s="360"/>
      <c r="B1229" s="9"/>
      <c r="C1229" s="9"/>
    </row>
    <row r="1230" spans="1:3" ht="16">
      <c r="A1230" s="360"/>
      <c r="B1230" s="9"/>
      <c r="C1230" s="9"/>
    </row>
    <row r="1231" spans="1:3" ht="16">
      <c r="A1231" s="360"/>
      <c r="B1231" s="9"/>
      <c r="C1231" s="9"/>
    </row>
    <row r="1232" spans="1:3" ht="16">
      <c r="A1232" s="360"/>
      <c r="B1232" s="9"/>
      <c r="C1232" s="9"/>
    </row>
  </sheetData>
  <hyperlinks>
    <hyperlink ref="D7" r:id="rId1" location="security" xr:uid="{00000000-0004-0000-0B00-000000000000}"/>
    <hyperlink ref="D8" r:id="rId2" xr:uid="{00000000-0004-0000-0B00-000001000000}"/>
    <hyperlink ref="D15" r:id="rId3" xr:uid="{00000000-0004-0000-0B00-000002000000}"/>
    <hyperlink ref="D101" r:id="rId4" location="introduction" xr:uid="{00000000-0004-0000-0B00-000003000000}"/>
    <hyperlink ref="D277" r:id="rId5" location="operations" xr:uid="{00000000-0004-0000-0B00-000004000000}"/>
  </hyperlinks>
  <pageMargins left="0.7" right="0.7" top="0.75" bottom="0.75" header="0.3" footer="0.3"/>
  <drawing r:id="rId6"/>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00FF"/>
  </sheetPr>
  <dimension ref="A1:D13"/>
  <sheetViews>
    <sheetView showGridLines="0" workbookViewId="0">
      <selection activeCell="F5" sqref="F5"/>
    </sheetView>
  </sheetViews>
  <sheetFormatPr baseColWidth="10" defaultColWidth="17.33203125" defaultRowHeight="15" customHeight="1"/>
  <cols>
    <col min="1" max="1" width="7.1640625" customWidth="1"/>
    <col min="2" max="2" width="25.1640625" customWidth="1"/>
    <col min="3" max="3" width="72" customWidth="1"/>
    <col min="4" max="4" width="4.5" customWidth="1"/>
  </cols>
  <sheetData>
    <row r="1" spans="1:4" ht="40.5" customHeight="1">
      <c r="A1" s="381"/>
      <c r="B1" s="500" t="s">
        <v>638</v>
      </c>
      <c r="C1" s="480"/>
      <c r="D1" s="381"/>
    </row>
    <row r="2" spans="1:4" ht="11.25" customHeight="1">
      <c r="A2" s="19"/>
      <c r="B2" s="19"/>
      <c r="C2" s="19"/>
    </row>
    <row r="3" spans="1:4" ht="30.75" customHeight="1">
      <c r="A3" s="19"/>
      <c r="B3" s="382" t="s">
        <v>0</v>
      </c>
      <c r="C3" s="382" t="s">
        <v>125</v>
      </c>
    </row>
    <row r="4" spans="1:4" ht="59.25" customHeight="1">
      <c r="A4" s="383"/>
      <c r="B4" s="384" t="s">
        <v>1</v>
      </c>
      <c r="C4" s="385" t="s">
        <v>639</v>
      </c>
    </row>
    <row r="5" spans="1:4" ht="75" customHeight="1">
      <c r="A5" s="383"/>
      <c r="B5" s="386" t="s">
        <v>2</v>
      </c>
      <c r="C5" s="387" t="s">
        <v>640</v>
      </c>
    </row>
    <row r="6" spans="1:4" ht="99.75" customHeight="1">
      <c r="A6" s="383"/>
      <c r="B6" s="386" t="s">
        <v>4</v>
      </c>
      <c r="C6" s="387" t="s">
        <v>641</v>
      </c>
    </row>
    <row r="7" spans="1:4" ht="97.5" customHeight="1">
      <c r="A7" s="383"/>
      <c r="B7" s="386" t="s">
        <v>3</v>
      </c>
      <c r="C7" s="387" t="s">
        <v>642</v>
      </c>
    </row>
    <row r="8" spans="1:4" ht="117" customHeight="1">
      <c r="A8" s="383"/>
      <c r="B8" s="386" t="s">
        <v>5</v>
      </c>
      <c r="C8" s="387" t="s">
        <v>643</v>
      </c>
    </row>
    <row r="9" spans="1:4" ht="74.25" customHeight="1">
      <c r="A9" s="383"/>
      <c r="B9" s="386" t="s">
        <v>6</v>
      </c>
      <c r="C9" s="387" t="s">
        <v>644</v>
      </c>
    </row>
    <row r="10" spans="1:4" ht="71.25" customHeight="1">
      <c r="A10" s="383"/>
      <c r="B10" s="386" t="s">
        <v>8</v>
      </c>
      <c r="C10" s="387" t="s">
        <v>645</v>
      </c>
    </row>
    <row r="11" spans="1:4" ht="68.25" customHeight="1">
      <c r="A11" s="383"/>
      <c r="B11" s="386" t="s">
        <v>7</v>
      </c>
      <c r="C11" s="387" t="s">
        <v>646</v>
      </c>
    </row>
    <row r="12" spans="1:4" ht="71.25" customHeight="1"/>
    <row r="13" spans="1:4" ht="75" customHeight="1"/>
  </sheetData>
  <mergeCells count="1">
    <mergeCell ref="B1:C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80000"/>
  </sheetPr>
  <dimension ref="A1:W29"/>
  <sheetViews>
    <sheetView showGridLines="0" workbookViewId="0">
      <selection activeCell="K15" sqref="K15"/>
    </sheetView>
  </sheetViews>
  <sheetFormatPr baseColWidth="10" defaultColWidth="17.33203125" defaultRowHeight="15" customHeight="1"/>
  <cols>
    <col min="1" max="1" width="14.33203125" customWidth="1"/>
    <col min="2" max="2" width="23.83203125" customWidth="1"/>
    <col min="3" max="3" width="23.5" customWidth="1"/>
    <col min="4" max="5" width="21.5" customWidth="1"/>
    <col min="6" max="6" width="19.83203125" customWidth="1"/>
    <col min="7" max="7" width="19.33203125" customWidth="1"/>
    <col min="8" max="9" width="21.5" customWidth="1"/>
    <col min="10" max="10" width="18" customWidth="1"/>
    <col min="12" max="12" width="5.5" customWidth="1"/>
    <col min="16" max="16" width="5.6640625" customWidth="1"/>
  </cols>
  <sheetData>
    <row r="1" spans="1:10" ht="74" customHeight="1">
      <c r="A1" s="21"/>
      <c r="B1" s="464" t="s">
        <v>43</v>
      </c>
      <c r="C1" s="465"/>
      <c r="D1" s="465"/>
      <c r="E1" s="465"/>
      <c r="F1" s="465"/>
      <c r="G1" s="465"/>
      <c r="H1" s="465"/>
      <c r="I1" s="465"/>
      <c r="J1" s="465"/>
    </row>
    <row r="8" spans="1:10" ht="13">
      <c r="A8" s="3"/>
      <c r="B8" s="3"/>
    </row>
    <row r="9" spans="1:10" ht="13"/>
    <row r="10" spans="1:10" ht="13">
      <c r="A10" s="3"/>
      <c r="B10" s="3"/>
    </row>
    <row r="20" spans="1:23" ht="54" customHeight="1"/>
    <row r="22" spans="1:23" ht="34.5" customHeight="1">
      <c r="C22" s="34" t="s">
        <v>46</v>
      </c>
      <c r="D22" s="34" t="s">
        <v>47</v>
      </c>
      <c r="E22" s="34" t="s">
        <v>48</v>
      </c>
      <c r="F22" s="34" t="s">
        <v>49</v>
      </c>
      <c r="G22" s="34" t="s">
        <v>50</v>
      </c>
      <c r="H22" s="34" t="s">
        <v>51</v>
      </c>
      <c r="I22" s="34" t="s">
        <v>52</v>
      </c>
      <c r="J22" s="34" t="s">
        <v>53</v>
      </c>
    </row>
    <row r="23" spans="1:23" ht="23.25" customHeight="1">
      <c r="A23" s="466" t="s">
        <v>54</v>
      </c>
      <c r="B23" s="467"/>
      <c r="C23" s="38">
        <f>IFERROR(Quality_Prep,0)</f>
        <v>0</v>
      </c>
      <c r="D23" s="38">
        <f>IFERROR(Quality_Plan,0)</f>
        <v>0</v>
      </c>
      <c r="E23" s="40">
        <f>IFERROR(Quality_DevP,0)</f>
        <v>0</v>
      </c>
      <c r="F23" s="40">
        <f>IFERROR(Quality_Ops,0)</f>
        <v>0</v>
      </c>
      <c r="G23" s="40">
        <f>IFERROR(Quality_Dev,0)</f>
        <v>0</v>
      </c>
      <c r="H23" s="40">
        <f>IFERROR(Quality_Test,0)</f>
        <v>0</v>
      </c>
      <c r="I23" s="40">
        <f>IFERROR(Quality_Roll,0)</f>
        <v>0</v>
      </c>
      <c r="J23" s="40">
        <f>IFERROR(Quality_Live,0)</f>
        <v>0</v>
      </c>
      <c r="K23" s="42"/>
      <c r="L23" s="42"/>
      <c r="M23" s="42"/>
      <c r="N23" s="42"/>
      <c r="O23" s="42"/>
      <c r="P23" s="42"/>
      <c r="Q23" s="42"/>
      <c r="R23" s="42"/>
      <c r="S23" s="42"/>
      <c r="T23" s="42"/>
      <c r="U23" s="42"/>
      <c r="V23" s="42"/>
      <c r="W23" s="42"/>
    </row>
    <row r="24" spans="1:23" ht="27" customHeight="1">
      <c r="A24" s="1"/>
      <c r="B24" s="1"/>
      <c r="C24" s="44" t="s">
        <v>46</v>
      </c>
      <c r="D24" s="44" t="s">
        <v>47</v>
      </c>
      <c r="E24" s="46" t="s">
        <v>48</v>
      </c>
      <c r="F24" s="46" t="s">
        <v>49</v>
      </c>
      <c r="G24" s="46" t="s">
        <v>50</v>
      </c>
      <c r="H24" s="46" t="s">
        <v>51</v>
      </c>
      <c r="I24" s="46" t="s">
        <v>52</v>
      </c>
      <c r="J24" s="46" t="s">
        <v>53</v>
      </c>
    </row>
    <row r="25" spans="1:23" ht="21.75" customHeight="1">
      <c r="A25" s="466" t="s">
        <v>34</v>
      </c>
      <c r="B25" s="467"/>
      <c r="C25" s="49">
        <f>Health_Prep</f>
        <v>0</v>
      </c>
      <c r="D25" s="49">
        <f>Health_Plan</f>
        <v>0</v>
      </c>
      <c r="E25" s="52">
        <f>Health_DevP</f>
        <v>0</v>
      </c>
      <c r="F25" s="52">
        <f>Health_Ops</f>
        <v>0</v>
      </c>
      <c r="G25" s="52">
        <f>Health_Dev</f>
        <v>0</v>
      </c>
      <c r="H25" s="52">
        <f>Health_Test</f>
        <v>0</v>
      </c>
      <c r="I25" s="52">
        <f>Health_Roll</f>
        <v>0</v>
      </c>
      <c r="J25" s="52">
        <f>Health_Live</f>
        <v>0</v>
      </c>
      <c r="K25" s="42"/>
      <c r="L25" s="42"/>
      <c r="M25" s="42"/>
      <c r="N25" s="42"/>
      <c r="O25" s="42"/>
      <c r="P25" s="42"/>
      <c r="Q25" s="42"/>
      <c r="R25" s="42"/>
      <c r="S25" s="42"/>
      <c r="T25" s="42"/>
      <c r="U25" s="42"/>
      <c r="V25" s="42"/>
      <c r="W25" s="42"/>
    </row>
    <row r="26" spans="1:23" ht="24.75" customHeight="1">
      <c r="A26" s="1"/>
      <c r="B26" s="1"/>
      <c r="C26" s="44" t="s">
        <v>46</v>
      </c>
      <c r="D26" s="44" t="s">
        <v>47</v>
      </c>
      <c r="E26" s="46" t="s">
        <v>48</v>
      </c>
      <c r="F26" s="46" t="s">
        <v>49</v>
      </c>
      <c r="G26" s="46" t="s">
        <v>50</v>
      </c>
      <c r="H26" s="46" t="s">
        <v>51</v>
      </c>
      <c r="I26" s="46" t="s">
        <v>52</v>
      </c>
      <c r="J26" s="46" t="s">
        <v>53</v>
      </c>
    </row>
    <row r="27" spans="1:23" ht="24.75" customHeight="1">
      <c r="A27" s="466" t="s">
        <v>61</v>
      </c>
      <c r="B27" s="467"/>
      <c r="C27" s="55">
        <f>Complete_Prep</f>
        <v>0</v>
      </c>
      <c r="D27" s="55">
        <f>Complete_Plan</f>
        <v>0</v>
      </c>
      <c r="E27" s="57">
        <f>Complete_DevP</f>
        <v>0</v>
      </c>
      <c r="F27" s="57">
        <f>Complete_Ops</f>
        <v>0</v>
      </c>
      <c r="G27" s="57">
        <f>Complete_Dev</f>
        <v>0</v>
      </c>
      <c r="H27" s="57">
        <f>Complete_Test</f>
        <v>0</v>
      </c>
      <c r="I27" s="57">
        <f>Complete_Roll</f>
        <v>0</v>
      </c>
      <c r="J27" s="57">
        <f>Complete_Live</f>
        <v>0</v>
      </c>
      <c r="K27" s="42"/>
      <c r="L27" s="42"/>
      <c r="M27" s="42"/>
      <c r="N27" s="42"/>
      <c r="O27" s="42"/>
      <c r="P27" s="42"/>
      <c r="Q27" s="42"/>
      <c r="R27" s="42"/>
      <c r="S27" s="42"/>
      <c r="T27" s="42"/>
      <c r="U27" s="42"/>
      <c r="V27" s="42"/>
      <c r="W27" s="42"/>
    </row>
    <row r="28" spans="1:23" ht="13">
      <c r="C28" s="60"/>
      <c r="D28" s="60"/>
      <c r="E28" s="61"/>
      <c r="F28" s="61"/>
      <c r="G28" s="61"/>
      <c r="H28" s="61"/>
      <c r="I28" s="61"/>
      <c r="J28" s="61"/>
    </row>
    <row r="29" spans="1:23" ht="23" customHeight="1">
      <c r="A29" s="466" t="s">
        <v>647</v>
      </c>
      <c r="B29" s="467"/>
      <c r="C29" s="447"/>
      <c r="D29" s="447"/>
      <c r="E29" s="448"/>
      <c r="F29" s="448"/>
      <c r="G29" s="448"/>
      <c r="H29" s="448"/>
      <c r="I29" s="448"/>
      <c r="J29" s="448"/>
    </row>
  </sheetData>
  <sheetProtection password="C6F3" sheet="1" objects="1" scenarios="1"/>
  <mergeCells count="5">
    <mergeCell ref="B1:J1"/>
    <mergeCell ref="A23:B23"/>
    <mergeCell ref="A25:B25"/>
    <mergeCell ref="A27:B27"/>
    <mergeCell ref="A29:B29"/>
  </mergeCells>
  <conditionalFormatting sqref="C23:J23">
    <cfRule type="colorScale" priority="1">
      <colorScale>
        <cfvo type="formula" val="1"/>
        <cfvo type="formula" val="2"/>
        <cfvo type="formula" val="3"/>
        <color rgb="FFFF0000"/>
        <color rgb="FFFFFF00"/>
        <color rgb="FF00FF00"/>
      </colorScale>
    </cfRule>
  </conditionalFormatting>
  <conditionalFormatting sqref="D24:D27 D22 C25:C27 E25:J27">
    <cfRule type="colorScale" priority="2">
      <colorScale>
        <cfvo type="formula" val="0"/>
        <cfvo type="formula" val="0.5"/>
        <cfvo type="formula" val="1"/>
        <color rgb="FFFF0000"/>
        <color rgb="FFFFFF00"/>
        <color rgb="FF00FF00"/>
      </colorScale>
    </cfRule>
  </conditionalFormatting>
  <pageMargins left="0.7" right="0.7" top="0.75" bottom="0.75" header="0.3" footer="0.3"/>
  <pageSetup paperSize="9"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AJ45"/>
  <sheetViews>
    <sheetView showGridLines="0" zoomScale="98" zoomScaleNormal="98" zoomScalePageLayoutView="98" workbookViewId="0">
      <pane xSplit="1" topLeftCell="O1" activePane="topRight" state="frozen"/>
      <selection pane="topRight" activeCell="AL1" sqref="AL1"/>
    </sheetView>
  </sheetViews>
  <sheetFormatPr baseColWidth="10" defaultColWidth="17.33203125" defaultRowHeight="15" customHeight="1"/>
  <cols>
    <col min="1" max="1" width="26.83203125" customWidth="1"/>
    <col min="2" max="4" width="11.5" customWidth="1"/>
    <col min="5" max="5" width="5.83203125" customWidth="1"/>
    <col min="6" max="8" width="11.5" customWidth="1"/>
    <col min="9" max="9" width="6.33203125" customWidth="1"/>
    <col min="10" max="12" width="11.5" customWidth="1"/>
    <col min="13" max="13" width="6" customWidth="1"/>
    <col min="14" max="16" width="11.5" customWidth="1"/>
    <col min="17" max="17" width="6.1640625" customWidth="1"/>
    <col min="18" max="20" width="11.5" customWidth="1"/>
    <col min="21" max="21" width="6" customWidth="1"/>
    <col min="22" max="24" width="11.5" customWidth="1"/>
    <col min="25" max="25" width="6.1640625" customWidth="1"/>
    <col min="26" max="28" width="11.5" customWidth="1"/>
    <col min="29" max="29" width="6.83203125" customWidth="1"/>
    <col min="30" max="32" width="11.5" customWidth="1"/>
    <col min="33" max="33" width="6.1640625" customWidth="1"/>
    <col min="34" max="35" width="11.5" customWidth="1"/>
    <col min="36" max="36" width="12.1640625" customWidth="1"/>
  </cols>
  <sheetData>
    <row r="1" spans="1:36" ht="84" customHeight="1">
      <c r="A1" s="21"/>
      <c r="B1" s="464" t="s">
        <v>38</v>
      </c>
      <c r="C1" s="465"/>
      <c r="D1" s="465"/>
      <c r="E1" s="465"/>
      <c r="F1" s="465"/>
      <c r="G1" s="465"/>
      <c r="H1" s="465"/>
      <c r="I1" s="465"/>
      <c r="J1" s="465"/>
      <c r="K1" s="465"/>
      <c r="L1" s="465"/>
      <c r="M1" s="465"/>
      <c r="N1" s="465"/>
      <c r="O1" s="465"/>
      <c r="P1" s="465"/>
      <c r="Q1" s="23"/>
      <c r="R1" s="23"/>
      <c r="S1" s="21"/>
      <c r="T1" s="21"/>
      <c r="U1" s="388"/>
      <c r="V1" s="388"/>
      <c r="W1" s="388"/>
      <c r="X1" s="388"/>
      <c r="Y1" s="388"/>
      <c r="Z1" s="388"/>
      <c r="AA1" s="388"/>
      <c r="AB1" s="388"/>
      <c r="AC1" s="388"/>
      <c r="AD1" s="388"/>
      <c r="AE1" s="388"/>
      <c r="AF1" s="388"/>
      <c r="AG1" s="388"/>
      <c r="AH1" s="388"/>
      <c r="AI1" s="388"/>
      <c r="AJ1" s="388"/>
    </row>
    <row r="2" spans="1:36" ht="16">
      <c r="A2" s="1"/>
    </row>
    <row r="3" spans="1:36" ht="13">
      <c r="A3" s="3"/>
    </row>
    <row r="4" spans="1:36" ht="28">
      <c r="A4" s="3"/>
      <c r="B4" s="25" t="s">
        <v>1</v>
      </c>
      <c r="C4" s="27"/>
      <c r="D4" s="27"/>
      <c r="E4" s="28"/>
      <c r="F4" s="30" t="s">
        <v>2</v>
      </c>
      <c r="G4" s="32"/>
      <c r="H4" s="32"/>
      <c r="I4" s="28"/>
      <c r="J4" s="25" t="s">
        <v>44</v>
      </c>
      <c r="K4" s="27"/>
      <c r="L4" s="27"/>
      <c r="M4" s="28"/>
      <c r="N4" s="25" t="s">
        <v>3</v>
      </c>
      <c r="O4" s="27"/>
      <c r="P4" s="27"/>
      <c r="Q4" s="28"/>
      <c r="R4" s="25" t="s">
        <v>5</v>
      </c>
      <c r="S4" s="27"/>
      <c r="T4" s="27"/>
      <c r="U4" s="28"/>
      <c r="V4" s="25" t="s">
        <v>6</v>
      </c>
      <c r="W4" s="27"/>
      <c r="X4" s="27"/>
      <c r="Y4" s="28"/>
      <c r="Z4" s="25" t="s">
        <v>8</v>
      </c>
      <c r="AA4" s="27"/>
      <c r="AB4" s="27"/>
      <c r="AC4" s="28"/>
      <c r="AD4" s="25" t="s">
        <v>7</v>
      </c>
      <c r="AE4" s="27"/>
      <c r="AF4" s="27"/>
      <c r="AG4" s="28"/>
      <c r="AH4" s="30" t="s">
        <v>45</v>
      </c>
      <c r="AI4" s="32"/>
      <c r="AJ4" s="32"/>
    </row>
    <row r="5" spans="1:36" ht="28">
      <c r="A5" s="3"/>
      <c r="B5" s="34" t="s">
        <v>34</v>
      </c>
      <c r="C5" s="34" t="s">
        <v>56</v>
      </c>
      <c r="D5" s="34" t="s">
        <v>32</v>
      </c>
      <c r="E5" s="39"/>
      <c r="F5" s="34" t="s">
        <v>34</v>
      </c>
      <c r="G5" s="34" t="s">
        <v>56</v>
      </c>
      <c r="H5" s="34" t="s">
        <v>32</v>
      </c>
      <c r="I5" s="39"/>
      <c r="J5" s="34" t="s">
        <v>34</v>
      </c>
      <c r="K5" s="34" t="s">
        <v>56</v>
      </c>
      <c r="L5" s="34" t="s">
        <v>32</v>
      </c>
      <c r="M5" s="39"/>
      <c r="N5" s="34" t="s">
        <v>34</v>
      </c>
      <c r="O5" s="34" t="s">
        <v>56</v>
      </c>
      <c r="P5" s="34" t="s">
        <v>32</v>
      </c>
      <c r="Q5" s="39"/>
      <c r="R5" s="34" t="s">
        <v>34</v>
      </c>
      <c r="S5" s="34" t="s">
        <v>56</v>
      </c>
      <c r="T5" s="34" t="s">
        <v>32</v>
      </c>
      <c r="U5" s="39"/>
      <c r="V5" s="34" t="s">
        <v>34</v>
      </c>
      <c r="W5" s="34" t="s">
        <v>56</v>
      </c>
      <c r="X5" s="34" t="s">
        <v>32</v>
      </c>
      <c r="Y5" s="39"/>
      <c r="Z5" s="34" t="s">
        <v>34</v>
      </c>
      <c r="AA5" s="34" t="s">
        <v>56</v>
      </c>
      <c r="AB5" s="34" t="s">
        <v>32</v>
      </c>
      <c r="AC5" s="39"/>
      <c r="AD5" s="34" t="s">
        <v>34</v>
      </c>
      <c r="AE5" s="34" t="s">
        <v>56</v>
      </c>
      <c r="AF5" s="34" t="s">
        <v>32</v>
      </c>
      <c r="AG5" s="39"/>
      <c r="AH5" s="2" t="s">
        <v>57</v>
      </c>
      <c r="AI5" s="2" t="s">
        <v>36</v>
      </c>
      <c r="AJ5" s="2" t="s">
        <v>32</v>
      </c>
    </row>
    <row r="6" spans="1:36" ht="14">
      <c r="A6" s="2" t="s">
        <v>58</v>
      </c>
      <c r="E6" s="27"/>
      <c r="I6" s="27"/>
      <c r="M6" s="27"/>
      <c r="Q6" s="27"/>
      <c r="U6" s="27"/>
      <c r="Y6" s="27"/>
      <c r="AC6" s="27"/>
      <c r="AG6" s="27"/>
    </row>
    <row r="7" spans="1:36" ht="14">
      <c r="A7" s="2" t="s">
        <v>59</v>
      </c>
      <c r="B7" s="41">
        <f>IFERROR((PS_Prep_In_Current+ PS_Prep_Out_Current)/(PS_Prep_In_Max+PS_Prep_Out_Max), 0)</f>
        <v>0</v>
      </c>
      <c r="C7" s="43" t="str">
        <f>PS_Prep_Q</f>
        <v/>
      </c>
      <c r="D7" s="41">
        <f>PS_Prep_Complete</f>
        <v>0</v>
      </c>
      <c r="E7" s="47"/>
      <c r="F7" s="41">
        <f>IFERROR((PM_Prep_In_Current+ PM_Prep_Out_Current)/(PM_Prep_In_Max+PM_Prep_Out_Max),0)</f>
        <v>0</v>
      </c>
      <c r="G7" s="43" t="str">
        <f>PM_Prep_Q</f>
        <v/>
      </c>
      <c r="H7" s="41">
        <f>PM_Prep_Complete</f>
        <v>0</v>
      </c>
      <c r="I7" s="47"/>
      <c r="J7" s="41">
        <f>IFERROR((Arch_Prep_In_Current+ Arch_Prep_Out_Current)/(Arch_Prep_In_Max+Arch_Prep_Out_Max),0)</f>
        <v>0</v>
      </c>
      <c r="K7" s="43" t="str">
        <f>Arch_Prep_In_Q</f>
        <v/>
      </c>
      <c r="L7" s="50">
        <f>Arch_Prep_In_Complete</f>
        <v>0</v>
      </c>
      <c r="M7" s="47"/>
      <c r="N7" s="41">
        <f>IFERROR((BA_Prep_In_Current+ BA_Prep_Out_Current)/(BA_Prep_In_Max+BA_Prep_Out_Max),0)</f>
        <v>0</v>
      </c>
      <c r="O7" s="43" t="str">
        <f>BA_Prep_Q</f>
        <v/>
      </c>
      <c r="P7" s="41">
        <f>BA_Prep_Complete</f>
        <v>0</v>
      </c>
      <c r="Q7" s="47"/>
      <c r="R7" s="41">
        <f>IFERROR((Dev_Prep_In_Current+ Dev_Prep_Out_Current)/(Dev_Prep_In_Max+Dev_Prep_Out_Max),0)</f>
        <v>0</v>
      </c>
      <c r="S7" s="43" t="str">
        <f>Dev_Prep_Q</f>
        <v/>
      </c>
      <c r="T7" s="50">
        <f>Dev_Prep_Complete</f>
        <v>0</v>
      </c>
      <c r="U7" s="47"/>
      <c r="V7" s="41">
        <f>IFERROR((QA_Prep_In_Current+ QA_Prep_Out_Current)/(QA_Prep_In_Max+QA_Prep_Out_Max),0)</f>
        <v>0</v>
      </c>
      <c r="W7" s="43" t="str">
        <f>QA_Prep_Q</f>
        <v/>
      </c>
      <c r="X7" s="50">
        <f>QA_Prep_Complete</f>
        <v>0</v>
      </c>
      <c r="Y7" s="47"/>
      <c r="Z7" s="41">
        <f>IFERROR((SE_Prep_In_Current+ SE_Prep_Out_Current)/(SE_Prep_In_Max+SE_Prep_Out_Max),0)</f>
        <v>0</v>
      </c>
      <c r="AA7" s="43" t="str">
        <f>SE_Prep_Q</f>
        <v/>
      </c>
      <c r="AB7" s="50">
        <f>SE_Prep_Complete</f>
        <v>0</v>
      </c>
      <c r="AC7" s="47"/>
      <c r="AD7" s="3" t="s">
        <v>62</v>
      </c>
      <c r="AE7" s="59" t="s">
        <v>62</v>
      </c>
      <c r="AF7" s="62" t="s">
        <v>62</v>
      </c>
      <c r="AG7" s="47"/>
      <c r="AH7" s="41">
        <f>AVERAGE(B7,F7,J7,N7,R7,V7,Z7)</f>
        <v>0</v>
      </c>
      <c r="AI7" s="43">
        <f>IFERROR(AVERAGE(AA7,W7,S7,O7,K7,G7,C7),0)</f>
        <v>0</v>
      </c>
      <c r="AJ7" s="41">
        <f>AVERAGEA(AB7,X7,T7,P7,L7,H7,D7)</f>
        <v>0</v>
      </c>
    </row>
    <row r="8" spans="1:36" ht="13">
      <c r="A8" s="10"/>
      <c r="E8" s="27"/>
      <c r="I8" s="27"/>
      <c r="M8" s="27"/>
      <c r="Q8" s="27"/>
      <c r="U8" s="27"/>
      <c r="Y8" s="27"/>
      <c r="AB8" s="41"/>
      <c r="AC8" s="27"/>
      <c r="AG8" s="27"/>
    </row>
    <row r="9" spans="1:36" ht="14">
      <c r="A9" s="2" t="s">
        <v>63</v>
      </c>
      <c r="E9" s="27"/>
      <c r="I9" s="27"/>
      <c r="M9" s="27"/>
      <c r="Q9" s="27"/>
      <c r="U9" s="27"/>
      <c r="Y9" s="27"/>
      <c r="AB9" s="41"/>
      <c r="AC9" s="27"/>
      <c r="AF9" s="41"/>
      <c r="AG9" s="27"/>
    </row>
    <row r="10" spans="1:36" ht="14">
      <c r="A10" s="2" t="s">
        <v>64</v>
      </c>
      <c r="B10" s="41">
        <f>IFERROR((PS_Plan_In_Current+ PS_Plan_Out_Current)/(PS_Plan_In_Max+PS_Plan_Out_Max),0)</f>
        <v>0</v>
      </c>
      <c r="C10" s="43" t="str">
        <f>PS_Plan_Q</f>
        <v/>
      </c>
      <c r="D10" s="41">
        <f>PS_Plan_Complete</f>
        <v>0</v>
      </c>
      <c r="E10" s="47"/>
      <c r="F10" s="41">
        <f>IFERROR((PM_Plan_In_Current+ PM_Plan_Out_Current)/(PM_PLan_In_Max+PM_Plan_Out_Max),0)</f>
        <v>0</v>
      </c>
      <c r="G10" s="43" t="str">
        <f>PM_Plan_Q</f>
        <v/>
      </c>
      <c r="H10" s="41">
        <f>PM_Plan_Complete</f>
        <v>0</v>
      </c>
      <c r="I10" s="47"/>
      <c r="J10" s="41">
        <f>IFERROR((Arch_Plan_In_Current+ Arch_Plan_Out_Current)/(Arch_Plan_In_Max+Arch_Plan_Out_Max),0)</f>
        <v>0</v>
      </c>
      <c r="K10" s="43" t="str">
        <f>Arch_Plan_Q</f>
        <v/>
      </c>
      <c r="L10" s="41">
        <f>Arch_Plan_Complete</f>
        <v>0</v>
      </c>
      <c r="M10" s="47"/>
      <c r="N10" s="41">
        <f>IFERROR((BA_Plan_In_Current+ BA_Plan_Out_Current)/(BA_Plan_In_Max+BA_Plan_Out_Max),0)</f>
        <v>0</v>
      </c>
      <c r="O10" s="43" t="str">
        <f>BA_Plan_Q</f>
        <v/>
      </c>
      <c r="P10" s="41">
        <f>BA_Plan_Complete</f>
        <v>0</v>
      </c>
      <c r="Q10" s="47"/>
      <c r="R10" s="41">
        <f>IFERROR((Dev_Plan_In_Current+ Dev_Plan_Out_Current)/(Dev_Plan_In_Max+Dev_Plan_Out_Max),0)</f>
        <v>0</v>
      </c>
      <c r="S10" s="43" t="str">
        <f>Dev_Plan_Q</f>
        <v/>
      </c>
      <c r="T10" s="41">
        <f>Dev_Plan_Complete</f>
        <v>0</v>
      </c>
      <c r="U10" s="47"/>
      <c r="V10" s="41">
        <f>IFERROR((QA_Plan_In_Current+ QA_Plan_Out_Current)/(QA_Plan_In_Max+QA_Plan_Out_Max),0)</f>
        <v>0</v>
      </c>
      <c r="W10" s="43" t="str">
        <f>QA_Plan_Q</f>
        <v/>
      </c>
      <c r="X10" s="41">
        <f>QA_Plan_Complete</f>
        <v>0</v>
      </c>
      <c r="Y10" s="47"/>
      <c r="Z10" s="41">
        <f>IFERROR((SE_Plan_In_Current+ SE_Plan_Out_Current)/(SE_Plan_In_Max+SE_Plan_Out_Max),0)</f>
        <v>0</v>
      </c>
      <c r="AA10" s="43" t="str">
        <f>SE_Plan_Q</f>
        <v/>
      </c>
      <c r="AB10" s="41">
        <f>SE_Plan_Complete</f>
        <v>0</v>
      </c>
      <c r="AC10" s="47"/>
      <c r="AD10" s="41">
        <f>IFERROR((SL_Plan_In_Current+ SL_Plan_Out_Current)/(SL_Plan_In_Max+SL_Plan_Out_Max),0)</f>
        <v>0</v>
      </c>
      <c r="AE10" s="43" t="str">
        <f>SL_Plan_Q</f>
        <v/>
      </c>
      <c r="AF10" s="41">
        <f>SL_Plan_Complete</f>
        <v>0</v>
      </c>
      <c r="AG10" s="47"/>
      <c r="AH10" s="41">
        <f t="shared" ref="AH10:AJ10" si="0">AVERAGE(AD10,Z10,V10,R10,N10,J10,F10,B10)</f>
        <v>0</v>
      </c>
      <c r="AI10" s="43">
        <f>IFERROR(AVERAGE(AE10,AA10,W10,S10,O10,K10,G10,C10),0)</f>
        <v>0</v>
      </c>
      <c r="AJ10" s="41">
        <f t="shared" si="0"/>
        <v>0</v>
      </c>
    </row>
    <row r="11" spans="1:36" ht="13">
      <c r="A11" s="10"/>
      <c r="E11" s="27"/>
      <c r="I11" s="27"/>
      <c r="M11" s="27"/>
      <c r="Q11" s="27"/>
      <c r="U11" s="27"/>
      <c r="Y11" s="27"/>
      <c r="AB11" s="41"/>
      <c r="AC11" s="27"/>
      <c r="AF11" s="41"/>
      <c r="AG11" s="27"/>
    </row>
    <row r="12" spans="1:36" ht="14">
      <c r="A12" s="2" t="s">
        <v>66</v>
      </c>
      <c r="E12" s="27"/>
      <c r="I12" s="27"/>
      <c r="M12" s="27"/>
      <c r="Q12" s="27"/>
      <c r="U12" s="27"/>
      <c r="Y12" s="27"/>
      <c r="AB12" s="41"/>
      <c r="AC12" s="27"/>
      <c r="AF12" s="41"/>
      <c r="AG12" s="27"/>
    </row>
    <row r="13" spans="1:36">
      <c r="A13" s="2" t="s">
        <v>59</v>
      </c>
      <c r="B13" s="41">
        <f>IFERROR((PS_Ops_In_Current+ PS_Ops_Out_Current)/(PS_Ops_In_Max+PS_Ops_Out_Max),0)</f>
        <v>0</v>
      </c>
      <c r="C13" s="77" t="str">
        <f>PS_Ops_Q</f>
        <v/>
      </c>
      <c r="D13" s="41">
        <f>PS_Ops_Complete</f>
        <v>0</v>
      </c>
      <c r="E13" s="47"/>
      <c r="F13" s="41">
        <f>IFERROR((PM_Ops_In_Current+ PM_Ops_Out_Current)/(PM_Ops_In_Max+PM_Ops_Out_Max),0)</f>
        <v>0</v>
      </c>
      <c r="G13" s="77" t="str">
        <f>PM_Ops_Q</f>
        <v/>
      </c>
      <c r="H13" s="41">
        <f>PM_Ops_Complete</f>
        <v>0</v>
      </c>
      <c r="I13" s="47"/>
      <c r="J13" s="41">
        <f>IFERROR((Arch_Ops_In_Current+ Arch_Ops_Out_Current)/(Arch_Ops_In_Max+Arch_Ops_Out_Max),0)</f>
        <v>0</v>
      </c>
      <c r="K13" s="81" t="str">
        <f>Arch_Ops_Q</f>
        <v/>
      </c>
      <c r="L13" s="41">
        <f>Arch_Ops_Complete</f>
        <v>0</v>
      </c>
      <c r="M13" s="47"/>
      <c r="N13" s="3" t="s">
        <v>62</v>
      </c>
      <c r="O13" s="3" t="s">
        <v>62</v>
      </c>
      <c r="P13" s="3" t="s">
        <v>62</v>
      </c>
      <c r="Q13" s="28"/>
      <c r="R13" s="41">
        <f>IFERROR((Dev_Ops_In_Current+ Dev_Ops_Out_Current)/(Dev_Ops_In_Max+Dev_Ops_Out_Max),0)</f>
        <v>0</v>
      </c>
      <c r="S13" s="81" t="str">
        <f>Dev_Ops_Q</f>
        <v/>
      </c>
      <c r="T13" s="41">
        <f>Dev_Ops_Complete</f>
        <v>0</v>
      </c>
      <c r="U13" s="47"/>
      <c r="V13" s="3" t="s">
        <v>62</v>
      </c>
      <c r="W13" s="81" t="s">
        <v>62</v>
      </c>
      <c r="X13" s="3" t="s">
        <v>62</v>
      </c>
      <c r="Y13" s="47"/>
      <c r="Z13" s="41">
        <f>IFERROR((SE_Ops_In_Current+ SE_Ops_Out_Current)/(SE_Ops_In_Max+SE_Ops_Out_Max),0)</f>
        <v>0</v>
      </c>
      <c r="AA13" s="81" t="str">
        <f>SE_Ops_Q</f>
        <v/>
      </c>
      <c r="AB13" s="41">
        <f>SE_Ops_Complete</f>
        <v>0</v>
      </c>
      <c r="AC13" s="47"/>
      <c r="AD13" s="41">
        <f>IFERROR((SL_Ops_In_Current+ SL_Ops_Out_Current)/(SL_Ops_In_Max+SL_Ops_Out_Max),0)</f>
        <v>0</v>
      </c>
      <c r="AE13" s="81" t="str">
        <f>SL_Ops_Q</f>
        <v/>
      </c>
      <c r="AF13" s="41">
        <f>SL_Ops_Complete</f>
        <v>0</v>
      </c>
      <c r="AG13" s="47"/>
      <c r="AH13" s="41">
        <f t="shared" ref="AH13:AJ13" si="1">AVERAGE(AD13,Z13,R13,J13,F13,B13)</f>
        <v>0</v>
      </c>
      <c r="AI13" s="43">
        <f>IFERROR(AVERAGE(AE13,AA13,S13,K13,G13,C13),0)</f>
        <v>0</v>
      </c>
      <c r="AJ13" s="41">
        <f t="shared" si="1"/>
        <v>0</v>
      </c>
    </row>
    <row r="14" spans="1:36" ht="13">
      <c r="A14" s="10"/>
      <c r="E14" s="27"/>
      <c r="I14" s="27"/>
      <c r="M14" s="27"/>
      <c r="Q14" s="27"/>
      <c r="U14" s="27"/>
      <c r="Y14" s="27"/>
      <c r="AB14" s="41"/>
      <c r="AC14" s="27"/>
      <c r="AF14" s="41"/>
      <c r="AG14" s="27"/>
    </row>
    <row r="15" spans="1:36" ht="14">
      <c r="A15" s="2" t="s">
        <v>68</v>
      </c>
      <c r="E15" s="27"/>
      <c r="I15" s="27"/>
      <c r="M15" s="27"/>
      <c r="Q15" s="27"/>
      <c r="U15" s="27"/>
      <c r="Y15" s="27"/>
      <c r="AB15" s="41"/>
      <c r="AC15" s="27"/>
      <c r="AF15" s="41"/>
      <c r="AG15" s="27"/>
    </row>
    <row r="16" spans="1:36" ht="14">
      <c r="A16" s="2" t="s">
        <v>64</v>
      </c>
      <c r="B16" s="41">
        <f>IFERROR((PS_DevP_In_Current+ PS_DevP_Out_Current)/(PS_DevP_In_Max+PS_DevP_Out_Max),0)</f>
        <v>0</v>
      </c>
      <c r="C16" s="43" t="str">
        <f>PS_DevP_Q</f>
        <v/>
      </c>
      <c r="D16" s="41">
        <f>PS_DevP_Complete</f>
        <v>0</v>
      </c>
      <c r="E16" s="47"/>
      <c r="F16" s="41">
        <f>IFERROR((PM_DevP_In_Current+ PM_DevP_Out_Current)/(PM_DevP_In_Max+PM_DevP_Out_Max),0)</f>
        <v>0</v>
      </c>
      <c r="G16" s="43" t="str">
        <f>PM_DevP_Q</f>
        <v/>
      </c>
      <c r="H16" s="41">
        <f>PM_DevP_Complete</f>
        <v>0</v>
      </c>
      <c r="I16" s="47"/>
      <c r="J16" s="41">
        <f>IFERROR((Arch_DevP_In_Current+ Arch_DevP_Out_Current)/(Arch_DevP_In_Max+Arch_DevP_Out_Max),0)</f>
        <v>0</v>
      </c>
      <c r="K16" s="43" t="str">
        <f>Arch_DevP_Q</f>
        <v/>
      </c>
      <c r="L16" s="41">
        <f>Arch_DevP_Complete</f>
        <v>0</v>
      </c>
      <c r="M16" s="47"/>
      <c r="N16" s="41">
        <f>IFERROR((BA_DevPrep_In_Current+ BA_DevPrep_Out_Current)/(BA_DevPrep_In_Max+BA_DevP_Out_Max),0)</f>
        <v>0</v>
      </c>
      <c r="O16" s="43" t="str">
        <f>BA_DevPrep_Q</f>
        <v/>
      </c>
      <c r="P16" s="41">
        <f>BA_DevPrep_Complete</f>
        <v>0</v>
      </c>
      <c r="Q16" s="47"/>
      <c r="R16" s="41">
        <f>IFERROR((Dev_DevP_In_Current+ Dev_DevP_Out_Current)/(Dev_DevP_In_Max+Dev_DevP_Out_Max),0)</f>
        <v>0</v>
      </c>
      <c r="S16" s="43" t="str">
        <f>Dev_DevP_Q</f>
        <v/>
      </c>
      <c r="T16" s="41">
        <f>Dev_DevP_Complete</f>
        <v>0</v>
      </c>
      <c r="U16" s="47"/>
      <c r="V16" s="41">
        <f>IFERROR((QA_DevP_In_Current+ QA_DevP_Out_Current)/(QA_DevP_In_Max+QA_DevP_Out_Max),0)</f>
        <v>0</v>
      </c>
      <c r="W16" s="43" t="str">
        <f>QA_DevP_Q</f>
        <v/>
      </c>
      <c r="X16" s="41">
        <f>QA_DevP_Complete</f>
        <v>0</v>
      </c>
      <c r="Y16" s="47"/>
      <c r="Z16" s="41">
        <f>IFERROR((SE_DevP_In_Current+ SE_DevP_Out_Current)/(SE_DevP_In_Max+SE_DevP_Out_Max),0)</f>
        <v>0</v>
      </c>
      <c r="AA16" s="43" t="str">
        <f>SE_DevP_Q</f>
        <v/>
      </c>
      <c r="AB16" s="41">
        <f>SE_DevP_Complete</f>
        <v>0</v>
      </c>
      <c r="AC16" s="47"/>
      <c r="AD16" s="41">
        <f>IFERROR((SL_DevP_In_Current+ SL_DevP_Out_Current)/(SL_DevP_In_Max+SL_DevP_Out_Max),0)</f>
        <v>0</v>
      </c>
      <c r="AE16" s="43" t="str">
        <f>SL_DevP_Q</f>
        <v/>
      </c>
      <c r="AF16" s="41">
        <f>SL_DevP_Complete</f>
        <v>0</v>
      </c>
      <c r="AG16" s="47"/>
      <c r="AH16" s="41">
        <f t="shared" ref="AH16:AJ16" si="2">AVERAGE(AD16,Z16,V16,R16,N16,J16,F16,B16)</f>
        <v>0</v>
      </c>
      <c r="AI16" s="43">
        <f>IFERROR(AVERAGE(AE16,AA16,W16,S16,O16,K16,G16,C16),0)</f>
        <v>0</v>
      </c>
      <c r="AJ16" s="41">
        <f t="shared" si="2"/>
        <v>0</v>
      </c>
    </row>
    <row r="17" spans="1:36" ht="13">
      <c r="A17" s="10"/>
      <c r="E17" s="27"/>
      <c r="I17" s="27"/>
      <c r="M17" s="27"/>
      <c r="Q17" s="27"/>
      <c r="U17" s="27"/>
      <c r="Y17" s="27"/>
      <c r="AB17" s="41"/>
      <c r="AC17" s="27"/>
      <c r="AF17" s="41"/>
      <c r="AG17" s="27"/>
    </row>
    <row r="18" spans="1:36" ht="14">
      <c r="A18" s="2" t="s">
        <v>69</v>
      </c>
      <c r="E18" s="27"/>
      <c r="I18" s="27"/>
      <c r="M18" s="27"/>
      <c r="Q18" s="27"/>
      <c r="U18" s="27"/>
      <c r="Y18" s="27"/>
      <c r="AB18" s="41"/>
      <c r="AC18" s="27"/>
      <c r="AF18" s="41"/>
      <c r="AG18" s="27"/>
    </row>
    <row r="19" spans="1:36">
      <c r="A19" s="2" t="s">
        <v>59</v>
      </c>
      <c r="B19" s="3" t="s">
        <v>62</v>
      </c>
      <c r="C19" s="81" t="s">
        <v>62</v>
      </c>
      <c r="D19" s="3" t="s">
        <v>62</v>
      </c>
      <c r="E19" s="47"/>
      <c r="F19" s="41">
        <f>IFERROR((PM_Dev_In_Current+ PM_Dev_Out_Current)/(PM_Dev_In_Max+PM_Dev_Out_Max),0)</f>
        <v>0</v>
      </c>
      <c r="G19" s="81" t="str">
        <f>PM_Dev_Q</f>
        <v/>
      </c>
      <c r="H19" s="41">
        <f>PM_Dev_Complete</f>
        <v>0</v>
      </c>
      <c r="I19" s="47"/>
      <c r="J19" s="41">
        <f>IFERROR((Arch_Dev_In_Current+ Arch_Dev_Out_Current)/(Arch_Dev_In_Max+Arch_Dev_Out_Max),0)</f>
        <v>0</v>
      </c>
      <c r="K19" s="81" t="str">
        <f>Arch_Dev_Q</f>
        <v/>
      </c>
      <c r="L19" s="41">
        <f>Arch_DevP_Complete</f>
        <v>0</v>
      </c>
      <c r="M19" s="47"/>
      <c r="N19" s="41">
        <f>IFERROR((BA_Dev_In_Current+ BA_Dev_Out_Current)/(BA_Dev_In_Max+BA_Dev_Out_Max),0)</f>
        <v>0</v>
      </c>
      <c r="O19" s="81" t="str">
        <f>BA_Dev_Q</f>
        <v/>
      </c>
      <c r="P19" s="41">
        <f>BA_Dev_Complete</f>
        <v>0</v>
      </c>
      <c r="Q19" s="47"/>
      <c r="R19" s="41">
        <f>IFERROR((Dev_Dev_In_Current+ Dev_Dev_Out_Current)/(Dev_Dev_In_Max+Dev_Dev_Out_Max),0)</f>
        <v>0</v>
      </c>
      <c r="S19" s="81" t="str">
        <f>Dev_Dev_Q</f>
        <v/>
      </c>
      <c r="T19" s="41">
        <f>Dev_DevP_Complete</f>
        <v>0</v>
      </c>
      <c r="U19" s="47"/>
      <c r="V19" s="41">
        <f>IFERROR((QA_Dev_In_Current+ QA_Dev_Out_Current)/(QA_Dev_In_Max+QA_Dev_Out_Max),0)</f>
        <v>0</v>
      </c>
      <c r="W19" s="81" t="str">
        <f>QA_Dev_Q</f>
        <v/>
      </c>
      <c r="X19" s="41">
        <f>QA_DevP_Complete</f>
        <v>0</v>
      </c>
      <c r="Y19" s="47"/>
      <c r="Z19" s="41">
        <f>IFERROR((SE_Dev_In_Current+ SE_Dev_Out_Current)/(SE_Dev_In_Max+SE_Dev_Out_Max),0)</f>
        <v>0</v>
      </c>
      <c r="AA19" s="81" t="str">
        <f>SE_Dev_Q</f>
        <v/>
      </c>
      <c r="AB19" s="41">
        <f>SE_DevP_Complete</f>
        <v>0</v>
      </c>
      <c r="AC19" s="47"/>
      <c r="AD19" s="3" t="s">
        <v>62</v>
      </c>
      <c r="AE19" s="81" t="s">
        <v>62</v>
      </c>
      <c r="AF19" s="98" t="s">
        <v>62</v>
      </c>
      <c r="AG19" s="47"/>
      <c r="AH19" s="41">
        <f t="shared" ref="AH19:AJ19" si="3">AVERAGE(Z19,V19,R19,N19,J19,F19)</f>
        <v>0</v>
      </c>
      <c r="AI19" s="43">
        <f>IFERROR(AVERAGE(AA19,W19,S19,O19,K19,G19),0)</f>
        <v>0</v>
      </c>
      <c r="AJ19" s="41">
        <f t="shared" si="3"/>
        <v>0</v>
      </c>
    </row>
    <row r="20" spans="1:36" ht="13">
      <c r="A20" s="2"/>
      <c r="E20" s="27"/>
      <c r="I20" s="27"/>
      <c r="M20" s="27"/>
      <c r="Q20" s="27"/>
      <c r="U20" s="27"/>
      <c r="Y20" s="27"/>
      <c r="AB20" s="41"/>
      <c r="AC20" s="27"/>
      <c r="AF20" s="41"/>
      <c r="AG20" s="27"/>
    </row>
    <row r="21" spans="1:36" ht="28">
      <c r="A21" s="2" t="s">
        <v>71</v>
      </c>
      <c r="E21" s="27"/>
      <c r="I21" s="27"/>
      <c r="M21" s="27"/>
      <c r="Q21" s="27"/>
      <c r="U21" s="27"/>
      <c r="Y21" s="27"/>
      <c r="AB21" s="41"/>
      <c r="AC21" s="27"/>
      <c r="AF21" s="41"/>
      <c r="AG21" s="27"/>
    </row>
    <row r="22" spans="1:36">
      <c r="A22" s="2" t="s">
        <v>59</v>
      </c>
      <c r="B22" s="41">
        <f>IFERROR((PS_Test_In_Current+ PS_Test_Out_Current)/(PS_Test_In_Max+PS_Test_Out_Max),0)</f>
        <v>0</v>
      </c>
      <c r="C22" s="81" t="str">
        <f>PS_Test_Q</f>
        <v/>
      </c>
      <c r="D22" s="41">
        <f>PS_Test_Complete</f>
        <v>0</v>
      </c>
      <c r="E22" s="47"/>
      <c r="F22" s="41">
        <f>IFERROR((PM_Test_In_Current+ PM_Test_Out_Current)/(PM_Test_In_Max+PM_Test_Out_Max),0)</f>
        <v>0</v>
      </c>
      <c r="G22" s="81" t="str">
        <f>PM_Test_Q</f>
        <v/>
      </c>
      <c r="H22" s="41">
        <f>PM_Test_Complete</f>
        <v>0</v>
      </c>
      <c r="I22" s="47"/>
      <c r="J22" s="41">
        <f>IFERROR((Arch_Test_In_Current+ Arch_Test_Out_Current)/(Arch_Test_In_Max+Arch_Test_Out_Max),0)</f>
        <v>0</v>
      </c>
      <c r="K22" s="81" t="str">
        <f>Arch_Test_Q</f>
        <v/>
      </c>
      <c r="L22" s="41">
        <f>Arch_Test_Complete</f>
        <v>0</v>
      </c>
      <c r="M22" s="47"/>
      <c r="N22" s="3" t="s">
        <v>62</v>
      </c>
      <c r="O22" s="3" t="s">
        <v>62</v>
      </c>
      <c r="P22" s="3" t="s">
        <v>62</v>
      </c>
      <c r="Q22" s="28"/>
      <c r="R22" s="41">
        <f>IFERROR((Dev_Test_In_Current+ Dev_Test_Out_Current)/(Dev_Test_In_Max+Dev_Test_Out_Max),0)</f>
        <v>0</v>
      </c>
      <c r="S22" s="81" t="str">
        <f>Dev_Test_Q</f>
        <v/>
      </c>
      <c r="T22" s="41">
        <f>Dev_Test_Complete</f>
        <v>0</v>
      </c>
      <c r="U22" s="47"/>
      <c r="V22" s="41">
        <f>IFERROR((QA_Test_In_Current+ QA_Test_Out_Current)/(QA_Test_In_Max+QA_Test_Out_Max),0)</f>
        <v>0</v>
      </c>
      <c r="W22" s="81" t="str">
        <f>QA_Test_Q</f>
        <v/>
      </c>
      <c r="X22" s="41">
        <f>QA_Test_Complete</f>
        <v>0</v>
      </c>
      <c r="Y22" s="47"/>
      <c r="Z22" s="41">
        <f>IFERROR((SE_Test_In_Current+ SE_Test_Out_Current)/(SE_Test_In_Max+SE_Test_Out_Max),0)</f>
        <v>0</v>
      </c>
      <c r="AA22" s="81" t="str">
        <f>SE_Test_Q</f>
        <v/>
      </c>
      <c r="AB22" s="41">
        <f>SE_Test_Complete</f>
        <v>0</v>
      </c>
      <c r="AC22" s="47"/>
      <c r="AD22" s="3" t="s">
        <v>62</v>
      </c>
      <c r="AE22" s="81" t="s">
        <v>62</v>
      </c>
      <c r="AF22" s="98" t="s">
        <v>62</v>
      </c>
      <c r="AG22" s="47"/>
      <c r="AH22" s="41">
        <f t="shared" ref="AH22:AJ22" si="4">AVERAGE(Z22,V22,R22,J22,F22,B22)</f>
        <v>0</v>
      </c>
      <c r="AI22" s="43">
        <f>IFERROR(AVERAGE(AA22,W22,S22,K22,G22,C22),0)</f>
        <v>0</v>
      </c>
      <c r="AJ22" s="41">
        <f t="shared" si="4"/>
        <v>0</v>
      </c>
    </row>
    <row r="23" spans="1:36" ht="13">
      <c r="A23" s="10"/>
      <c r="E23" s="27"/>
      <c r="I23" s="27"/>
      <c r="M23" s="27"/>
      <c r="Q23" s="27"/>
      <c r="U23" s="27"/>
      <c r="Y23" s="27"/>
      <c r="AB23" s="41"/>
      <c r="AC23" s="27"/>
      <c r="AF23" s="41"/>
      <c r="AG23" s="27"/>
    </row>
    <row r="24" spans="1:36" ht="14">
      <c r="A24" s="2" t="s">
        <v>72</v>
      </c>
      <c r="E24" s="27"/>
      <c r="I24" s="27"/>
      <c r="M24" s="27"/>
      <c r="Q24" s="27"/>
      <c r="U24" s="27"/>
      <c r="Y24" s="27"/>
      <c r="AB24" s="41"/>
      <c r="AC24" s="27"/>
      <c r="AF24" s="41"/>
      <c r="AG24" s="27"/>
    </row>
    <row r="25" spans="1:36">
      <c r="A25" s="2" t="s">
        <v>59</v>
      </c>
      <c r="B25" s="41">
        <f>IFERROR((PS_Roll_In_Current+ PS_Roll_Out_Current)/(PS_Roll_In_Max+PS_Roll_Out_Max),0)</f>
        <v>0</v>
      </c>
      <c r="C25" s="81" t="str">
        <f>PS_Roll_Q</f>
        <v/>
      </c>
      <c r="D25" s="41">
        <f>PS_Roll_Complete</f>
        <v>0</v>
      </c>
      <c r="E25" s="47"/>
      <c r="F25" s="41">
        <f>IFERROR((PM_Roll_In_Current+ PM_Roll_Out_Current)/(PM_Roll_In_Max+PM_Roll_Out_Max),0)</f>
        <v>0</v>
      </c>
      <c r="G25" s="81" t="str">
        <f>PM_Roll_Q</f>
        <v/>
      </c>
      <c r="H25" s="41">
        <f>PM_Roll_Complete</f>
        <v>0</v>
      </c>
      <c r="I25" s="47"/>
      <c r="J25" s="41">
        <f>IFERROR((Arch_Roll_In_Current+ Arch_Roll_Out_Current)/(Arch_Roll_In_Max+Arch_Roll_Out_Max),0)</f>
        <v>0</v>
      </c>
      <c r="K25" s="81" t="str">
        <f>Arch_Roll_Q</f>
        <v/>
      </c>
      <c r="L25" s="41">
        <f>Arch_Roll_Complete</f>
        <v>0</v>
      </c>
      <c r="M25" s="47"/>
      <c r="N25" s="3" t="s">
        <v>62</v>
      </c>
      <c r="O25" s="3" t="s">
        <v>62</v>
      </c>
      <c r="P25" s="3" t="s">
        <v>62</v>
      </c>
      <c r="Q25" s="28"/>
      <c r="R25" s="41">
        <f>IFERROR((Dev_Roll_In_Current+ Dev_Roll_Out_Current)/(Dev_Roll_In_Max+Dev_Roll_Out_Max),0)</f>
        <v>0</v>
      </c>
      <c r="S25" s="81" t="str">
        <f>Dev_Roll_Q</f>
        <v/>
      </c>
      <c r="T25" s="41">
        <f>Dev_Roll_Complete</f>
        <v>0</v>
      </c>
      <c r="U25" s="47"/>
      <c r="V25" s="3" t="s">
        <v>62</v>
      </c>
      <c r="W25" s="81" t="s">
        <v>62</v>
      </c>
      <c r="X25" s="3" t="s">
        <v>62</v>
      </c>
      <c r="Y25" s="47"/>
      <c r="Z25" s="41">
        <f>IFERROR((SE_Roll_In_Current+ SE_Roll_Out_Current)/(SE_Roll_In_Max+SE_Roll_Out_Max),0)</f>
        <v>0</v>
      </c>
      <c r="AA25" s="81" t="str">
        <f>SE_Roll_Q</f>
        <v/>
      </c>
      <c r="AB25" s="41">
        <f>SE_Roll_Complete</f>
        <v>0</v>
      </c>
      <c r="AC25" s="47"/>
      <c r="AD25" s="41">
        <f>IFERROR((SL_Roll_In_Current+ SL_Roll_Out_Current)/(SL_Roll_In_Max+SL_Roll_Out_Max),0)</f>
        <v>0</v>
      </c>
      <c r="AE25" s="81" t="str">
        <f>SL_Roll_Q</f>
        <v/>
      </c>
      <c r="AF25" s="41">
        <f>SL_Roll_Complete</f>
        <v>0</v>
      </c>
      <c r="AG25" s="47"/>
      <c r="AH25" s="41">
        <f t="shared" ref="AH25:AJ25" si="5">AVERAGE(AD25,Z25,R25,J25,F25,B25)</f>
        <v>0</v>
      </c>
      <c r="AI25" s="43">
        <f>IFERROR(AVERAGE(AE25,AA25,S25,K25,G25,C25),0)</f>
        <v>0</v>
      </c>
      <c r="AJ25" s="41">
        <f t="shared" si="5"/>
        <v>0</v>
      </c>
    </row>
    <row r="26" spans="1:36" ht="13">
      <c r="A26" s="10"/>
      <c r="E26" s="27"/>
      <c r="I26" s="27"/>
      <c r="M26" s="27"/>
      <c r="Q26" s="27"/>
      <c r="U26" s="27"/>
      <c r="Y26" s="27"/>
      <c r="AB26" s="41"/>
      <c r="AC26" s="27"/>
      <c r="AF26" s="41"/>
      <c r="AG26" s="27"/>
    </row>
    <row r="27" spans="1:36" ht="14">
      <c r="A27" s="2" t="s">
        <v>74</v>
      </c>
      <c r="E27" s="27"/>
      <c r="I27" s="27"/>
      <c r="M27" s="27"/>
      <c r="Q27" s="27"/>
      <c r="U27" s="27"/>
      <c r="Y27" s="27"/>
      <c r="AB27" s="41"/>
      <c r="AC27" s="27"/>
      <c r="AF27" s="41"/>
      <c r="AG27" s="27"/>
    </row>
    <row r="28" spans="1:36">
      <c r="A28" s="2" t="s">
        <v>59</v>
      </c>
      <c r="B28" s="41">
        <f>IFERROR((PS_Live_In_Current+ PS_Live_Out_Current)/(PS_Live_In_Max+PS_Live_Out_Max),0)</f>
        <v>0</v>
      </c>
      <c r="C28" s="81" t="str">
        <f>PS_Live_Q</f>
        <v/>
      </c>
      <c r="D28" s="41">
        <f>PS_Live_Complete</f>
        <v>0</v>
      </c>
      <c r="E28" s="47"/>
      <c r="F28" s="41">
        <f>IFERROR((PM_Live_In_Current+ PM_Live_Out_Current)/(PM_Live_In_Max+PM_Live_Out_Max),0)</f>
        <v>0</v>
      </c>
      <c r="G28" s="81" t="str">
        <f>PM_Live_Q</f>
        <v/>
      </c>
      <c r="H28" s="41">
        <f>PM_Live_Complete</f>
        <v>0</v>
      </c>
      <c r="I28" s="47"/>
      <c r="J28" s="41">
        <f>IFERROR((Arch_Live_In_Current+ Arch_Live_Out_Current)/(Arch_Live_In_Max+Arch_Live_Out_Max),0)</f>
        <v>0</v>
      </c>
      <c r="K28" s="81" t="str">
        <f>Arch_Live_Q</f>
        <v/>
      </c>
      <c r="L28" s="41">
        <f>Arch_Live_Complete</f>
        <v>0</v>
      </c>
      <c r="M28" s="47"/>
      <c r="N28" s="3" t="s">
        <v>62</v>
      </c>
      <c r="O28" s="3" t="s">
        <v>62</v>
      </c>
      <c r="P28" s="3" t="s">
        <v>62</v>
      </c>
      <c r="Q28" s="28"/>
      <c r="R28" s="41">
        <f>IFERROR((Dev_Live_In_Current+ Dev_Live_Out_Current)/(Dev_Live_In_Max+Dev_Live_Out_Max),0)</f>
        <v>0</v>
      </c>
      <c r="S28" s="81" t="str">
        <f>Dev_Live_Q</f>
        <v/>
      </c>
      <c r="T28" s="41">
        <f>Dev_Live_Complete</f>
        <v>0</v>
      </c>
      <c r="U28" s="47"/>
      <c r="V28" s="41">
        <f>IFERROR((QA_Live_In_Current+ QA_Live_Out_Current)/(QA_Live_In_Max+QA_Live_Out_Max),0)</f>
        <v>0</v>
      </c>
      <c r="W28" s="81" t="str">
        <f>QA_Live_Q</f>
        <v/>
      </c>
      <c r="X28" s="41">
        <f>QA_Live_Complete</f>
        <v>0</v>
      </c>
      <c r="Y28" s="47"/>
      <c r="Z28" s="41">
        <f>IFERROR((SE_Live_In_Current+ SE_Live_Out_Current)/(SE_Live_In_Max+SE_Live_Out_Max),0)</f>
        <v>0</v>
      </c>
      <c r="AA28" s="81" t="str">
        <f>SE_Live_Q</f>
        <v/>
      </c>
      <c r="AB28" s="41">
        <f>SE_Live_Complete</f>
        <v>0</v>
      </c>
      <c r="AC28" s="47"/>
      <c r="AD28" s="41">
        <f>IFERROR((SL_Live_In_Current+ SL_Live_Out_Current)/(SL_Live_In_Max+SL_Live_Out_Max),0)</f>
        <v>0</v>
      </c>
      <c r="AE28" s="81" t="str">
        <f>SL_Live_Q</f>
        <v/>
      </c>
      <c r="AF28" s="41">
        <f>SL_Live_Complete</f>
        <v>0</v>
      </c>
      <c r="AG28" s="47"/>
      <c r="AH28" s="41">
        <f t="shared" ref="AH28:AJ28" si="6">AVERAGE(AD28,Z28,V28,R28,J28,F28,B28)</f>
        <v>0</v>
      </c>
      <c r="AI28" s="43">
        <f>IFERROR(AVERAGE(AE28,AA28,W28,S28,K28,G28,C28),0)</f>
        <v>0</v>
      </c>
      <c r="AJ28" s="41">
        <f t="shared" si="6"/>
        <v>0</v>
      </c>
    </row>
    <row r="29" spans="1:36" ht="13">
      <c r="E29" s="27"/>
      <c r="I29" s="27"/>
      <c r="M29" s="27"/>
      <c r="Q29" s="27"/>
      <c r="U29" s="27"/>
      <c r="Y29" s="27"/>
      <c r="AC29" s="27"/>
      <c r="AG29" s="27"/>
    </row>
    <row r="45" spans="2:2" ht="13">
      <c r="B45" s="3"/>
    </row>
  </sheetData>
  <sheetProtection password="C6F3" sheet="1" objects="1" scenarios="1"/>
  <mergeCells count="1">
    <mergeCell ref="B1:P1"/>
  </mergeCells>
  <conditionalFormatting sqref="C7 G7 K7 O7 S7 W7 AA7 AE7 C10 G10 K10 O10 S10 W10 AA10 AE10 C13 G13 K13 O13 S13 W13 AA13 AE13 C16 G16 K16 O16 S16 W16 AA16 AE16 C19 G19 K19 O19 S19 W19 AA19 AE19 C22 G22 K22 O22 S22 W22 AA22 AE22 C25 G25 K25 O25 S25 W25 AA25 AE25 C28 G28 K28 O28 S28 W28 AA28 AE28">
    <cfRule type="colorScale" priority="1">
      <colorScale>
        <cfvo type="formula" val="1"/>
        <cfvo type="formula" val="2"/>
        <cfvo type="formula" val="3"/>
        <color rgb="FFFF0000"/>
        <color rgb="FFFFFF00"/>
        <color rgb="FF00FF00"/>
      </colorScale>
    </cfRule>
  </conditionalFormatting>
  <conditionalFormatting sqref="B7:F7 H7:J7 L7:N7 P7:R7 T7:V7 X7:Z7 AB7:AD7 AG7 B10:F10 H10:J10 L10:N10 P10:R10 T10:V10 X10:Z10 AB10:AD10 AF10:AG10 B13:F13 I13:J13 M13:R13 U13:V13 Y13:Z13 AC13:AD13 AG13 B16:F16 I16:J16 M16:N16 Q16:R16 U16:V16 Y16:Z16 AC16:AD16 AG16 B19:F19 I19:J19 M19:N19 Q19:R19 U19:V19 Y19:Z19 AC19:AD19 AG19 B22:F22 I22:J22 M22:R22 U22:V22 Y22:Z22 AC22:AD22 AG22 B25:F25 I25:J25 M25:R25 U25:V25 Y25:Z25 AC25:AD25 AG25 B28:F28 I28:J28 M28:R28 U28:V28 Y28:Z28 AC28:AD28 AG28">
    <cfRule type="colorScale" priority="2">
      <colorScale>
        <cfvo type="formula" val="0"/>
        <cfvo type="formula" val="0.5"/>
        <cfvo type="formula" val="1"/>
        <color rgb="FFFF0000"/>
        <color rgb="FFFFFF00"/>
        <color rgb="FF00FF00"/>
      </colorScale>
    </cfRule>
  </conditionalFormatting>
  <conditionalFormatting sqref="B19:F19 I19:J19 M19:N19 Q19:R19 U19:V19 Y19:Z19 AC19:AD19 AG19">
    <cfRule type="colorScale" priority="3">
      <colorScale>
        <cfvo type="min"/>
        <cfvo type="percentile" val="50"/>
        <cfvo type="max"/>
        <color rgb="FFFF0000"/>
        <color rgb="FFFFFF00"/>
        <color rgb="FF00FF00"/>
      </colorScale>
    </cfRule>
  </conditionalFormatting>
  <conditionalFormatting sqref="B13:F13 I13:J13 M13:N13 Q13:R13 U13:V13 Y13:Z13 AC13:AD13 AG13 B25:F25 I25:J25 M25:N25 Q25:R25 U25:V25 Y25:Z25 AC25:AD25 AG25 B28:F28 I28:J28 M28:N28 Q28:R28 U28:V28 Y28:Z28 AC28:AD28 AG28">
    <cfRule type="colorScale" priority="4">
      <colorScale>
        <cfvo type="formula" val="0"/>
        <cfvo type="percent" val="50"/>
        <cfvo type="formula" val="200"/>
        <color rgb="FFE67C73"/>
        <color rgb="FFFFD666"/>
        <color rgb="FF57BB8A"/>
      </colorScale>
    </cfRule>
  </conditionalFormatting>
  <conditionalFormatting sqref="B13:F13 I13:J13 M13:N13 Q13:R13 U13:V13 Y13:Z13 AC13:AD13 AG13 B28:F28 I28:J28 M28:N28 Q28:R28 U28:V28 Y28:Z28 AC28:AD28 AG28">
    <cfRule type="colorScale" priority="5">
      <colorScale>
        <cfvo type="formula" val="0"/>
        <cfvo type="percentile" val="50"/>
        <cfvo type="formula" val="200"/>
        <color rgb="FFE67C73"/>
        <color rgb="FFFFD666"/>
        <color rgb="FF57BB8A"/>
      </colorScale>
    </cfRule>
  </conditionalFormatting>
  <conditionalFormatting sqref="P7 D10 H10 L10 P10 T10 X10 AB10 AF10">
    <cfRule type="colorScale" priority="6">
      <colorScale>
        <cfvo type="formula" val="0"/>
        <cfvo type="percentile" val="50"/>
        <cfvo type="formula" val="100"/>
        <color rgb="FFFF0000"/>
        <color rgb="FFFFFF00"/>
        <color rgb="FF00FF00"/>
      </colorScale>
    </cfRule>
  </conditionalFormatting>
  <conditionalFormatting sqref="T7 L7 X7 AB7 AF7">
    <cfRule type="colorScale" priority="7">
      <colorScale>
        <cfvo type="percent" val="0"/>
        <cfvo type="percentile" val="50"/>
        <cfvo type="percent" val="100"/>
        <color rgb="FFFF0000"/>
        <color rgb="FFFFFF00"/>
        <color rgb="FF00FF00"/>
      </colorScale>
    </cfRule>
  </conditionalFormatting>
  <conditionalFormatting sqref="H16 D16 L16 P16 T16 X16 AB16 AF16">
    <cfRule type="colorScale" priority="8">
      <colorScale>
        <cfvo type="formula" val="0"/>
        <cfvo type="formula" val="0.5"/>
        <cfvo type="formula" val="1"/>
        <color rgb="FFFF0000"/>
        <color rgb="FFFFFF00"/>
        <color rgb="FF00FF00"/>
      </colorScale>
    </cfRule>
  </conditionalFormatting>
  <conditionalFormatting sqref="D19 H19 L19 P19 T19 X19 AB19 AF19">
    <cfRule type="colorScale" priority="9">
      <colorScale>
        <cfvo type="formula" val="0"/>
        <cfvo type="formula" val="0.5"/>
        <cfvo type="formula" val="1"/>
        <color rgb="FFFF0000"/>
        <color rgb="FFFFFF00"/>
        <color rgb="FF00FF00"/>
      </colorScale>
    </cfRule>
  </conditionalFormatting>
  <conditionalFormatting sqref="H13 D13 L13 P13 T13 X13 AB13 AF13 D22 H22 L22 P22 T22 X22 AB22 AF22 D25 H25 L25 P25 T25 X25 AB25 AF25 D28 H28 L28 P28 T28 X28 AB28 AF28">
    <cfRule type="colorScale" priority="10">
      <colorScale>
        <cfvo type="formula" val="0"/>
        <cfvo type="formula" val="0.5"/>
        <cfvo type="formula" val="1"/>
        <color rgb="FFFF0000"/>
        <color rgb="FFFFFF00"/>
        <color rgb="FF00FF00"/>
      </colorScale>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8FF00"/>
  </sheetPr>
  <dimension ref="A1:O964"/>
  <sheetViews>
    <sheetView showGridLines="0" zoomScale="110" zoomScaleNormal="110" zoomScalePageLayoutView="110" workbookViewId="0">
      <pane xSplit="2" ySplit="1" topLeftCell="C2" activePane="bottomRight" state="frozen"/>
      <selection pane="topRight" activeCell="C1" sqref="C1"/>
      <selection pane="bottomLeft" activeCell="A2" sqref="A2"/>
      <selection pane="bottomRight" activeCell="D2" sqref="D2"/>
    </sheetView>
  </sheetViews>
  <sheetFormatPr baseColWidth="10" defaultColWidth="17.33203125" defaultRowHeight="15" customHeight="1"/>
  <cols>
    <col min="1" max="1" width="18.83203125" customWidth="1"/>
    <col min="2" max="2" width="15.33203125" customWidth="1"/>
    <col min="3" max="3" width="53.83203125" customWidth="1"/>
    <col min="4" max="4" width="6.1640625" customWidth="1"/>
    <col min="5" max="5" width="8.1640625" hidden="1" customWidth="1"/>
    <col min="6" max="7" width="8.6640625" hidden="1" customWidth="1"/>
    <col min="8" max="8" width="6.5" customWidth="1"/>
    <col min="9" max="9" width="7.6640625" customWidth="1"/>
    <col min="10" max="10" width="58.33203125" customWidth="1"/>
    <col min="11" max="11" width="5.1640625" customWidth="1"/>
    <col min="12" max="12" width="7.83203125" hidden="1" customWidth="1"/>
    <col min="13" max="13" width="6.1640625" hidden="1" customWidth="1"/>
    <col min="14" max="14" width="9.1640625" hidden="1" customWidth="1"/>
    <col min="15" max="15" width="7.83203125" customWidth="1"/>
    <col min="16" max="30" width="17.1640625" customWidth="1"/>
  </cols>
  <sheetData>
    <row r="1" spans="1:15" ht="24">
      <c r="A1" s="22" t="s">
        <v>19</v>
      </c>
      <c r="B1" s="22" t="s">
        <v>21</v>
      </c>
      <c r="C1" s="24" t="s">
        <v>23</v>
      </c>
      <c r="D1" s="390" t="s">
        <v>25</v>
      </c>
      <c r="E1" s="391" t="s">
        <v>39</v>
      </c>
      <c r="F1" s="391" t="s">
        <v>40</v>
      </c>
      <c r="G1" s="29" t="s">
        <v>41</v>
      </c>
      <c r="H1" s="392" t="s">
        <v>42</v>
      </c>
      <c r="I1" s="33"/>
      <c r="J1" s="35" t="s">
        <v>29</v>
      </c>
      <c r="K1" s="26" t="s">
        <v>25</v>
      </c>
      <c r="N1" s="36" t="s">
        <v>55</v>
      </c>
      <c r="O1" s="37"/>
    </row>
    <row r="2" spans="1:15" ht="16.5" customHeight="1">
      <c r="A2" s="468" t="s">
        <v>46</v>
      </c>
      <c r="B2" s="471" t="s">
        <v>60</v>
      </c>
      <c r="C2" s="176" t="str">
        <f>Glossary!B32</f>
        <v>Business Case(s)</v>
      </c>
      <c r="D2" s="446"/>
      <c r="E2" s="393" t="b">
        <f t="shared" ref="E2:E5" si="0">IF(OR(D2="y",D2="n"), G2)</f>
        <v>0</v>
      </c>
      <c r="F2" s="394" t="str">
        <f t="shared" ref="F2:F5" si="1">IF(D2 = "Y",E2, IF(D2="n",0, ""))</f>
        <v/>
      </c>
      <c r="G2" s="395">
        <v>50</v>
      </c>
      <c r="H2" s="442"/>
      <c r="I2" s="56"/>
      <c r="J2" s="58" t="str">
        <f>Glossary!B61</f>
        <v>Customer Roadmap</v>
      </c>
      <c r="K2" s="402"/>
      <c r="L2" t="b">
        <f t="shared" ref="L2:L11" si="2">IF(OR(K2="y",K2="n"), N2)</f>
        <v>0</v>
      </c>
      <c r="M2" s="51" t="str">
        <f t="shared" ref="M2:M11" si="3">IF(K2 = "Y",L2, IF(K2="n",0, ""))</f>
        <v/>
      </c>
      <c r="N2" s="3">
        <v>20</v>
      </c>
      <c r="O2" s="37"/>
    </row>
    <row r="3" spans="1:15" ht="16.5" customHeight="1">
      <c r="A3" s="469"/>
      <c r="B3" s="469"/>
      <c r="C3" s="176" t="str">
        <f>Glossary!B103</f>
        <v>High Level Requirements</v>
      </c>
      <c r="D3" s="446"/>
      <c r="E3" s="393" t="b">
        <f t="shared" si="0"/>
        <v>0</v>
      </c>
      <c r="F3" s="394" t="str">
        <f t="shared" si="1"/>
        <v/>
      </c>
      <c r="G3" s="395">
        <v>40</v>
      </c>
      <c r="H3" s="442"/>
      <c r="I3" s="56"/>
      <c r="J3" s="58" t="str">
        <f>Glossary!B184</f>
        <v>Project Scope Document</v>
      </c>
      <c r="K3" s="402"/>
      <c r="L3" t="b">
        <f t="shared" si="2"/>
        <v>0</v>
      </c>
      <c r="M3" s="51" t="str">
        <f t="shared" si="3"/>
        <v/>
      </c>
      <c r="N3" s="63">
        <v>40</v>
      </c>
      <c r="O3" s="37"/>
    </row>
    <row r="4" spans="1:15" ht="16.5" customHeight="1">
      <c r="A4" s="469"/>
      <c r="B4" s="469"/>
      <c r="C4" s="176" t="str">
        <f>Glossary!B229</f>
        <v>Stakeholders</v>
      </c>
      <c r="D4" s="445"/>
      <c r="E4" s="393" t="b">
        <f t="shared" si="0"/>
        <v>0</v>
      </c>
      <c r="F4" s="394" t="str">
        <f t="shared" si="1"/>
        <v/>
      </c>
      <c r="G4" s="395">
        <v>20</v>
      </c>
      <c r="H4" s="442"/>
      <c r="I4" s="56"/>
      <c r="J4" s="64" t="str">
        <f>Glossary!B202</f>
        <v>ROI expectations</v>
      </c>
      <c r="K4" s="402"/>
      <c r="L4" t="b">
        <f t="shared" si="2"/>
        <v>0</v>
      </c>
      <c r="M4" s="51" t="str">
        <f t="shared" si="3"/>
        <v/>
      </c>
      <c r="N4" s="63">
        <v>30</v>
      </c>
      <c r="O4" s="37"/>
    </row>
    <row r="5" spans="1:15" ht="16.5" customHeight="1">
      <c r="A5" s="469"/>
      <c r="B5" s="469"/>
      <c r="C5" s="389" t="str">
        <f>Glossary!B233</f>
        <v>Success criteria and definition</v>
      </c>
      <c r="D5" s="445"/>
      <c r="E5" s="393" t="b">
        <f t="shared" si="0"/>
        <v>0</v>
      </c>
      <c r="F5" s="394" t="str">
        <f t="shared" si="1"/>
        <v/>
      </c>
      <c r="G5" s="395">
        <v>30</v>
      </c>
      <c r="H5" s="442"/>
      <c r="I5" s="56"/>
      <c r="J5" s="64" t="str">
        <f>Glossary!B127</f>
        <v>Initial Experience Designs</v>
      </c>
      <c r="K5" s="402"/>
      <c r="L5" t="b">
        <f t="shared" si="2"/>
        <v>0</v>
      </c>
      <c r="M5" s="51" t="str">
        <f t="shared" si="3"/>
        <v/>
      </c>
      <c r="N5" s="63">
        <v>20</v>
      </c>
      <c r="O5" s="37"/>
    </row>
    <row r="6" spans="1:15" ht="16.5" customHeight="1">
      <c r="A6" s="469"/>
      <c r="B6" s="469"/>
      <c r="C6" s="66"/>
      <c r="D6" s="66"/>
      <c r="E6" s="66"/>
      <c r="F6" s="66"/>
      <c r="G6" s="66"/>
      <c r="H6" s="66"/>
      <c r="I6" s="37"/>
      <c r="J6" s="64" t="str">
        <f>Glossary!B34</f>
        <v>Business Requirements Documentation</v>
      </c>
      <c r="K6" s="402"/>
      <c r="L6" t="b">
        <f t="shared" si="2"/>
        <v>0</v>
      </c>
      <c r="M6" s="51" t="str">
        <f t="shared" si="3"/>
        <v/>
      </c>
      <c r="N6" s="63">
        <v>25</v>
      </c>
      <c r="O6" s="37"/>
    </row>
    <row r="7" spans="1:15" ht="16.5" customHeight="1">
      <c r="A7" s="469"/>
      <c r="B7" s="469"/>
      <c r="C7" s="66"/>
      <c r="D7" s="66"/>
      <c r="E7" s="66"/>
      <c r="F7" s="66"/>
      <c r="G7" s="66"/>
      <c r="H7" s="66"/>
      <c r="I7" s="37"/>
      <c r="J7" s="64" t="str">
        <f>Glossary!B33</f>
        <v>Business KPIs</v>
      </c>
      <c r="K7" s="402"/>
      <c r="L7" t="b">
        <f t="shared" si="2"/>
        <v>0</v>
      </c>
      <c r="M7" s="51" t="str">
        <f t="shared" si="3"/>
        <v/>
      </c>
      <c r="N7" s="63">
        <v>25</v>
      </c>
      <c r="O7" s="37"/>
    </row>
    <row r="8" spans="1:15" ht="16.5" customHeight="1">
      <c r="A8" s="469"/>
      <c r="B8" s="469"/>
      <c r="C8" s="66"/>
      <c r="D8" s="67"/>
      <c r="E8" s="67"/>
      <c r="F8" s="67"/>
      <c r="G8" s="67"/>
      <c r="H8" s="67"/>
      <c r="I8" s="56"/>
      <c r="J8" s="58" t="str">
        <f>Glossary!B107</f>
        <v xml:space="preserve">Historical performance and historical performance KPIs </v>
      </c>
      <c r="K8" s="402"/>
      <c r="L8" t="b">
        <f t="shared" si="2"/>
        <v>0</v>
      </c>
      <c r="M8" s="51" t="str">
        <f t="shared" si="3"/>
        <v/>
      </c>
      <c r="N8" s="63">
        <v>25</v>
      </c>
      <c r="O8" s="37"/>
    </row>
    <row r="9" spans="1:15" ht="16.5" customHeight="1">
      <c r="A9" s="469"/>
      <c r="B9" s="469"/>
      <c r="C9" s="66"/>
      <c r="D9" s="67"/>
      <c r="E9" s="67"/>
      <c r="F9" s="67"/>
      <c r="G9" s="67"/>
      <c r="H9" s="67"/>
      <c r="I9" s="56"/>
      <c r="J9" s="58" t="str">
        <f>Glossary!B50</f>
        <v>Customer Security Policies</v>
      </c>
      <c r="K9" s="402"/>
      <c r="L9" t="b">
        <f t="shared" si="2"/>
        <v>0</v>
      </c>
      <c r="M9" s="51" t="str">
        <f t="shared" si="3"/>
        <v/>
      </c>
      <c r="N9" s="63">
        <v>40</v>
      </c>
      <c r="O9" s="37"/>
    </row>
    <row r="10" spans="1:15" ht="16.5" customHeight="1">
      <c r="A10" s="469"/>
      <c r="B10" s="469"/>
      <c r="C10" s="66"/>
      <c r="D10" s="68"/>
      <c r="E10" s="68"/>
      <c r="F10" s="68"/>
      <c r="G10" s="68"/>
      <c r="H10" s="68"/>
      <c r="I10" s="56"/>
      <c r="J10" s="69" t="str">
        <f>Glossary!B233</f>
        <v>Success criteria and definition</v>
      </c>
      <c r="K10" s="402"/>
      <c r="L10" t="b">
        <f t="shared" si="2"/>
        <v>0</v>
      </c>
      <c r="M10" s="51" t="str">
        <f t="shared" si="3"/>
        <v/>
      </c>
      <c r="N10" s="63">
        <v>30</v>
      </c>
      <c r="O10" s="37"/>
    </row>
    <row r="11" spans="1:15" ht="16.5" customHeight="1">
      <c r="A11" s="469"/>
      <c r="B11" s="469"/>
      <c r="C11" s="66"/>
      <c r="D11" s="68"/>
      <c r="E11" s="68"/>
      <c r="F11" s="68"/>
      <c r="G11" s="68"/>
      <c r="H11" s="68"/>
      <c r="I11" s="56"/>
      <c r="J11" s="69" t="str">
        <f>Glossary!B264</f>
        <v>Timeline and Milestones</v>
      </c>
      <c r="K11" s="402"/>
      <c r="L11" t="b">
        <f t="shared" si="2"/>
        <v>0</v>
      </c>
      <c r="M11" s="51" t="str">
        <f t="shared" si="3"/>
        <v/>
      </c>
      <c r="N11" s="63">
        <v>25</v>
      </c>
      <c r="O11" s="37"/>
    </row>
    <row r="12" spans="1:15" ht="21" customHeight="1">
      <c r="A12" s="469"/>
      <c r="B12" s="470"/>
      <c r="C12" s="73"/>
      <c r="D12" s="74"/>
      <c r="E12" s="74"/>
      <c r="F12" s="74"/>
      <c r="G12" s="74"/>
      <c r="H12" s="74"/>
      <c r="I12" s="74"/>
      <c r="J12" s="74"/>
      <c r="K12" s="74"/>
      <c r="L12" s="76"/>
      <c r="M12" s="78"/>
      <c r="N12" s="79"/>
      <c r="O12" s="37"/>
    </row>
    <row r="13" spans="1:15" ht="16.5" customHeight="1">
      <c r="A13" s="469"/>
      <c r="B13" s="472" t="s">
        <v>67</v>
      </c>
      <c r="C13" s="69" t="str">
        <f>Glossary!B182</f>
        <v>Project efforts final estimates</v>
      </c>
      <c r="D13" s="410"/>
      <c r="E13" t="b">
        <f t="shared" ref="E13:E15" si="4">IF(OR(D13="y",D13="n"), G13)</f>
        <v>0</v>
      </c>
      <c r="F13" s="51" t="str">
        <f t="shared" ref="F13:F15" si="5">IF(D13 = "Y",E13, IF(D13="n",0, ""))</f>
        <v/>
      </c>
      <c r="G13" s="53">
        <v>40</v>
      </c>
      <c r="H13" s="400"/>
      <c r="I13" s="56"/>
      <c r="J13" s="84" t="str">
        <f>Glossary!B274</f>
        <v>Validated budget plan</v>
      </c>
      <c r="K13" s="402"/>
      <c r="L13" t="b">
        <f t="shared" ref="L13:L14" si="6">IF(OR(K13="y",K13="n"), N13)</f>
        <v>0</v>
      </c>
      <c r="M13" s="51" t="str">
        <f t="shared" ref="M13:M14" si="7">IF(K13 = "Y",L13, IF(K13="n",0, ""))</f>
        <v/>
      </c>
      <c r="N13" s="63">
        <v>40</v>
      </c>
      <c r="O13" s="37"/>
    </row>
    <row r="14" spans="1:15" ht="16.5" customHeight="1">
      <c r="A14" s="469"/>
      <c r="B14" s="469"/>
      <c r="C14" s="83" t="str">
        <f>Glossary!B59</f>
        <v>Contract Draft</v>
      </c>
      <c r="D14" s="402"/>
      <c r="E14" t="b">
        <f t="shared" si="4"/>
        <v>0</v>
      </c>
      <c r="F14" s="51" t="str">
        <f t="shared" si="5"/>
        <v/>
      </c>
      <c r="G14" s="53">
        <v>40</v>
      </c>
      <c r="H14" s="400"/>
      <c r="I14" s="56"/>
      <c r="J14" s="69" t="str">
        <f>Glossary!B95</f>
        <v>Finalized Contract</v>
      </c>
      <c r="K14" s="402"/>
      <c r="L14" t="b">
        <f t="shared" si="6"/>
        <v>0</v>
      </c>
      <c r="M14" s="51" t="str">
        <f t="shared" si="7"/>
        <v/>
      </c>
      <c r="N14" s="63">
        <v>50</v>
      </c>
      <c r="O14" s="37"/>
    </row>
    <row r="15" spans="1:15" ht="16.5" customHeight="1">
      <c r="A15" s="469"/>
      <c r="B15" s="470"/>
      <c r="C15" s="64" t="str">
        <f>Glossary!B101</f>
        <v>Hardware Estimates</v>
      </c>
      <c r="D15" s="402"/>
      <c r="E15" t="b">
        <f t="shared" si="4"/>
        <v>0</v>
      </c>
      <c r="F15" s="51" t="str">
        <f t="shared" si="5"/>
        <v/>
      </c>
      <c r="G15" s="53">
        <v>25</v>
      </c>
      <c r="H15" s="400"/>
      <c r="I15" s="56"/>
      <c r="J15" s="87"/>
      <c r="K15" s="87"/>
      <c r="O15" s="37"/>
    </row>
    <row r="16" spans="1:15" ht="23.25" customHeight="1">
      <c r="A16" s="470"/>
      <c r="B16" s="6"/>
      <c r="C16" s="37"/>
      <c r="D16" s="56"/>
      <c r="E16" s="56"/>
      <c r="F16" s="37"/>
      <c r="G16" s="37"/>
      <c r="H16" s="56"/>
      <c r="I16" s="74"/>
      <c r="J16" s="73"/>
      <c r="K16" s="37"/>
      <c r="O16" s="37"/>
    </row>
    <row r="17" spans="1:15" ht="8.25" hidden="1" customHeight="1">
      <c r="A17" s="88"/>
      <c r="B17" s="89"/>
      <c r="C17" s="90"/>
      <c r="D17" s="41">
        <f>COUNTA(D2:D5,D13:D15,K2:K11,K13:K14)/COUNTA(E2:E5,E13:E15,L2:L14)</f>
        <v>0</v>
      </c>
      <c r="E17" s="92">
        <f t="shared" ref="E17:F17" si="8">SUM(E2:E5,E13:E15)</f>
        <v>0</v>
      </c>
      <c r="F17" s="92">
        <f t="shared" si="8"/>
        <v>0</v>
      </c>
      <c r="G17" s="92"/>
      <c r="H17" s="94" t="str">
        <f>IFERROR(AVERAGE(H2:H5,H13:H15),"")</f>
        <v/>
      </c>
      <c r="I17" s="56"/>
      <c r="J17" s="95"/>
      <c r="K17" s="97"/>
      <c r="L17">
        <f t="shared" ref="L17:M17" si="9">SUM(L2:L14)</f>
        <v>0</v>
      </c>
      <c r="M17">
        <f t="shared" si="9"/>
        <v>0</v>
      </c>
      <c r="O17" s="37"/>
    </row>
    <row r="18" spans="1:15" ht="16.5" hidden="1" customHeight="1">
      <c r="A18" s="468" t="s">
        <v>47</v>
      </c>
      <c r="B18" s="472" t="s">
        <v>70</v>
      </c>
      <c r="C18" s="64" t="str">
        <f>Glossary!B202</f>
        <v>ROI expectations</v>
      </c>
      <c r="D18" s="48"/>
      <c r="E18" t="b">
        <f t="shared" ref="E18:E23" si="10">IF(OR(D18="y",D18="n"), G18)</f>
        <v>0</v>
      </c>
      <c r="F18" s="51" t="str">
        <f t="shared" ref="F18:F23" si="11">IF(D18 = "Y",E18, IF(D18="n",0, ""))</f>
        <v/>
      </c>
      <c r="G18" s="53">
        <v>30</v>
      </c>
      <c r="H18" s="54"/>
      <c r="I18" s="56"/>
      <c r="J18" s="101" t="str">
        <f>Glossary!B166</f>
        <v>Performance KPIs</v>
      </c>
      <c r="K18" s="48"/>
      <c r="L18" t="b">
        <f t="shared" ref="L18:L20" si="12">IF(OR(K18="y",K18="n"), N18)</f>
        <v>0</v>
      </c>
      <c r="M18" s="51" t="str">
        <f t="shared" ref="M18:M20" si="13">IF(K18 = "Y",L18, IF(K18="n",0, ""))</f>
        <v/>
      </c>
      <c r="N18" s="63">
        <v>40</v>
      </c>
      <c r="O18" s="37"/>
    </row>
    <row r="19" spans="1:15" ht="16.5" customHeight="1">
      <c r="A19" s="469"/>
      <c r="B19" s="469"/>
      <c r="C19" s="64" t="str">
        <f>Glossary!B127</f>
        <v>Initial Experience Designs</v>
      </c>
      <c r="D19" s="402"/>
      <c r="E19" t="b">
        <f t="shared" si="10"/>
        <v>0</v>
      </c>
      <c r="F19" s="51" t="str">
        <f t="shared" si="11"/>
        <v/>
      </c>
      <c r="G19" s="53">
        <v>20</v>
      </c>
      <c r="H19" s="400"/>
      <c r="I19" s="56"/>
      <c r="J19" s="104" t="str">
        <f>Glossary!B184</f>
        <v>Project Scope Document</v>
      </c>
      <c r="K19" s="402"/>
      <c r="L19" t="b">
        <f t="shared" si="12"/>
        <v>0</v>
      </c>
      <c r="M19" s="51" t="str">
        <f t="shared" si="13"/>
        <v/>
      </c>
      <c r="N19" s="63">
        <v>50</v>
      </c>
      <c r="O19" s="37"/>
    </row>
    <row r="20" spans="1:15" ht="16.5" customHeight="1">
      <c r="A20" s="469"/>
      <c r="B20" s="469"/>
      <c r="C20" s="58" t="str">
        <f>Glossary!B34</f>
        <v>Business Requirements Documentation</v>
      </c>
      <c r="D20" s="402"/>
      <c r="E20" t="b">
        <f t="shared" si="10"/>
        <v>0</v>
      </c>
      <c r="F20" s="51" t="str">
        <f t="shared" si="11"/>
        <v/>
      </c>
      <c r="G20" s="53">
        <v>30</v>
      </c>
      <c r="H20" s="400"/>
      <c r="I20" s="56"/>
      <c r="J20" s="64" t="str">
        <f>Glossary!B195</f>
        <v>Relevant contract terms</v>
      </c>
      <c r="K20" s="402"/>
      <c r="L20" t="b">
        <f t="shared" si="12"/>
        <v>0</v>
      </c>
      <c r="M20" s="51" t="str">
        <f t="shared" si="13"/>
        <v/>
      </c>
      <c r="N20" s="63">
        <v>30</v>
      </c>
      <c r="O20" s="37"/>
    </row>
    <row r="21" spans="1:15" ht="16.5" customHeight="1">
      <c r="A21" s="469"/>
      <c r="B21" s="469"/>
      <c r="C21" s="64" t="str">
        <f>Glossary!B103</f>
        <v>High Level Requirements</v>
      </c>
      <c r="D21" s="402"/>
      <c r="E21" t="b">
        <f t="shared" si="10"/>
        <v>0</v>
      </c>
      <c r="F21" s="51" t="str">
        <f t="shared" si="11"/>
        <v/>
      </c>
      <c r="G21" s="53">
        <v>35</v>
      </c>
      <c r="H21" s="400"/>
      <c r="I21" s="56"/>
      <c r="J21" s="95"/>
      <c r="K21" s="97"/>
      <c r="O21" s="37"/>
    </row>
    <row r="22" spans="1:15" ht="16.5" customHeight="1">
      <c r="A22" s="469"/>
      <c r="B22" s="469"/>
      <c r="C22" s="64" t="str">
        <f>Glossary!B11</f>
        <v>Architecture Draft</v>
      </c>
      <c r="D22" s="402"/>
      <c r="E22" t="b">
        <f t="shared" si="10"/>
        <v>0</v>
      </c>
      <c r="F22" s="51" t="str">
        <f t="shared" si="11"/>
        <v/>
      </c>
      <c r="G22" s="53">
        <v>20</v>
      </c>
      <c r="H22" s="400"/>
      <c r="I22" s="56"/>
      <c r="J22" s="95"/>
      <c r="K22" s="97"/>
      <c r="O22" s="37"/>
    </row>
    <row r="23" spans="1:15" ht="16.5" customHeight="1">
      <c r="A23" s="469"/>
      <c r="B23" s="469"/>
      <c r="C23" s="64" t="str">
        <f>Glossary!B107</f>
        <v xml:space="preserve">Historical performance and historical performance KPIs </v>
      </c>
      <c r="D23" s="402"/>
      <c r="E23" t="b">
        <f t="shared" si="10"/>
        <v>0</v>
      </c>
      <c r="F23" s="51" t="str">
        <f t="shared" si="11"/>
        <v/>
      </c>
      <c r="G23" s="53">
        <v>25</v>
      </c>
      <c r="H23" s="400"/>
      <c r="I23" s="56"/>
      <c r="J23" s="95"/>
      <c r="K23" s="97"/>
      <c r="O23" s="37"/>
    </row>
    <row r="24" spans="1:15" ht="16.5" customHeight="1">
      <c r="A24" s="469"/>
      <c r="B24" s="469"/>
      <c r="C24" s="92"/>
      <c r="D24" s="92"/>
      <c r="H24" s="56"/>
      <c r="I24" s="56"/>
      <c r="J24" s="95"/>
      <c r="K24" s="97"/>
      <c r="O24" s="37"/>
    </row>
    <row r="25" spans="1:15" ht="31.5" customHeight="1">
      <c r="A25" s="469"/>
      <c r="B25" s="470"/>
      <c r="C25" s="92"/>
      <c r="D25" s="92"/>
      <c r="E25" s="92"/>
      <c r="F25" s="92"/>
      <c r="G25" s="92"/>
      <c r="H25" s="92"/>
      <c r="I25" s="73"/>
      <c r="J25" s="95"/>
      <c r="K25" s="97"/>
      <c r="O25" s="37"/>
    </row>
    <row r="26" spans="1:15" ht="16.5" customHeight="1">
      <c r="A26" s="469"/>
      <c r="B26" s="472" t="s">
        <v>73</v>
      </c>
      <c r="C26" s="101" t="str">
        <f>Glossary!B200</f>
        <v>Risk Assessment</v>
      </c>
      <c r="D26" s="402"/>
      <c r="E26" t="b">
        <f t="shared" ref="E26:E27" si="14">IF(OR(D26="y",D26="n"), G26)</f>
        <v>0</v>
      </c>
      <c r="F26" s="51" t="str">
        <f t="shared" ref="F26:F27" si="15">IF(D26 = "Y",E26, IF(D26="n",0, ""))</f>
        <v/>
      </c>
      <c r="G26" s="53">
        <v>50</v>
      </c>
      <c r="H26" s="400"/>
      <c r="I26" s="56"/>
      <c r="J26" s="101" t="str">
        <f>Glossary!B110</f>
        <v>Identify critical key solutions/functionalities</v>
      </c>
      <c r="K26" s="402"/>
      <c r="L26" t="b">
        <f t="shared" ref="L26:L30" si="16">IF(OR(K26="y",K26="n"), N26)</f>
        <v>0</v>
      </c>
      <c r="M26" s="51" t="str">
        <f t="shared" ref="M26:M30" si="17">IF(K26 = "Y",L26, IF(K26="n",0, ""))</f>
        <v/>
      </c>
      <c r="N26" s="63">
        <v>40</v>
      </c>
      <c r="O26" s="37"/>
    </row>
    <row r="27" spans="1:15" ht="16.5" customHeight="1">
      <c r="A27" s="469"/>
      <c r="B27" s="469"/>
      <c r="C27" s="45" t="str">
        <f>Glossary!B185</f>
        <v>Proof of Concept (POC)</v>
      </c>
      <c r="D27" s="402"/>
      <c r="E27" t="b">
        <f t="shared" si="14"/>
        <v>0</v>
      </c>
      <c r="F27" s="51" t="str">
        <f t="shared" si="15"/>
        <v/>
      </c>
      <c r="G27" s="53">
        <v>40</v>
      </c>
      <c r="H27" s="400"/>
      <c r="I27" s="56"/>
      <c r="J27" s="45" t="str">
        <f>Glossary!B9</f>
        <v>Agreement on KPI's, defined as goals for the project</v>
      </c>
      <c r="K27" s="402"/>
      <c r="L27" t="b">
        <f t="shared" si="16"/>
        <v>0</v>
      </c>
      <c r="M27" s="51" t="str">
        <f t="shared" si="17"/>
        <v/>
      </c>
      <c r="N27" s="63">
        <v>30</v>
      </c>
      <c r="O27" s="37"/>
    </row>
    <row r="28" spans="1:15" ht="28">
      <c r="A28" s="469"/>
      <c r="B28" s="469"/>
      <c r="C28" s="109"/>
      <c r="D28" s="109"/>
      <c r="E28" s="109"/>
      <c r="F28" s="109"/>
      <c r="G28" s="109"/>
      <c r="H28" s="109"/>
      <c r="I28" s="37"/>
      <c r="J28" s="110" t="str">
        <f>Glossary!B35</f>
        <v>Business sign off on any required adjustments to the solution or architecture identified and aligned against ROI and KPI expectations</v>
      </c>
      <c r="K28" s="402"/>
      <c r="L28" t="b">
        <f t="shared" si="16"/>
        <v>0</v>
      </c>
      <c r="M28" s="51" t="str">
        <f t="shared" si="17"/>
        <v/>
      </c>
      <c r="N28" s="63">
        <v>50</v>
      </c>
      <c r="O28" s="37"/>
    </row>
    <row r="29" spans="1:15" ht="16.5" customHeight="1">
      <c r="A29" s="469"/>
      <c r="B29" s="469"/>
      <c r="C29" s="109"/>
      <c r="D29" s="109"/>
      <c r="E29" s="109"/>
      <c r="F29" s="109"/>
      <c r="G29" s="109"/>
      <c r="H29" s="109"/>
      <c r="I29" s="37"/>
      <c r="J29" s="101" t="str">
        <f>Glossary!B244</f>
        <v>Technical risk factors verified</v>
      </c>
      <c r="K29" s="402"/>
      <c r="L29" t="b">
        <f t="shared" si="16"/>
        <v>0</v>
      </c>
      <c r="M29" s="51" t="str">
        <f t="shared" si="17"/>
        <v/>
      </c>
      <c r="N29" s="63">
        <v>30</v>
      </c>
      <c r="O29" s="37"/>
    </row>
    <row r="30" spans="1:15" ht="16.5" customHeight="1">
      <c r="A30" s="469"/>
      <c r="B30" s="469"/>
      <c r="C30" s="109"/>
      <c r="D30" s="109"/>
      <c r="E30" s="109"/>
      <c r="F30" s="109"/>
      <c r="G30" s="109"/>
      <c r="H30" s="109"/>
      <c r="I30" s="37"/>
      <c r="J30" s="112" t="str">
        <f>Glossary!B201</f>
        <v>Risk Mitigation Plan</v>
      </c>
      <c r="K30" s="402"/>
      <c r="L30" t="b">
        <f t="shared" si="16"/>
        <v>0</v>
      </c>
      <c r="M30" s="51" t="str">
        <f t="shared" si="17"/>
        <v/>
      </c>
      <c r="N30" s="63">
        <v>45</v>
      </c>
      <c r="O30" s="37"/>
    </row>
    <row r="31" spans="1:15" ht="16.5" customHeight="1">
      <c r="A31" s="469"/>
      <c r="B31" s="470"/>
      <c r="C31" s="37"/>
      <c r="D31" s="37"/>
      <c r="E31" s="37"/>
      <c r="F31" s="37"/>
      <c r="G31" s="37"/>
      <c r="H31" s="37"/>
      <c r="I31" s="73"/>
      <c r="J31" s="114"/>
      <c r="K31" s="5"/>
      <c r="L31" s="63"/>
      <c r="M31" s="51"/>
      <c r="O31" s="37"/>
    </row>
    <row r="32" spans="1:15" ht="16.5" customHeight="1">
      <c r="A32" s="469"/>
      <c r="B32" s="472" t="s">
        <v>75</v>
      </c>
      <c r="C32" s="112" t="str">
        <f>Glossary!B49</f>
        <v>Customer Reporting Policies or Requirements</v>
      </c>
      <c r="D32" s="402"/>
      <c r="E32" t="b">
        <f>IF(OR(D32="y",D32="n"), G32)</f>
        <v>0</v>
      </c>
      <c r="F32" s="51" t="str">
        <f>IF(D32 = "Y",E32, IF(D32="n",0, ""))</f>
        <v/>
      </c>
      <c r="G32" s="53">
        <v>25</v>
      </c>
      <c r="H32" s="400"/>
      <c r="I32" s="56"/>
      <c r="J32" s="45" t="str">
        <f>Glossary!B229</f>
        <v>Stakeholders</v>
      </c>
      <c r="K32" s="402"/>
      <c r="L32" t="b">
        <f t="shared" ref="L32:L36" si="18">IF(OR(K32="y",K32="n"), N32)</f>
        <v>0</v>
      </c>
      <c r="M32" s="51" t="str">
        <f t="shared" ref="M32:M36" si="19">IF(K32 = "Y",L32, IF(K32="n",0, ""))</f>
        <v/>
      </c>
      <c r="N32" s="63">
        <v>25</v>
      </c>
      <c r="O32" s="37"/>
    </row>
    <row r="33" spans="1:15" ht="16.5" customHeight="1">
      <c r="A33" s="469"/>
      <c r="B33" s="469"/>
      <c r="C33" s="117"/>
      <c r="D33" s="109"/>
      <c r="E33" s="109"/>
      <c r="F33" s="109"/>
      <c r="G33" s="109"/>
      <c r="H33" s="109"/>
      <c r="I33" s="37"/>
      <c r="J33" s="45" t="str">
        <f>Glossary!B187</f>
        <v>Project status reports within a defined cadence</v>
      </c>
      <c r="K33" s="402"/>
      <c r="L33" t="b">
        <f t="shared" si="18"/>
        <v>0</v>
      </c>
      <c r="M33" s="51" t="str">
        <f t="shared" si="19"/>
        <v/>
      </c>
      <c r="N33" s="63">
        <v>30</v>
      </c>
      <c r="O33" s="37"/>
    </row>
    <row r="34" spans="1:15" ht="16.5" customHeight="1">
      <c r="A34" s="469"/>
      <c r="B34" s="469"/>
      <c r="C34" s="109"/>
      <c r="D34" s="109"/>
      <c r="E34" s="109"/>
      <c r="F34" s="109"/>
      <c r="G34" s="109"/>
      <c r="H34" s="109"/>
      <c r="I34" s="37"/>
      <c r="J34" s="101" t="str">
        <f>Glossary!B232</f>
        <v>Status Report format definition</v>
      </c>
      <c r="K34" s="402"/>
      <c r="L34" t="b">
        <f t="shared" si="18"/>
        <v>0</v>
      </c>
      <c r="M34" s="51" t="str">
        <f t="shared" si="19"/>
        <v/>
      </c>
      <c r="N34" s="63">
        <v>25</v>
      </c>
      <c r="O34" s="37"/>
    </row>
    <row r="35" spans="1:15" ht="16.5" customHeight="1">
      <c r="A35" s="469"/>
      <c r="B35" s="469"/>
      <c r="C35" s="109"/>
      <c r="D35" s="109"/>
      <c r="E35" s="109"/>
      <c r="F35" s="109"/>
      <c r="G35" s="109"/>
      <c r="H35" s="109"/>
      <c r="I35" s="37"/>
      <c r="J35" s="119" t="str">
        <f>Glossary!B196</f>
        <v>Reporting Cadence</v>
      </c>
      <c r="K35" s="402"/>
      <c r="L35" t="b">
        <f t="shared" si="18"/>
        <v>0</v>
      </c>
      <c r="M35" s="51" t="str">
        <f t="shared" si="19"/>
        <v/>
      </c>
      <c r="N35" s="63">
        <v>20</v>
      </c>
      <c r="O35" s="37"/>
    </row>
    <row r="36" spans="1:15" ht="16.5" customHeight="1">
      <c r="A36" s="469"/>
      <c r="B36" s="469"/>
      <c r="C36" s="109"/>
      <c r="D36" s="117"/>
      <c r="E36" s="117"/>
      <c r="F36" s="117"/>
      <c r="G36" s="117"/>
      <c r="H36" s="117"/>
      <c r="I36" s="56"/>
      <c r="J36" s="45" t="str">
        <f>Glossary!B51</f>
        <v>Customer Specification Guidelines</v>
      </c>
      <c r="K36" s="402"/>
      <c r="L36" t="b">
        <f t="shared" si="18"/>
        <v>0</v>
      </c>
      <c r="M36" s="51" t="str">
        <f t="shared" si="19"/>
        <v/>
      </c>
      <c r="N36" s="63">
        <v>30</v>
      </c>
      <c r="O36" s="37"/>
    </row>
    <row r="37" spans="1:15" ht="16.5" customHeight="1">
      <c r="A37" s="469"/>
      <c r="B37" s="470"/>
      <c r="C37" s="73"/>
      <c r="D37" s="74"/>
      <c r="E37" s="74"/>
      <c r="F37" s="74"/>
      <c r="G37" s="74"/>
      <c r="H37" s="74"/>
      <c r="I37" s="74"/>
      <c r="J37" s="74"/>
      <c r="K37" s="74"/>
      <c r="L37" s="63"/>
      <c r="M37" s="51"/>
      <c r="O37" s="37"/>
    </row>
    <row r="38" spans="1:15" ht="16.5" customHeight="1">
      <c r="A38" s="469"/>
      <c r="B38" s="472" t="s">
        <v>76</v>
      </c>
      <c r="C38" s="101" t="str">
        <f>Glossary!B61</f>
        <v>Customer Roadmap</v>
      </c>
      <c r="D38" s="402"/>
      <c r="E38" t="b">
        <f t="shared" ref="E38:E49" si="20">IF(OR(D38="y",D38="n"), G38)</f>
        <v>0</v>
      </c>
      <c r="F38" s="51" t="str">
        <f t="shared" ref="F38:F49" si="21">IF(D38 = "Y",E38, IF(D38="n",0, ""))</f>
        <v/>
      </c>
      <c r="G38" s="53">
        <v>20</v>
      </c>
      <c r="H38" s="400"/>
      <c r="I38" s="56"/>
      <c r="J38" s="121" t="str">
        <f>Glossary!B231</f>
        <v>Stakeholders understand project and expectations</v>
      </c>
      <c r="K38" s="402"/>
      <c r="L38" t="b">
        <f t="shared" ref="L38:L40" si="22">IF(OR(K38="y",K38="n"), N38)</f>
        <v>0</v>
      </c>
      <c r="M38" s="51" t="str">
        <f t="shared" ref="M38:M40" si="23">IF(K38 = "Y",L38, IF(K38="n",0, ""))</f>
        <v/>
      </c>
      <c r="N38" s="63">
        <v>30</v>
      </c>
      <c r="O38" s="37"/>
    </row>
    <row r="39" spans="1:15" ht="16.5" customHeight="1">
      <c r="A39" s="469"/>
      <c r="B39" s="469"/>
      <c r="C39" s="101" t="str">
        <f>Glossary!B184</f>
        <v>Project Scope Document</v>
      </c>
      <c r="D39" s="402"/>
      <c r="E39" t="b">
        <f t="shared" si="20"/>
        <v>0</v>
      </c>
      <c r="F39" s="51" t="str">
        <f t="shared" si="21"/>
        <v/>
      </c>
      <c r="G39" s="53">
        <v>40</v>
      </c>
      <c r="H39" s="400"/>
      <c r="I39" s="56"/>
      <c r="J39" s="101" t="str">
        <f>Glossary!B11</f>
        <v>Architecture Draft</v>
      </c>
      <c r="K39" s="402"/>
      <c r="L39" t="b">
        <f t="shared" si="22"/>
        <v>0</v>
      </c>
      <c r="M39" s="51" t="str">
        <f t="shared" si="23"/>
        <v/>
      </c>
      <c r="N39" s="63">
        <v>50</v>
      </c>
      <c r="O39" s="37"/>
    </row>
    <row r="40" spans="1:15" ht="16.5" customHeight="1">
      <c r="A40" s="469"/>
      <c r="B40" s="469"/>
      <c r="C40" s="45" t="str">
        <f>Glossary!B202</f>
        <v>ROI expectations</v>
      </c>
      <c r="D40" s="402"/>
      <c r="E40" t="b">
        <f t="shared" si="20"/>
        <v>0</v>
      </c>
      <c r="F40" s="51" t="str">
        <f t="shared" si="21"/>
        <v/>
      </c>
      <c r="G40" s="53">
        <v>25</v>
      </c>
      <c r="H40" s="400"/>
      <c r="I40" s="56"/>
      <c r="J40" s="122" t="str">
        <f>Glossary!B230</f>
        <v>Stakeholders are aware of succes definitions and criteria</v>
      </c>
      <c r="K40" s="402"/>
      <c r="L40" t="b">
        <f t="shared" si="22"/>
        <v>0</v>
      </c>
      <c r="M40" s="51" t="str">
        <f t="shared" si="23"/>
        <v/>
      </c>
      <c r="N40" s="63">
        <v>30</v>
      </c>
      <c r="O40" s="37"/>
    </row>
    <row r="41" spans="1:15" ht="16.5" customHeight="1">
      <c r="A41" s="469"/>
      <c r="B41" s="469"/>
      <c r="C41" s="101" t="str">
        <f>Glossary!B127</f>
        <v>Initial Experience Designs</v>
      </c>
      <c r="D41" s="402"/>
      <c r="E41" t="b">
        <f t="shared" si="20"/>
        <v>0</v>
      </c>
      <c r="F41" s="51" t="str">
        <f t="shared" si="21"/>
        <v/>
      </c>
      <c r="G41" s="53">
        <v>20</v>
      </c>
      <c r="H41" s="400"/>
      <c r="I41" s="56"/>
      <c r="J41" s="109"/>
      <c r="K41" s="123"/>
      <c r="O41" s="37"/>
    </row>
    <row r="42" spans="1:15" ht="16.5" customHeight="1">
      <c r="A42" s="469"/>
      <c r="B42" s="469"/>
      <c r="C42" s="101" t="str">
        <f>Glossary!B198</f>
        <v>Requirements Documentation</v>
      </c>
      <c r="D42" s="402"/>
      <c r="E42" t="b">
        <f t="shared" si="20"/>
        <v>0</v>
      </c>
      <c r="F42" s="51" t="str">
        <f t="shared" si="21"/>
        <v/>
      </c>
      <c r="G42" s="53">
        <v>40</v>
      </c>
      <c r="H42" s="400"/>
      <c r="I42" s="56"/>
      <c r="J42" s="124"/>
      <c r="K42" s="123"/>
      <c r="O42" s="37"/>
    </row>
    <row r="43" spans="1:15" ht="16.5" customHeight="1">
      <c r="A43" s="469"/>
      <c r="B43" s="469"/>
      <c r="C43" s="101" t="str">
        <f>Glossary!B104</f>
        <v>High Level Solution Design</v>
      </c>
      <c r="D43" s="402"/>
      <c r="E43" t="b">
        <f t="shared" si="20"/>
        <v>0</v>
      </c>
      <c r="F43" s="51" t="str">
        <f t="shared" si="21"/>
        <v/>
      </c>
      <c r="G43" s="53">
        <v>30</v>
      </c>
      <c r="H43" s="400"/>
      <c r="I43" s="56"/>
      <c r="J43" s="95"/>
      <c r="K43" s="97"/>
      <c r="O43" s="37"/>
    </row>
    <row r="44" spans="1:15" ht="16.5" customHeight="1">
      <c r="A44" s="469"/>
      <c r="B44" s="469"/>
      <c r="C44" s="101" t="str">
        <f>Glossary!B11</f>
        <v>Architecture Draft</v>
      </c>
      <c r="D44" s="402"/>
      <c r="E44" t="b">
        <f t="shared" si="20"/>
        <v>0</v>
      </c>
      <c r="F44" s="51" t="str">
        <f t="shared" si="21"/>
        <v/>
      </c>
      <c r="G44" s="53">
        <v>20</v>
      </c>
      <c r="H44" s="400"/>
      <c r="I44" s="56"/>
      <c r="J44" s="95"/>
      <c r="K44" s="97"/>
      <c r="O44" s="37"/>
    </row>
    <row r="45" spans="1:15" ht="16.5" customHeight="1">
      <c r="A45" s="469"/>
      <c r="B45" s="469"/>
      <c r="C45" s="101" t="str">
        <f>Glossary!B101</f>
        <v>Hardware Estimates</v>
      </c>
      <c r="D45" s="402"/>
      <c r="E45" t="b">
        <f t="shared" si="20"/>
        <v>0</v>
      </c>
      <c r="F45" s="51" t="str">
        <f t="shared" si="21"/>
        <v/>
      </c>
      <c r="G45" s="53">
        <v>20</v>
      </c>
      <c r="H45" s="400"/>
      <c r="I45" s="56"/>
      <c r="J45" s="95"/>
      <c r="K45" s="97"/>
      <c r="O45" s="37"/>
    </row>
    <row r="46" spans="1:15" ht="16.5" customHeight="1">
      <c r="A46" s="469"/>
      <c r="B46" s="469"/>
      <c r="C46" s="101" t="str">
        <f>Glossary!B166</f>
        <v>Performance KPIs</v>
      </c>
      <c r="D46" s="402"/>
      <c r="E46" t="b">
        <f t="shared" si="20"/>
        <v>0</v>
      </c>
      <c r="F46" s="51" t="str">
        <f t="shared" si="21"/>
        <v/>
      </c>
      <c r="G46" s="53">
        <v>40</v>
      </c>
      <c r="H46" s="400"/>
      <c r="I46" s="56"/>
      <c r="J46" s="95"/>
      <c r="K46" s="97"/>
      <c r="O46" s="37"/>
    </row>
    <row r="47" spans="1:15" ht="16.5" customHeight="1">
      <c r="A47" s="469"/>
      <c r="B47" s="469"/>
      <c r="C47" s="101" t="str">
        <f>Glossary!B264</f>
        <v>Timeline and Milestones</v>
      </c>
      <c r="D47" s="402"/>
      <c r="E47" t="b">
        <f t="shared" si="20"/>
        <v>0</v>
      </c>
      <c r="F47" s="51" t="str">
        <f t="shared" si="21"/>
        <v/>
      </c>
      <c r="G47" s="53">
        <v>25</v>
      </c>
      <c r="H47" s="400"/>
      <c r="I47" s="56"/>
      <c r="J47" s="95"/>
      <c r="K47" s="97"/>
      <c r="O47" s="37"/>
    </row>
    <row r="48" spans="1:15" ht="16.5" customHeight="1">
      <c r="A48" s="469"/>
      <c r="B48" s="469"/>
      <c r="C48" s="45" t="str">
        <f>Glossary!B185</f>
        <v>Proof of Concept (POC)</v>
      </c>
      <c r="D48" s="402"/>
      <c r="E48" t="b">
        <f t="shared" si="20"/>
        <v>0</v>
      </c>
      <c r="F48" s="51" t="str">
        <f t="shared" si="21"/>
        <v/>
      </c>
      <c r="G48" s="53">
        <v>20</v>
      </c>
      <c r="H48" s="400"/>
      <c r="I48" s="56"/>
      <c r="J48" s="128"/>
      <c r="K48" s="129"/>
      <c r="O48" s="37"/>
    </row>
    <row r="49" spans="1:15" ht="16.5" customHeight="1">
      <c r="A49" s="469"/>
      <c r="B49" s="470"/>
      <c r="C49" s="69" t="str">
        <f>Glossary!B233</f>
        <v>Success criteria and definition</v>
      </c>
      <c r="D49" s="402"/>
      <c r="E49" t="b">
        <f t="shared" si="20"/>
        <v>0</v>
      </c>
      <c r="F49" s="51" t="str">
        <f t="shared" si="21"/>
        <v/>
      </c>
      <c r="G49" s="53">
        <v>35</v>
      </c>
      <c r="H49" s="400"/>
      <c r="I49" s="56"/>
      <c r="J49" s="95"/>
      <c r="K49" s="97"/>
      <c r="O49" s="37"/>
    </row>
    <row r="50" spans="1:15" ht="16.5" customHeight="1">
      <c r="A50" s="470"/>
      <c r="B50" s="6"/>
      <c r="C50" s="114"/>
      <c r="D50" s="114"/>
      <c r="E50" s="114"/>
      <c r="F50" s="6"/>
      <c r="G50" s="6"/>
      <c r="H50" s="114"/>
      <c r="I50" s="74"/>
      <c r="J50" s="37"/>
      <c r="K50" s="6"/>
      <c r="O50" s="37"/>
    </row>
    <row r="51" spans="1:15" ht="16.5" hidden="1" customHeight="1">
      <c r="A51" s="88"/>
      <c r="B51" s="103"/>
      <c r="C51" s="127"/>
      <c r="D51" s="41">
        <f>COUNTA(D18:D24,D26:D27,D32,D38:D49,K18:K20,K26:K30,K32:K36,K38:K40)/COUNTA(F18:F24,F26:F27,F32,F38:F49,M18:M20,M26:M30,M32:M36,M38:M40)</f>
        <v>0</v>
      </c>
      <c r="E51" s="92">
        <f t="shared" ref="E51:F51" si="24">SUM(E18:E24,E26:E27,E32,E38:E49)</f>
        <v>0</v>
      </c>
      <c r="F51" s="92">
        <f t="shared" si="24"/>
        <v>0</v>
      </c>
      <c r="G51" s="92"/>
      <c r="H51" s="54" t="str">
        <f>IFERROR(AVERAGE(H18:H24,H26:H27,H32,H38:H49), "")</f>
        <v/>
      </c>
      <c r="I51" s="56"/>
      <c r="J51" s="95"/>
      <c r="K51" s="97"/>
      <c r="L51">
        <f t="shared" ref="L51:M51" si="25">SUM(L18:L20,L26:L40)</f>
        <v>0</v>
      </c>
      <c r="M51">
        <f t="shared" si="25"/>
        <v>0</v>
      </c>
      <c r="O51" s="37"/>
    </row>
    <row r="52" spans="1:15" ht="18" customHeight="1">
      <c r="A52" s="468" t="s">
        <v>49</v>
      </c>
      <c r="B52" s="472" t="s">
        <v>77</v>
      </c>
      <c r="C52" s="112" t="str">
        <f>Glossary!B84</f>
        <v>Exisitng Permissions structure</v>
      </c>
      <c r="D52" s="402"/>
      <c r="E52" t="b">
        <f>IF(OR(D52="y",D52="n"), G52)</f>
        <v>0</v>
      </c>
      <c r="F52" s="51" t="str">
        <f>IF(D52 = "Y",E52,"")</f>
        <v/>
      </c>
      <c r="G52" s="135">
        <v>40</v>
      </c>
      <c r="H52" s="400"/>
      <c r="I52" s="56"/>
      <c r="J52" s="101" t="str">
        <f>Glossary!B203</f>
        <v>Roles and Rights Concept</v>
      </c>
      <c r="K52" s="402"/>
      <c r="L52" t="b">
        <f>IF(OR(K52="y",K52="n"), N52)</f>
        <v>0</v>
      </c>
      <c r="M52" s="51" t="str">
        <f>IF(K52 = "Y",L52, IF(K52="n",0, ""))</f>
        <v/>
      </c>
      <c r="N52" s="63">
        <v>35</v>
      </c>
      <c r="O52" s="37"/>
    </row>
    <row r="53" spans="1:15" ht="17.25" customHeight="1">
      <c r="A53" s="469"/>
      <c r="B53" s="470"/>
      <c r="C53" s="130"/>
      <c r="D53" s="130"/>
      <c r="E53" s="130"/>
      <c r="F53" s="131"/>
      <c r="G53" s="131"/>
      <c r="H53" s="130"/>
      <c r="I53" s="74"/>
      <c r="J53" s="131"/>
      <c r="K53" s="130"/>
      <c r="L53" s="63"/>
      <c r="M53" s="51"/>
      <c r="O53" s="37"/>
    </row>
    <row r="54" spans="1:15" ht="26.25" customHeight="1">
      <c r="A54" s="469"/>
      <c r="B54" s="472" t="s">
        <v>78</v>
      </c>
      <c r="C54" s="45" t="str">
        <f>Glossary!B46</f>
        <v>Customer Monitoring Policies or Requirements</v>
      </c>
      <c r="D54" s="402"/>
      <c r="E54" t="b">
        <f>IF(OR(D54="y",D54="n"), G54)</f>
        <v>0</v>
      </c>
      <c r="F54" s="51" t="str">
        <f>IF(D54 = "Y",E54,"")</f>
        <v/>
      </c>
      <c r="G54" s="135">
        <v>40</v>
      </c>
      <c r="H54" s="400"/>
      <c r="I54" s="56"/>
      <c r="J54" s="140" t="str">
        <f>Glossary!B154</f>
        <v>Monitoring Concept</v>
      </c>
      <c r="K54" s="402"/>
      <c r="L54" t="b">
        <f>IF(OR(K54="y",K54="n"), N54)</f>
        <v>0</v>
      </c>
      <c r="M54" s="51" t="str">
        <f>IF(K54 = "Y",L54, IF(K54="n",0, ""))</f>
        <v/>
      </c>
      <c r="N54" s="63">
        <v>30</v>
      </c>
      <c r="O54" s="37"/>
    </row>
    <row r="55" spans="1:15" ht="19.5" customHeight="1">
      <c r="A55" s="469"/>
      <c r="B55" s="470"/>
      <c r="C55" s="130"/>
      <c r="D55" s="130"/>
      <c r="E55" s="130"/>
      <c r="F55" s="131"/>
      <c r="G55" s="131"/>
      <c r="H55" s="130"/>
      <c r="I55" s="74"/>
      <c r="J55" s="131"/>
      <c r="K55" s="130"/>
      <c r="L55" s="63"/>
      <c r="M55" s="51"/>
      <c r="O55" s="37"/>
    </row>
    <row r="56" spans="1:15" ht="17.25" customHeight="1">
      <c r="A56" s="469"/>
      <c r="B56" s="472" t="s">
        <v>79</v>
      </c>
      <c r="C56" s="45" t="str">
        <f>Glossary!B136</f>
        <v>Legacy System</v>
      </c>
      <c r="D56" s="402"/>
      <c r="E56" t="b">
        <f>IF(OR(D56="y",D56="n"), G56)</f>
        <v>0</v>
      </c>
      <c r="F56" s="51" t="str">
        <f>IF(D56 = "Y",E56,"")</f>
        <v/>
      </c>
      <c r="G56" s="53">
        <v>50</v>
      </c>
      <c r="H56" s="400"/>
      <c r="I56" s="56"/>
      <c r="J56" s="45" t="str">
        <f>Glossary!B58</f>
        <v>Content validated for migration</v>
      </c>
      <c r="K56" s="402"/>
      <c r="L56" t="b">
        <f>IF(OR(K56="y",K56="n"), N56)</f>
        <v>0</v>
      </c>
      <c r="M56" s="51" t="str">
        <f>IF(K56 = "Y",L56, IF(K56="n",0, ""))</f>
        <v/>
      </c>
      <c r="N56" s="63">
        <v>40</v>
      </c>
      <c r="O56" s="37"/>
    </row>
    <row r="57" spans="1:15" ht="16.5" customHeight="1">
      <c r="A57" s="469"/>
      <c r="B57" s="470"/>
      <c r="C57" s="109"/>
      <c r="D57" s="109"/>
      <c r="E57" s="109"/>
      <c r="F57" s="109"/>
      <c r="G57" s="109"/>
      <c r="H57" s="109"/>
      <c r="I57" s="73"/>
      <c r="J57" s="117"/>
      <c r="K57" s="117"/>
      <c r="M57" s="51"/>
      <c r="N57" s="63"/>
      <c r="O57" s="37"/>
    </row>
    <row r="58" spans="1:15" ht="17.25" customHeight="1">
      <c r="A58" s="469"/>
      <c r="B58" s="144" t="s">
        <v>80</v>
      </c>
      <c r="C58" s="101" t="str">
        <f>Glossary!B161</f>
        <v>Operations Manual</v>
      </c>
      <c r="D58" s="402"/>
      <c r="E58" t="b">
        <f>IF(OR(D58="y",D58="n"), G58)</f>
        <v>0</v>
      </c>
      <c r="F58" s="51" t="str">
        <f>IF(D58 = "Y",E58,"")</f>
        <v/>
      </c>
      <c r="G58" s="53">
        <v>50</v>
      </c>
      <c r="H58" s="400"/>
      <c r="I58" s="37"/>
      <c r="J58" s="45" t="str">
        <f>Glossary!B44</f>
        <v>Customer Backup and restore policy</v>
      </c>
      <c r="K58" s="402"/>
      <c r="L58" t="b">
        <f>IF(OR(K58="y",K58="n"), N58)</f>
        <v>0</v>
      </c>
      <c r="M58" s="51" t="str">
        <f>IF(K58 = "Y",L58, IF(K58="n",0, ""))</f>
        <v/>
      </c>
      <c r="N58" s="63">
        <v>30</v>
      </c>
      <c r="O58" s="37"/>
    </row>
    <row r="59" spans="1:15" ht="18.75" hidden="1" customHeight="1">
      <c r="A59" s="470"/>
      <c r="B59" s="6"/>
      <c r="C59" s="6"/>
      <c r="D59" s="417"/>
      <c r="E59" s="6"/>
      <c r="F59" s="6"/>
      <c r="G59" s="6"/>
      <c r="H59" s="417"/>
      <c r="I59" s="73"/>
      <c r="J59" s="6"/>
      <c r="K59" s="417"/>
      <c r="O59" s="37"/>
    </row>
    <row r="60" spans="1:15" ht="18.75" hidden="1" customHeight="1">
      <c r="A60" s="148"/>
      <c r="B60" s="149"/>
      <c r="C60" s="138"/>
      <c r="D60" s="449">
        <f>COUNTA(D52:D58,K52:K58)/COUNTA(F52:F58,M52:M58)</f>
        <v>0</v>
      </c>
      <c r="E60" s="138">
        <f t="shared" ref="E60:F60" si="26">SUM(E52:E58)</f>
        <v>0</v>
      </c>
      <c r="F60" s="138">
        <f t="shared" si="26"/>
        <v>0</v>
      </c>
      <c r="G60" s="152"/>
      <c r="H60" s="398" t="str">
        <f>IFERROR(AVERAGE(H52:H58),"")</f>
        <v/>
      </c>
      <c r="I60" s="37"/>
      <c r="J60" s="138"/>
      <c r="K60" s="450"/>
      <c r="L60">
        <f t="shared" ref="L60:M60" si="27">SUM(L52:L58)</f>
        <v>0</v>
      </c>
      <c r="M60">
        <f t="shared" si="27"/>
        <v>0</v>
      </c>
      <c r="O60" s="37"/>
    </row>
    <row r="61" spans="1:15" ht="16.5" customHeight="1">
      <c r="A61" s="468" t="s">
        <v>81</v>
      </c>
      <c r="B61" s="472" t="s">
        <v>82</v>
      </c>
      <c r="C61" s="101" t="str">
        <f>Glossary!B215</f>
        <v>Setup Support processes</v>
      </c>
      <c r="D61" s="402"/>
      <c r="E61" t="b">
        <f>IF(OR(D61="y",D61="n"), G61)</f>
        <v>0</v>
      </c>
      <c r="F61" s="51" t="str">
        <f>IF(D61 = "Y",E61,"")</f>
        <v/>
      </c>
      <c r="G61" s="53">
        <v>50</v>
      </c>
      <c r="H61" s="400"/>
      <c r="I61" s="56"/>
      <c r="J61" s="101" t="str">
        <f>Glossary!B138</f>
        <v>List of users that require access to Adobe Support Portal</v>
      </c>
      <c r="K61" s="402"/>
      <c r="L61" t="b">
        <f t="shared" ref="L61:L62" si="28">IF(OR(K61="y",K61="n"), N61)</f>
        <v>0</v>
      </c>
      <c r="M61" s="51" t="str">
        <f t="shared" ref="M61:M62" si="29">IF(K61 = "Y",L61, IF(K61="n",0, ""))</f>
        <v/>
      </c>
      <c r="N61" s="63">
        <v>30</v>
      </c>
      <c r="O61" s="37"/>
    </row>
    <row r="62" spans="1:15" ht="16.5" customHeight="1">
      <c r="A62" s="469"/>
      <c r="B62" s="469"/>
      <c r="C62" s="109"/>
      <c r="D62" s="109"/>
      <c r="E62" s="109"/>
      <c r="F62" s="109"/>
      <c r="G62" s="109"/>
      <c r="H62" s="117"/>
      <c r="I62" s="37"/>
      <c r="J62" s="45" t="str">
        <f>Glossary!B83</f>
        <v>Escalation Processes</v>
      </c>
      <c r="K62" s="402"/>
      <c r="L62" t="b">
        <f t="shared" si="28"/>
        <v>0</v>
      </c>
      <c r="M62" s="51" t="str">
        <f t="shared" si="29"/>
        <v/>
      </c>
      <c r="N62" s="63">
        <v>30</v>
      </c>
      <c r="O62" s="37"/>
    </row>
    <row r="63" spans="1:15" ht="16.5" customHeight="1">
      <c r="A63" s="469"/>
      <c r="B63" s="469"/>
      <c r="C63" s="73"/>
      <c r="D63" s="73"/>
      <c r="E63" s="73"/>
      <c r="F63" s="73"/>
      <c r="G63" s="73"/>
      <c r="H63" s="73"/>
      <c r="I63" s="73"/>
      <c r="J63" s="130"/>
      <c r="K63" s="130"/>
      <c r="L63" s="158"/>
      <c r="M63" s="51"/>
      <c r="O63" s="37"/>
    </row>
    <row r="64" spans="1:15" ht="16.5" hidden="1" customHeight="1">
      <c r="A64" s="469"/>
      <c r="B64" s="470"/>
      <c r="D64" s="122">
        <f>COUNTA(D61,K61:K62)/COUNTA(F61,M61:M62)</f>
        <v>0</v>
      </c>
      <c r="E64" s="138">
        <f t="shared" ref="E64:F64" si="30">SUM(E61)</f>
        <v>0</v>
      </c>
      <c r="F64" s="138">
        <f t="shared" si="30"/>
        <v>0</v>
      </c>
      <c r="G64" s="152"/>
      <c r="H64" t="str">
        <f>IFERROR(AVERAGE(H61),"")</f>
        <v/>
      </c>
      <c r="I64" s="37"/>
      <c r="J64" s="101"/>
      <c r="K64" s="160"/>
      <c r="L64">
        <f t="shared" ref="L64:N64" si="31">SUM(L61:L62)</f>
        <v>0</v>
      </c>
      <c r="M64">
        <f t="shared" si="31"/>
        <v>0</v>
      </c>
      <c r="N64">
        <f t="shared" si="31"/>
        <v>60</v>
      </c>
      <c r="O64" s="37"/>
    </row>
    <row r="65" spans="1:15" ht="16.5" customHeight="1">
      <c r="A65" s="468" t="s">
        <v>51</v>
      </c>
      <c r="B65" s="471" t="s">
        <v>83</v>
      </c>
      <c r="C65" s="101" t="str">
        <f>Glossary!B192</f>
        <v>Release running on production environment</v>
      </c>
      <c r="D65" s="402"/>
      <c r="E65" t="b">
        <f t="shared" ref="E65:E67" si="32">IF(OR(D65="y",D65="n"), G65)</f>
        <v>0</v>
      </c>
      <c r="F65" s="51" t="str">
        <f t="shared" ref="F65:F67" si="33">IF(D65 = "Y",E65,"")</f>
        <v/>
      </c>
      <c r="G65" s="53">
        <v>50</v>
      </c>
      <c r="H65" s="400"/>
      <c r="I65" s="56"/>
      <c r="J65" s="101" t="str">
        <f>Glossary!B96</f>
        <v>Functionality of the solution are accepted by stakeholders</v>
      </c>
      <c r="K65" s="402"/>
      <c r="L65" t="b">
        <f>IF(OR(K65="y",K65="n"), N65)</f>
        <v>0</v>
      </c>
      <c r="M65" s="51" t="str">
        <f>IF(K65 = "Y",L65, IF(K65="n",0, ""))</f>
        <v/>
      </c>
      <c r="N65" s="63">
        <v>50</v>
      </c>
      <c r="O65" s="37"/>
    </row>
    <row r="66" spans="1:15" ht="18.75" customHeight="1">
      <c r="A66" s="469"/>
      <c r="B66" s="469"/>
      <c r="C66" s="119" t="str">
        <f>Glossary!B4</f>
        <v>Acceptance test</v>
      </c>
      <c r="D66" s="402"/>
      <c r="E66" t="b">
        <f t="shared" si="32"/>
        <v>0</v>
      </c>
      <c r="F66" s="51" t="str">
        <f t="shared" si="33"/>
        <v/>
      </c>
      <c r="G66" s="53">
        <v>40</v>
      </c>
      <c r="H66" s="400"/>
      <c r="I66" s="56"/>
      <c r="J66" s="37"/>
      <c r="K66" s="37"/>
      <c r="O66" s="37"/>
    </row>
    <row r="67" spans="1:15" ht="18.75" customHeight="1">
      <c r="A67" s="469"/>
      <c r="B67" s="469"/>
      <c r="C67" s="45" t="str">
        <f>Glossary!B233</f>
        <v>Success criteria and definition</v>
      </c>
      <c r="D67" s="402"/>
      <c r="E67" t="b">
        <f t="shared" si="32"/>
        <v>0</v>
      </c>
      <c r="F67" s="51" t="str">
        <f t="shared" si="33"/>
        <v/>
      </c>
      <c r="G67" s="53">
        <v>30</v>
      </c>
      <c r="H67" s="400"/>
      <c r="I67" s="56"/>
      <c r="J67" s="37"/>
      <c r="K67" s="37"/>
      <c r="O67" s="37"/>
    </row>
    <row r="68" spans="1:15" ht="18.75" customHeight="1">
      <c r="A68" s="469"/>
      <c r="B68" s="470"/>
      <c r="C68" s="74"/>
      <c r="D68" s="74"/>
      <c r="E68" s="74"/>
      <c r="F68" s="73"/>
      <c r="G68" s="73"/>
      <c r="H68" s="74"/>
      <c r="I68" s="74"/>
      <c r="J68" s="73"/>
      <c r="K68" s="73"/>
      <c r="O68" s="37"/>
    </row>
    <row r="69" spans="1:15" ht="16.5" customHeight="1">
      <c r="A69" s="469"/>
      <c r="B69" s="471" t="s">
        <v>84</v>
      </c>
      <c r="C69" s="121" t="str">
        <f>Glossary!B166</f>
        <v>Performance KPIs</v>
      </c>
      <c r="D69" s="402"/>
      <c r="E69" t="b">
        <f t="shared" ref="E69:E73" si="34">IF(OR(D69="y",D69="n"), G69)</f>
        <v>0</v>
      </c>
      <c r="F69" s="51" t="str">
        <f t="shared" ref="F69:F73" si="35">IF(D69 = "Y",E69,"")</f>
        <v/>
      </c>
      <c r="G69" s="53">
        <v>40</v>
      </c>
      <c r="H69" s="400"/>
      <c r="I69" s="56"/>
      <c r="J69" s="45" t="str">
        <f>Glossary!B5</f>
        <v>Acceptance from Business Stakeholders</v>
      </c>
      <c r="K69" s="402"/>
      <c r="L69" t="b">
        <f>IF(OR(K69="y",K69="n"), N69)</f>
        <v>0</v>
      </c>
      <c r="M69" s="51" t="str">
        <f>IF(K69 = "Y",L69, IF(K69="n",0, ""))</f>
        <v/>
      </c>
      <c r="N69" s="63">
        <v>50</v>
      </c>
      <c r="O69" s="37"/>
    </row>
    <row r="70" spans="1:15" ht="16.5" customHeight="1">
      <c r="A70" s="469"/>
      <c r="B70" s="469"/>
      <c r="C70" s="45" t="str">
        <f>Glossary!B270</f>
        <v>Use cases</v>
      </c>
      <c r="D70" s="402"/>
      <c r="E70" t="b">
        <f t="shared" si="34"/>
        <v>0</v>
      </c>
      <c r="F70" s="51" t="str">
        <f t="shared" si="35"/>
        <v/>
      </c>
      <c r="G70" s="53">
        <v>25</v>
      </c>
      <c r="H70" s="400"/>
      <c r="I70" s="56"/>
      <c r="J70" s="37"/>
      <c r="K70" s="37"/>
      <c r="O70" s="37"/>
    </row>
    <row r="71" spans="1:15" ht="12.75" customHeight="1">
      <c r="A71" s="469"/>
      <c r="B71" s="469"/>
      <c r="C71" s="45" t="str">
        <f>Glossary!B249</f>
        <v>Testing Concept</v>
      </c>
      <c r="D71" s="402"/>
      <c r="E71" t="b">
        <f t="shared" si="34"/>
        <v>0</v>
      </c>
      <c r="F71" s="51" t="str">
        <f t="shared" si="35"/>
        <v/>
      </c>
      <c r="G71" s="53">
        <v>40</v>
      </c>
      <c r="H71" s="400"/>
      <c r="I71" s="56"/>
      <c r="J71" s="37"/>
      <c r="K71" s="37"/>
      <c r="O71" s="37"/>
    </row>
    <row r="72" spans="1:15" ht="18" customHeight="1">
      <c r="A72" s="469"/>
      <c r="B72" s="469"/>
      <c r="C72" s="45" t="str">
        <f>Glossary!B165</f>
        <v>Performance Benchmark</v>
      </c>
      <c r="D72" s="402"/>
      <c r="E72" t="b">
        <f t="shared" si="34"/>
        <v>0</v>
      </c>
      <c r="F72" s="51" t="str">
        <f t="shared" si="35"/>
        <v/>
      </c>
      <c r="G72" s="53">
        <v>30</v>
      </c>
      <c r="H72" s="400"/>
      <c r="I72" s="56"/>
      <c r="J72" s="37"/>
      <c r="K72" s="37"/>
      <c r="O72" s="37"/>
    </row>
    <row r="73" spans="1:15" ht="18.75" customHeight="1">
      <c r="A73" s="469"/>
      <c r="B73" s="469"/>
      <c r="C73" s="45" t="str">
        <f>Glossary!B168</f>
        <v>Performance Test Report</v>
      </c>
      <c r="D73" s="402"/>
      <c r="E73" t="b">
        <f t="shared" si="34"/>
        <v>0</v>
      </c>
      <c r="F73" s="51" t="str">
        <f t="shared" si="35"/>
        <v/>
      </c>
      <c r="G73" s="53">
        <v>30</v>
      </c>
      <c r="H73" s="400"/>
      <c r="I73" s="56"/>
      <c r="J73" s="37"/>
      <c r="K73" s="37"/>
      <c r="O73" s="37"/>
    </row>
    <row r="74" spans="1:15" ht="18.75" customHeight="1">
      <c r="A74" s="469"/>
      <c r="B74" s="469"/>
      <c r="C74" s="126"/>
      <c r="D74" s="130"/>
      <c r="E74" s="130"/>
      <c r="F74" s="131"/>
      <c r="G74" s="131"/>
      <c r="H74" s="130"/>
      <c r="I74" s="74"/>
      <c r="J74" s="37"/>
      <c r="K74" s="37"/>
      <c r="O74" s="37"/>
    </row>
    <row r="75" spans="1:15" ht="15" hidden="1" customHeight="1">
      <c r="A75" s="470"/>
      <c r="B75" s="470"/>
      <c r="C75" s="166"/>
      <c r="D75" s="172">
        <f>COUNTA(D65:D73,K65,K69)/COUNTA(F65:F73,M65,M69)</f>
        <v>0</v>
      </c>
      <c r="E75" s="172">
        <f t="shared" ref="E75:F75" si="36">SUM(E65:E73)</f>
        <v>0</v>
      </c>
      <c r="F75" s="172">
        <f t="shared" si="36"/>
        <v>0</v>
      </c>
      <c r="G75" s="174"/>
      <c r="H75" s="175" t="str">
        <f>IFERROR(AVERAGE(H65:H73),"")</f>
        <v/>
      </c>
      <c r="I75" s="56"/>
      <c r="J75" s="180"/>
      <c r="K75" s="181"/>
      <c r="L75">
        <f t="shared" ref="L75:M75" si="37">SUM(L65,L69)</f>
        <v>0</v>
      </c>
      <c r="M75">
        <f t="shared" si="37"/>
        <v>0</v>
      </c>
      <c r="O75" s="37"/>
    </row>
    <row r="76" spans="1:15" ht="16.5" customHeight="1">
      <c r="A76" s="477" t="s">
        <v>52</v>
      </c>
      <c r="B76" s="472" t="s">
        <v>88</v>
      </c>
      <c r="C76" s="45" t="str">
        <f>Glossary!B16</f>
        <v>AEM Admin trainings</v>
      </c>
      <c r="D76" s="402"/>
      <c r="E76" t="b">
        <f t="shared" ref="E76:E78" si="38">IF(OR(D76="y",D76="n"), G76)</f>
        <v>0</v>
      </c>
      <c r="F76" s="51" t="str">
        <f t="shared" ref="F76:F78" si="39">IF(D76 = "Y",E76,"")</f>
        <v/>
      </c>
      <c r="G76" s="53">
        <v>40</v>
      </c>
      <c r="H76" s="400"/>
      <c r="I76" s="56"/>
      <c r="J76" s="45" t="str">
        <f>Glossary!B22</f>
        <v>Appropriately trained staff</v>
      </c>
      <c r="K76" s="402"/>
      <c r="L76" t="b">
        <f>IF(OR(K76="y",K76="n"), N76)</f>
        <v>0</v>
      </c>
      <c r="M76" s="51" t="str">
        <f>IF(K76 = "Y",L76, IF(K76="n",0, ""))</f>
        <v/>
      </c>
      <c r="N76" s="3">
        <v>40</v>
      </c>
      <c r="O76" s="37"/>
    </row>
    <row r="77" spans="1:15" ht="16.5" customHeight="1">
      <c r="A77" s="469"/>
      <c r="B77" s="469"/>
      <c r="C77" s="126" t="str">
        <f>Glossary!B266</f>
        <v xml:space="preserve">Training Materials </v>
      </c>
      <c r="D77" s="402"/>
      <c r="E77" t="b">
        <f t="shared" si="38"/>
        <v>0</v>
      </c>
      <c r="F77" s="51" t="str">
        <f t="shared" si="39"/>
        <v/>
      </c>
      <c r="G77" s="53">
        <v>20</v>
      </c>
      <c r="H77" s="400"/>
      <c r="I77" s="56"/>
      <c r="J77" s="109"/>
      <c r="K77" s="56"/>
      <c r="M77" s="51"/>
      <c r="N77" s="3"/>
      <c r="O77" s="37"/>
    </row>
    <row r="78" spans="1:15" ht="16.5" customHeight="1">
      <c r="A78" s="469"/>
      <c r="B78" s="469"/>
      <c r="C78" s="126" t="str">
        <f>Glossary!B272</f>
        <v>User Guides</v>
      </c>
      <c r="D78" s="402"/>
      <c r="E78" t="b">
        <f t="shared" si="38"/>
        <v>0</v>
      </c>
      <c r="F78" s="51" t="str">
        <f t="shared" si="39"/>
        <v/>
      </c>
      <c r="G78" s="53">
        <v>20</v>
      </c>
      <c r="H78" s="400"/>
      <c r="I78" s="56"/>
      <c r="J78" s="109"/>
      <c r="K78" s="56"/>
      <c r="M78" s="51"/>
      <c r="N78" s="3"/>
      <c r="O78" s="37"/>
    </row>
    <row r="79" spans="1:15" ht="16.5" customHeight="1">
      <c r="A79" s="469"/>
      <c r="B79" s="470"/>
      <c r="C79" s="130"/>
      <c r="D79" s="130"/>
      <c r="E79" s="130"/>
      <c r="F79" s="131"/>
      <c r="G79" s="131"/>
      <c r="H79" s="130"/>
      <c r="I79" s="74"/>
      <c r="J79" s="73"/>
      <c r="K79" s="74"/>
      <c r="L79" s="63"/>
      <c r="M79" s="51"/>
      <c r="O79" s="37"/>
    </row>
    <row r="80" spans="1:15" ht="16.5" customHeight="1">
      <c r="A80" s="469"/>
      <c r="B80" s="472" t="s">
        <v>90</v>
      </c>
      <c r="C80" s="121" t="str">
        <f>Glossary!B17</f>
        <v>AEM Author trainings</v>
      </c>
      <c r="D80" s="402"/>
      <c r="E80" t="b">
        <f t="shared" ref="E80:E82" si="40">IF(OR(D80="y",D80="n"), G80)</f>
        <v>0</v>
      </c>
      <c r="F80" s="51" t="str">
        <f t="shared" ref="F80:F82" si="41">IF(D80 = "Y",E80,"")</f>
        <v/>
      </c>
      <c r="G80" s="53">
        <v>30</v>
      </c>
      <c r="H80" s="400"/>
      <c r="I80" s="56"/>
      <c r="J80" s="45" t="str">
        <f>Glossary!B22</f>
        <v>Appropriately trained staff</v>
      </c>
      <c r="K80" s="402"/>
      <c r="L80" t="b">
        <f>IF(OR(K80="y",K80="n"), N80)</f>
        <v>0</v>
      </c>
      <c r="M80" s="51" t="str">
        <f>IF(K80 = "Y",L80, IF(K80="n",0, ""))</f>
        <v/>
      </c>
      <c r="N80" s="3">
        <v>30</v>
      </c>
      <c r="O80" s="37"/>
    </row>
    <row r="81" spans="1:15" ht="16.5" customHeight="1">
      <c r="A81" s="469"/>
      <c r="B81" s="469"/>
      <c r="C81" s="126" t="str">
        <f>Glossary!B266</f>
        <v xml:space="preserve">Training Materials </v>
      </c>
      <c r="D81" s="402"/>
      <c r="E81" t="b">
        <f t="shared" si="40"/>
        <v>0</v>
      </c>
      <c r="F81" s="51" t="str">
        <f t="shared" si="41"/>
        <v/>
      </c>
      <c r="G81" s="53">
        <v>20</v>
      </c>
      <c r="H81" s="400"/>
      <c r="I81" s="56"/>
      <c r="J81" s="117"/>
      <c r="K81" s="56"/>
      <c r="M81" s="51"/>
      <c r="N81" s="3"/>
      <c r="O81" s="37"/>
    </row>
    <row r="82" spans="1:15" ht="16.5" customHeight="1">
      <c r="A82" s="469"/>
      <c r="B82" s="469"/>
      <c r="C82" s="126" t="str">
        <f>Glossary!B272</f>
        <v>User Guides</v>
      </c>
      <c r="D82" s="402"/>
      <c r="E82" t="b">
        <f t="shared" si="40"/>
        <v>0</v>
      </c>
      <c r="F82" s="51" t="str">
        <f t="shared" si="41"/>
        <v/>
      </c>
      <c r="G82" s="53">
        <v>20</v>
      </c>
      <c r="H82" s="400"/>
      <c r="I82" s="56"/>
      <c r="J82" s="117"/>
      <c r="K82" s="56"/>
      <c r="M82" s="51"/>
      <c r="N82" s="3"/>
      <c r="O82" s="37"/>
    </row>
    <row r="83" spans="1:15" ht="16.5" customHeight="1">
      <c r="A83" s="469"/>
      <c r="B83" s="470"/>
      <c r="C83" s="130"/>
      <c r="D83" s="130"/>
      <c r="E83" s="130"/>
      <c r="F83" s="131"/>
      <c r="G83" s="131"/>
      <c r="H83" s="130"/>
      <c r="I83" s="56"/>
      <c r="J83" s="56"/>
      <c r="K83" s="56"/>
      <c r="L83" s="158"/>
      <c r="M83" s="51"/>
      <c r="O83" s="37"/>
    </row>
    <row r="84" spans="1:15" ht="16.5" customHeight="1">
      <c r="A84" s="469"/>
      <c r="B84" s="472" t="s">
        <v>91</v>
      </c>
      <c r="C84" s="101" t="str">
        <f>Glossary!B237</f>
        <v>System Architecture Documentation</v>
      </c>
      <c r="D84" s="402"/>
      <c r="E84" t="b">
        <f>IF(OR(D84="y",D84="n"), G84)</f>
        <v>0</v>
      </c>
      <c r="F84" s="51" t="str">
        <f>IF(D84 = "Y",E84,"")</f>
        <v/>
      </c>
      <c r="G84" s="53">
        <v>50</v>
      </c>
      <c r="H84" s="400"/>
      <c r="I84" s="188"/>
      <c r="J84" s="189"/>
      <c r="K84" s="191"/>
      <c r="O84" s="37"/>
    </row>
    <row r="85" spans="1:15" ht="16.5" customHeight="1">
      <c r="A85" s="469"/>
      <c r="B85" s="469"/>
      <c r="C85" s="131"/>
      <c r="D85" s="130"/>
      <c r="E85" s="130"/>
      <c r="F85" s="131"/>
      <c r="G85" s="131"/>
      <c r="H85" s="130"/>
      <c r="I85" s="74"/>
      <c r="J85" s="73"/>
      <c r="K85" s="73"/>
      <c r="O85" s="37"/>
    </row>
    <row r="86" spans="1:15" ht="16.5" hidden="1" customHeight="1">
      <c r="A86" s="478"/>
      <c r="B86" s="470"/>
      <c r="D86" s="172">
        <f>COUNTA(D76:D84,K76:K80)/COUNTA(F76:F84,M76:M80)</f>
        <v>0</v>
      </c>
      <c r="E86" s="92">
        <f t="shared" ref="E86:F86" si="42">SUM(E76:E84)</f>
        <v>0</v>
      </c>
      <c r="F86" s="92">
        <f t="shared" si="42"/>
        <v>0</v>
      </c>
      <c r="G86" s="92"/>
      <c r="H86" s="175" t="str">
        <f>IFERROR(AVERAGE(H76:H84),"")</f>
        <v/>
      </c>
      <c r="I86" s="56"/>
      <c r="J86" s="192"/>
      <c r="K86" s="193"/>
      <c r="L86">
        <f t="shared" ref="L86:M86" si="43">SUM(L76:L80)</f>
        <v>0</v>
      </c>
      <c r="M86">
        <f t="shared" si="43"/>
        <v>0</v>
      </c>
      <c r="O86" s="37"/>
    </row>
    <row r="87" spans="1:15" ht="16.5" customHeight="1">
      <c r="A87" s="468" t="s">
        <v>93</v>
      </c>
      <c r="B87" s="476" t="s">
        <v>94</v>
      </c>
      <c r="C87" s="45" t="str">
        <f>Glossary!B210</f>
        <v xml:space="preserve">Security Checklist </v>
      </c>
      <c r="D87" s="402"/>
      <c r="E87" t="b">
        <f t="shared" ref="E87:E88" si="44">IF(OR(D87="y",D87="n"), G87)</f>
        <v>0</v>
      </c>
      <c r="F87" s="51" t="str">
        <f t="shared" ref="F87:F88" si="45">IF(D87 = "Y",E87,"")</f>
        <v/>
      </c>
      <c r="G87" s="53">
        <v>40</v>
      </c>
      <c r="H87" s="400"/>
      <c r="I87" s="56"/>
      <c r="J87" s="121" t="str">
        <f>Glossary!B50</f>
        <v>Customer Security Policies</v>
      </c>
      <c r="K87" s="402"/>
      <c r="L87" t="b">
        <f t="shared" ref="L87:L88" si="46">IF(OR(K87="y",K87="n"), N87)</f>
        <v>0</v>
      </c>
      <c r="M87" s="51" t="str">
        <f t="shared" ref="M87:M88" si="47">IF(K87 = "Y",L87, IF(K87="n",0, ""))</f>
        <v/>
      </c>
      <c r="N87" s="3">
        <v>40</v>
      </c>
      <c r="O87" s="37"/>
    </row>
    <row r="88" spans="1:15" ht="16.5" customHeight="1">
      <c r="A88" s="469"/>
      <c r="B88" s="469"/>
      <c r="C88" s="45" t="str">
        <f>Glossary!B171</f>
        <v>Penetration Test Results</v>
      </c>
      <c r="D88" s="402"/>
      <c r="E88" t="b">
        <f t="shared" si="44"/>
        <v>0</v>
      </c>
      <c r="F88" s="51" t="str">
        <f t="shared" si="45"/>
        <v/>
      </c>
      <c r="G88" s="53">
        <v>40</v>
      </c>
      <c r="H88" s="400"/>
      <c r="I88" s="56"/>
      <c r="J88" s="45" t="str">
        <f>Glossary!B214</f>
        <v>Security sign off from business stakeholders</v>
      </c>
      <c r="K88" s="402"/>
      <c r="L88" t="b">
        <f t="shared" si="46"/>
        <v>0</v>
      </c>
      <c r="M88" s="51" t="str">
        <f t="shared" si="47"/>
        <v/>
      </c>
      <c r="N88" s="3">
        <v>50</v>
      </c>
      <c r="O88" s="37"/>
    </row>
    <row r="89" spans="1:15" ht="16.5" customHeight="1">
      <c r="A89" s="469"/>
      <c r="B89" s="470"/>
      <c r="C89" s="130"/>
      <c r="D89" s="130"/>
      <c r="E89" s="130"/>
      <c r="F89" s="131"/>
      <c r="G89" s="131"/>
      <c r="H89" s="130"/>
      <c r="I89" s="74"/>
      <c r="J89" s="74"/>
      <c r="K89" s="74"/>
      <c r="L89" s="63"/>
      <c r="M89" s="51"/>
      <c r="O89" s="37"/>
    </row>
    <row r="90" spans="1:15" ht="16.5" customHeight="1">
      <c r="A90" s="469"/>
      <c r="B90" s="471" t="s">
        <v>95</v>
      </c>
      <c r="C90" s="101" t="str">
        <f>Glossary!B92</f>
        <v>Fallback system and procedure</v>
      </c>
      <c r="D90" s="402"/>
      <c r="E90" t="b">
        <f t="shared" ref="E90:E91" si="48">IF(OR(D90="y",D90="n"), G90)</f>
        <v>0</v>
      </c>
      <c r="F90" s="51" t="str">
        <f t="shared" ref="F90:F91" si="49">IF(D90 = "Y",E90,"")</f>
        <v/>
      </c>
      <c r="G90" s="53">
        <v>40</v>
      </c>
      <c r="H90" s="400"/>
      <c r="I90" s="56"/>
      <c r="J90" s="45" t="str">
        <f>Glossary!B93</f>
        <v>Fallback system sign off from business stakeholders</v>
      </c>
      <c r="K90" s="402"/>
      <c r="L90" t="b">
        <f>IF(OR(K90="y",K90="n"), N90)</f>
        <v>0</v>
      </c>
      <c r="M90" s="51" t="str">
        <f>IF(K90 = "Y",L90, IF(K90="n",0, ""))</f>
        <v/>
      </c>
      <c r="N90" s="3">
        <v>50</v>
      </c>
      <c r="O90" s="37"/>
    </row>
    <row r="91" spans="1:15" ht="16.5" customHeight="1">
      <c r="A91" s="469"/>
      <c r="B91" s="469"/>
      <c r="C91" s="101" t="str">
        <f>Glossary!B91</f>
        <v>Fallback system and procedure tested</v>
      </c>
      <c r="D91" s="402"/>
      <c r="E91" t="b">
        <f t="shared" si="48"/>
        <v>0</v>
      </c>
      <c r="F91" s="51" t="str">
        <f t="shared" si="49"/>
        <v/>
      </c>
      <c r="G91" s="53">
        <v>30</v>
      </c>
      <c r="H91" s="400"/>
      <c r="I91" s="56"/>
      <c r="J91" s="37"/>
      <c r="K91" s="37"/>
      <c r="O91" s="37"/>
    </row>
    <row r="92" spans="1:15" ht="16.5" customHeight="1">
      <c r="A92" s="469"/>
      <c r="B92" s="470"/>
      <c r="C92" s="131"/>
      <c r="D92" s="130"/>
      <c r="E92" s="130"/>
      <c r="F92" s="131"/>
      <c r="G92" s="131"/>
      <c r="H92" s="130"/>
      <c r="I92" s="74"/>
      <c r="J92" s="73"/>
      <c r="K92" s="73"/>
      <c r="O92" s="37"/>
    </row>
    <row r="93" spans="1:15" ht="16.5" customHeight="1">
      <c r="A93" s="469"/>
      <c r="B93" s="471" t="s">
        <v>96</v>
      </c>
      <c r="C93" s="45" t="str">
        <f>Glossary!B98</f>
        <v>Go live Schedule</v>
      </c>
      <c r="D93" s="402"/>
      <c r="E93" t="b">
        <f>IF(OR(D93="y",D93="n"), G93)</f>
        <v>0</v>
      </c>
      <c r="F93" s="51" t="str">
        <f>IF(D93 = "Y",E93,"")</f>
        <v/>
      </c>
      <c r="G93" s="53">
        <v>50</v>
      </c>
      <c r="H93" s="400"/>
      <c r="I93" s="56"/>
      <c r="J93" s="69" t="str">
        <f>Glossary!B199</f>
        <v>Resources available to support go live</v>
      </c>
      <c r="K93" s="402"/>
      <c r="L93" t="b">
        <f>IF(OR(K93="y",K93="n"), N93)</f>
        <v>0</v>
      </c>
      <c r="M93" s="51" t="str">
        <f>IF(K93 = "Y",L93, IF(K93="n",0, ""))</f>
        <v/>
      </c>
      <c r="N93" s="3">
        <v>45</v>
      </c>
      <c r="O93" s="37"/>
    </row>
    <row r="94" spans="1:15" ht="16.5" customHeight="1">
      <c r="A94" s="469"/>
      <c r="B94" s="470"/>
      <c r="C94" s="73"/>
      <c r="D94" s="74"/>
      <c r="E94" s="74"/>
      <c r="F94" s="73"/>
      <c r="G94" s="73"/>
      <c r="H94" s="74"/>
      <c r="I94" s="74"/>
      <c r="J94" s="130"/>
      <c r="K94" s="130"/>
      <c r="L94" s="63"/>
      <c r="M94" s="51"/>
      <c r="O94" s="37"/>
    </row>
    <row r="95" spans="1:15" ht="16.5" customHeight="1">
      <c r="A95" s="469"/>
      <c r="B95" s="473" t="s">
        <v>97</v>
      </c>
      <c r="C95" s="109"/>
      <c r="D95" s="68"/>
      <c r="E95" s="68"/>
      <c r="F95" s="68"/>
      <c r="G95" s="68"/>
      <c r="H95" s="68"/>
      <c r="I95" s="56"/>
      <c r="J95" s="45" t="str">
        <f>Glossary!B70</f>
        <v>Deployment / Release Policies and Processes</v>
      </c>
      <c r="K95" s="402"/>
      <c r="L95" t="b">
        <f t="shared" ref="L95:L97" si="50">IF(OR(K95="y",K95="n"), N95)</f>
        <v>0</v>
      </c>
      <c r="M95" s="51" t="str">
        <f t="shared" ref="M95:M97" si="51">IF(K95 = "Y",L95, IF(K95="n",0, ""))</f>
        <v/>
      </c>
      <c r="N95" s="3">
        <v>30</v>
      </c>
      <c r="O95" s="37"/>
    </row>
    <row r="96" spans="1:15" ht="16.5" customHeight="1">
      <c r="A96" s="469"/>
      <c r="B96" s="474"/>
      <c r="C96" s="109"/>
      <c r="D96" s="68"/>
      <c r="E96" s="68"/>
      <c r="F96" s="68"/>
      <c r="G96" s="68"/>
      <c r="H96" s="68"/>
      <c r="I96" s="56"/>
      <c r="J96" s="45" t="str">
        <f>Glossary!B178</f>
        <v>Production Sign off Process and Policy</v>
      </c>
      <c r="K96" s="402"/>
      <c r="L96" t="b">
        <f t="shared" si="50"/>
        <v>0</v>
      </c>
      <c r="M96" s="51" t="str">
        <f t="shared" si="51"/>
        <v/>
      </c>
      <c r="N96" s="3">
        <v>45</v>
      </c>
      <c r="O96" s="37"/>
    </row>
    <row r="97" spans="1:15" ht="16.5" customHeight="1">
      <c r="A97" s="469"/>
      <c r="B97" s="474"/>
      <c r="C97" s="109"/>
      <c r="D97" s="68"/>
      <c r="E97" s="68"/>
      <c r="F97" s="68"/>
      <c r="G97" s="68"/>
      <c r="H97" s="68"/>
      <c r="I97" s="56"/>
      <c r="J97" s="206" t="str">
        <f>Glossary!B179</f>
        <v>Production Sign off from business stakeholders</v>
      </c>
      <c r="K97" s="402"/>
      <c r="L97" t="b">
        <f t="shared" si="50"/>
        <v>0</v>
      </c>
      <c r="M97" s="51" t="str">
        <f t="shared" si="51"/>
        <v/>
      </c>
      <c r="N97" s="3">
        <v>50</v>
      </c>
      <c r="O97" s="37"/>
    </row>
    <row r="98" spans="1:15" ht="16.5" hidden="1" customHeight="1">
      <c r="A98" s="470"/>
      <c r="B98" s="475"/>
      <c r="C98" s="152"/>
      <c r="D98" s="92">
        <f>COUNTA(D87:D93,K87:K90,K93:K97)/COUNTA(F87:F93,M87:M90,M93:M97)</f>
        <v>0</v>
      </c>
      <c r="E98" s="92">
        <f t="shared" ref="E98:F98" si="52">SUM(E87:E93)</f>
        <v>0</v>
      </c>
      <c r="F98" s="92">
        <f t="shared" si="52"/>
        <v>0</v>
      </c>
      <c r="G98" s="92"/>
      <c r="H98" t="str">
        <f>IFERROR(AVERAGE(H87:H93),"")</f>
        <v/>
      </c>
      <c r="I98" s="210"/>
      <c r="J98" s="128"/>
      <c r="K98" s="129"/>
      <c r="L98">
        <f t="shared" ref="L98:M98" si="53">SUM(L93:L97)</f>
        <v>0</v>
      </c>
      <c r="M98">
        <f t="shared" si="53"/>
        <v>0</v>
      </c>
      <c r="O98" s="6"/>
    </row>
    <row r="99" spans="1:15" ht="25.5" customHeight="1">
      <c r="A99" s="211"/>
      <c r="B99" s="211"/>
      <c r="C99" s="211"/>
      <c r="D99" s="211"/>
      <c r="E99" s="211"/>
      <c r="F99" s="211"/>
      <c r="G99" s="211"/>
      <c r="H99" s="37"/>
      <c r="I99" s="37"/>
      <c r="J99" s="211"/>
      <c r="K99" s="211"/>
      <c r="L99" s="37"/>
      <c r="M99" s="37"/>
      <c r="N99" s="37"/>
      <c r="O99" s="37"/>
    </row>
    <row r="100" spans="1:15" ht="12.75" customHeight="1">
      <c r="A100" s="212"/>
      <c r="B100" s="212"/>
      <c r="C100" s="212"/>
      <c r="D100" s="212"/>
      <c r="E100" s="212"/>
      <c r="F100" s="212"/>
      <c r="G100" s="212"/>
      <c r="J100" s="212"/>
      <c r="K100" s="212"/>
    </row>
    <row r="101" spans="1:15" ht="12.75" customHeight="1">
      <c r="A101" s="212"/>
      <c r="B101" s="212"/>
      <c r="C101" s="212"/>
      <c r="D101" s="212"/>
      <c r="E101" s="212"/>
      <c r="F101" s="212"/>
      <c r="G101" s="212"/>
      <c r="J101" s="212"/>
      <c r="K101" s="212"/>
    </row>
    <row r="102" spans="1:15" ht="12.75" customHeight="1">
      <c r="A102" s="212"/>
      <c r="B102" s="212"/>
      <c r="C102" s="212"/>
      <c r="D102" s="212"/>
      <c r="E102" s="212"/>
      <c r="F102" s="212"/>
      <c r="G102" s="212"/>
      <c r="J102" s="212"/>
      <c r="K102" s="212"/>
    </row>
    <row r="103" spans="1:15" ht="12.75" customHeight="1">
      <c r="A103" s="212"/>
      <c r="B103" s="212"/>
      <c r="C103" s="212"/>
      <c r="D103" s="212"/>
      <c r="E103" s="212"/>
      <c r="F103" s="212"/>
      <c r="G103" s="212"/>
      <c r="J103" s="212"/>
      <c r="K103" s="212"/>
    </row>
    <row r="104" spans="1:15" ht="12.75" customHeight="1">
      <c r="A104" s="212"/>
      <c r="B104" s="212"/>
      <c r="C104" s="212"/>
      <c r="D104" s="213"/>
      <c r="E104" s="213"/>
      <c r="F104" s="213"/>
      <c r="G104" s="213"/>
      <c r="H104" s="214"/>
      <c r="I104" s="214"/>
      <c r="J104" s="213"/>
      <c r="K104" s="212"/>
    </row>
    <row r="105" spans="1:15" ht="12.75" customHeight="1">
      <c r="A105" s="212"/>
      <c r="B105" s="212"/>
      <c r="C105" s="212"/>
      <c r="D105" s="212"/>
      <c r="E105" s="212"/>
      <c r="F105" s="212"/>
      <c r="G105" s="212"/>
      <c r="J105" s="212"/>
      <c r="K105" s="212"/>
    </row>
    <row r="106" spans="1:15" ht="12.75" customHeight="1">
      <c r="A106" s="212"/>
      <c r="B106" s="212"/>
      <c r="C106" s="212"/>
      <c r="D106" s="212"/>
      <c r="E106" s="212"/>
      <c r="F106" s="212"/>
      <c r="G106" s="212"/>
      <c r="J106" s="212"/>
      <c r="K106" s="212"/>
    </row>
    <row r="107" spans="1:15" ht="12.75" customHeight="1">
      <c r="A107" s="212"/>
      <c r="B107" s="212"/>
      <c r="C107" s="212"/>
      <c r="D107" s="212"/>
      <c r="E107" s="212"/>
      <c r="F107" s="212"/>
      <c r="G107" s="212"/>
      <c r="J107" s="212"/>
      <c r="K107" s="212"/>
    </row>
    <row r="108" spans="1:15" ht="12.75" customHeight="1">
      <c r="A108" s="212"/>
      <c r="B108" s="212"/>
      <c r="C108" s="212"/>
      <c r="D108" s="212"/>
      <c r="E108" s="212"/>
      <c r="F108" s="212"/>
      <c r="G108" s="212"/>
      <c r="J108" s="212"/>
      <c r="K108" s="212"/>
    </row>
    <row r="109" spans="1:15" ht="12.75" customHeight="1">
      <c r="A109" s="212"/>
      <c r="B109" s="212"/>
      <c r="C109" s="212"/>
      <c r="D109" s="212"/>
      <c r="E109" s="212"/>
      <c r="F109" s="212"/>
      <c r="G109" s="212"/>
      <c r="J109" s="212"/>
      <c r="K109" s="212"/>
    </row>
    <row r="110" spans="1:15" ht="12.75" customHeight="1">
      <c r="A110" s="212"/>
      <c r="B110" s="212"/>
      <c r="C110" s="212"/>
      <c r="D110" s="212"/>
      <c r="E110" s="212"/>
      <c r="F110" s="212"/>
      <c r="G110" s="212"/>
      <c r="J110" s="212"/>
      <c r="K110" s="212"/>
    </row>
    <row r="111" spans="1:15" ht="12.75" customHeight="1">
      <c r="A111" s="212"/>
      <c r="B111" s="212"/>
      <c r="C111" s="212"/>
      <c r="D111" s="212"/>
      <c r="E111" s="212"/>
      <c r="F111" s="212"/>
      <c r="G111" s="212"/>
      <c r="J111" s="212"/>
      <c r="K111" s="212"/>
    </row>
    <row r="112" spans="1:15" ht="12.75" customHeight="1">
      <c r="A112" s="212"/>
      <c r="B112" s="212"/>
      <c r="C112" s="212"/>
      <c r="D112" s="212"/>
      <c r="E112" s="212"/>
      <c r="F112" s="212"/>
      <c r="G112" s="212"/>
      <c r="J112" s="212"/>
      <c r="K112" s="212"/>
    </row>
    <row r="113" spans="1:11" ht="12.75" customHeight="1">
      <c r="A113" s="212"/>
      <c r="B113" s="212"/>
      <c r="C113" s="212"/>
      <c r="D113" s="212"/>
      <c r="E113" s="212"/>
      <c r="F113" s="212"/>
      <c r="G113" s="212"/>
      <c r="J113" s="212"/>
      <c r="K113" s="212"/>
    </row>
    <row r="114" spans="1:11" ht="12.75" customHeight="1">
      <c r="A114" s="212"/>
      <c r="B114" s="212"/>
      <c r="C114" s="212"/>
      <c r="D114" s="212"/>
      <c r="E114" s="212"/>
      <c r="F114" s="212"/>
      <c r="G114" s="212"/>
      <c r="J114" s="212"/>
      <c r="K114" s="212"/>
    </row>
    <row r="115" spans="1:11" ht="12.75" customHeight="1">
      <c r="A115" s="212"/>
      <c r="B115" s="212"/>
      <c r="C115" s="212"/>
      <c r="D115" s="212"/>
      <c r="E115" s="212"/>
      <c r="F115" s="212"/>
      <c r="G115" s="212"/>
      <c r="J115" s="212"/>
      <c r="K115" s="212"/>
    </row>
    <row r="116" spans="1:11" ht="12.75" customHeight="1">
      <c r="A116" s="212"/>
      <c r="B116" s="212"/>
      <c r="C116" s="212"/>
      <c r="D116" s="212"/>
      <c r="E116" s="212"/>
      <c r="F116" s="212"/>
      <c r="G116" s="212"/>
      <c r="J116" s="212"/>
      <c r="K116" s="212"/>
    </row>
    <row r="117" spans="1:11" ht="12.75" customHeight="1">
      <c r="A117" s="212"/>
      <c r="B117" s="212"/>
      <c r="C117" s="212"/>
      <c r="D117" s="212"/>
      <c r="E117" s="212"/>
      <c r="F117" s="212"/>
      <c r="G117" s="212"/>
      <c r="J117" s="212"/>
      <c r="K117" s="212"/>
    </row>
    <row r="118" spans="1:11" ht="12.75" customHeight="1">
      <c r="A118" s="212"/>
      <c r="B118" s="212"/>
      <c r="C118" s="212"/>
      <c r="D118" s="212"/>
      <c r="E118" s="212"/>
      <c r="F118" s="212"/>
      <c r="G118" s="212"/>
      <c r="J118" s="212"/>
      <c r="K118" s="212"/>
    </row>
    <row r="119" spans="1:11" ht="12.75" customHeight="1">
      <c r="A119" s="212"/>
      <c r="B119" s="212"/>
      <c r="C119" s="212"/>
      <c r="D119" s="212"/>
      <c r="E119" s="212"/>
      <c r="F119" s="212"/>
      <c r="G119" s="212"/>
      <c r="J119" s="212"/>
      <c r="K119" s="212"/>
    </row>
    <row r="120" spans="1:11" ht="12.75" customHeight="1">
      <c r="A120" s="212"/>
      <c r="B120" s="212"/>
      <c r="C120" s="212"/>
      <c r="D120" s="212"/>
      <c r="E120" s="212"/>
      <c r="F120" s="212"/>
      <c r="G120" s="212"/>
      <c r="J120" s="212"/>
      <c r="K120" s="212"/>
    </row>
    <row r="121" spans="1:11" ht="12.75" customHeight="1">
      <c r="A121" s="212"/>
      <c r="B121" s="212"/>
      <c r="C121" s="212"/>
      <c r="D121" s="212"/>
      <c r="E121" s="212"/>
      <c r="F121" s="212"/>
      <c r="G121" s="212"/>
      <c r="J121" s="212"/>
      <c r="K121" s="212"/>
    </row>
    <row r="122" spans="1:11" ht="12.75" customHeight="1">
      <c r="A122" s="212"/>
      <c r="B122" s="212"/>
      <c r="C122" s="212"/>
      <c r="D122" s="212"/>
      <c r="E122" s="212"/>
      <c r="F122" s="212"/>
      <c r="G122" s="212"/>
      <c r="J122" s="212"/>
      <c r="K122" s="212"/>
    </row>
    <row r="123" spans="1:11" ht="12.75" customHeight="1">
      <c r="A123" s="212"/>
      <c r="B123" s="212"/>
      <c r="C123" s="212"/>
      <c r="D123" s="212"/>
      <c r="E123" s="212"/>
      <c r="F123" s="212"/>
      <c r="G123" s="212"/>
      <c r="J123" s="212"/>
      <c r="K123" s="212"/>
    </row>
    <row r="124" spans="1:11" ht="12.75" customHeight="1">
      <c r="A124" s="212"/>
      <c r="B124" s="212"/>
      <c r="C124" s="212"/>
      <c r="D124" s="212"/>
      <c r="E124" s="212"/>
      <c r="F124" s="212"/>
      <c r="G124" s="212"/>
      <c r="J124" s="212"/>
      <c r="K124" s="212"/>
    </row>
    <row r="125" spans="1:11" ht="12.75" customHeight="1">
      <c r="A125" s="212"/>
      <c r="B125" s="212"/>
      <c r="C125" s="212"/>
      <c r="D125" s="212"/>
      <c r="E125" s="212"/>
      <c r="F125" s="212"/>
      <c r="G125" s="212"/>
      <c r="J125" s="212"/>
      <c r="K125" s="212"/>
    </row>
    <row r="126" spans="1:11" ht="12.75" customHeight="1">
      <c r="A126" s="212"/>
      <c r="B126" s="212"/>
      <c r="C126" s="212"/>
      <c r="D126" s="212"/>
      <c r="E126" s="212"/>
      <c r="F126" s="212"/>
      <c r="G126" s="212"/>
      <c r="J126" s="212"/>
      <c r="K126" s="212"/>
    </row>
    <row r="127" spans="1:11" ht="12.75" customHeight="1">
      <c r="A127" s="212"/>
      <c r="B127" s="212"/>
      <c r="C127" s="212"/>
      <c r="D127" s="212"/>
      <c r="E127" s="212"/>
      <c r="F127" s="212"/>
      <c r="G127" s="212"/>
      <c r="J127" s="212"/>
      <c r="K127" s="212"/>
    </row>
    <row r="128" spans="1:11" ht="12.75" customHeight="1">
      <c r="A128" s="212"/>
      <c r="B128" s="212"/>
      <c r="C128" s="212"/>
      <c r="D128" s="212"/>
      <c r="E128" s="212"/>
      <c r="F128" s="212"/>
      <c r="G128" s="212"/>
      <c r="J128" s="212"/>
      <c r="K128" s="212"/>
    </row>
    <row r="129" spans="1:11" ht="12.75" customHeight="1">
      <c r="A129" s="212"/>
      <c r="B129" s="212"/>
      <c r="C129" s="212"/>
      <c r="D129" s="212"/>
      <c r="E129" s="212"/>
      <c r="F129" s="212"/>
      <c r="G129" s="212"/>
      <c r="J129" s="212"/>
      <c r="K129" s="212"/>
    </row>
    <row r="130" spans="1:11" ht="12.75" customHeight="1">
      <c r="A130" s="212"/>
      <c r="B130" s="212"/>
      <c r="C130" s="212"/>
      <c r="D130" s="212"/>
      <c r="E130" s="212"/>
      <c r="F130" s="212"/>
      <c r="G130" s="212"/>
      <c r="J130" s="212"/>
      <c r="K130" s="212"/>
    </row>
    <row r="131" spans="1:11" ht="12.75" customHeight="1">
      <c r="A131" s="212"/>
      <c r="B131" s="212"/>
      <c r="C131" s="212"/>
      <c r="D131" s="212"/>
      <c r="E131" s="212"/>
      <c r="F131" s="212"/>
      <c r="G131" s="212"/>
      <c r="J131" s="212"/>
      <c r="K131" s="212"/>
    </row>
    <row r="132" spans="1:11" ht="12.75" customHeight="1">
      <c r="A132" s="212"/>
      <c r="B132" s="212"/>
      <c r="C132" s="212"/>
      <c r="D132" s="212"/>
      <c r="E132" s="212"/>
      <c r="F132" s="212"/>
      <c r="G132" s="212"/>
      <c r="J132" s="212"/>
      <c r="K132" s="212"/>
    </row>
    <row r="133" spans="1:11" ht="12.75" customHeight="1">
      <c r="A133" s="212"/>
      <c r="B133" s="212"/>
      <c r="C133" s="212"/>
      <c r="D133" s="212"/>
      <c r="E133" s="212"/>
      <c r="F133" s="212"/>
      <c r="G133" s="212"/>
      <c r="J133" s="212"/>
      <c r="K133" s="212"/>
    </row>
    <row r="134" spans="1:11" ht="12.75" customHeight="1">
      <c r="A134" s="212"/>
      <c r="B134" s="212"/>
      <c r="C134" s="212"/>
      <c r="D134" s="212"/>
      <c r="E134" s="212"/>
      <c r="F134" s="212"/>
      <c r="G134" s="212"/>
      <c r="J134" s="212"/>
      <c r="K134" s="212"/>
    </row>
    <row r="135" spans="1:11" ht="12.75" customHeight="1">
      <c r="A135" s="212"/>
      <c r="B135" s="212"/>
      <c r="C135" s="212"/>
      <c r="D135" s="212"/>
      <c r="E135" s="212"/>
      <c r="F135" s="212"/>
      <c r="G135" s="212"/>
      <c r="J135" s="212"/>
      <c r="K135" s="212"/>
    </row>
    <row r="136" spans="1:11" ht="12.75" customHeight="1">
      <c r="A136" s="212"/>
      <c r="B136" s="212"/>
      <c r="C136" s="212"/>
      <c r="D136" s="212"/>
      <c r="E136" s="212"/>
      <c r="F136" s="212"/>
      <c r="G136" s="212"/>
      <c r="J136" s="212"/>
      <c r="K136" s="212"/>
    </row>
    <row r="137" spans="1:11" ht="12.75" customHeight="1">
      <c r="A137" s="212"/>
      <c r="B137" s="212"/>
      <c r="C137" s="212"/>
      <c r="D137" s="212"/>
      <c r="E137" s="212"/>
      <c r="F137" s="212"/>
      <c r="G137" s="212"/>
      <c r="J137" s="212"/>
      <c r="K137" s="212"/>
    </row>
    <row r="138" spans="1:11" ht="12.75" customHeight="1">
      <c r="A138" s="212"/>
      <c r="B138" s="212"/>
      <c r="C138" s="212"/>
      <c r="D138" s="212"/>
      <c r="E138" s="212"/>
      <c r="F138" s="212"/>
      <c r="G138" s="212"/>
      <c r="J138" s="212"/>
      <c r="K138" s="212"/>
    </row>
    <row r="139" spans="1:11" ht="12.75" customHeight="1">
      <c r="A139" s="212"/>
      <c r="B139" s="212"/>
      <c r="C139" s="212"/>
      <c r="D139" s="212"/>
      <c r="E139" s="212"/>
      <c r="F139" s="212"/>
      <c r="G139" s="212"/>
      <c r="J139" s="212"/>
      <c r="K139" s="212"/>
    </row>
    <row r="140" spans="1:11" ht="12.75" customHeight="1">
      <c r="A140" s="212"/>
      <c r="B140" s="212"/>
      <c r="C140" s="212"/>
      <c r="D140" s="212"/>
      <c r="E140" s="212"/>
      <c r="F140" s="212"/>
      <c r="G140" s="212"/>
      <c r="J140" s="212"/>
      <c r="K140" s="212"/>
    </row>
    <row r="141" spans="1:11" ht="12.75" customHeight="1">
      <c r="A141" s="212"/>
      <c r="B141" s="212"/>
      <c r="C141" s="212"/>
      <c r="D141" s="212"/>
      <c r="E141" s="212"/>
      <c r="F141" s="212"/>
      <c r="G141" s="212"/>
      <c r="J141" s="212"/>
      <c r="K141" s="212"/>
    </row>
    <row r="142" spans="1:11" ht="12.75" customHeight="1">
      <c r="A142" s="212"/>
      <c r="B142" s="212"/>
      <c r="C142" s="212"/>
      <c r="D142" s="212"/>
      <c r="E142" s="212"/>
      <c r="F142" s="212"/>
      <c r="G142" s="212"/>
      <c r="J142" s="212"/>
      <c r="K142" s="212"/>
    </row>
    <row r="143" spans="1:11" ht="12.75" customHeight="1">
      <c r="A143" s="212"/>
      <c r="B143" s="212"/>
      <c r="C143" s="212"/>
      <c r="D143" s="212"/>
      <c r="E143" s="212"/>
      <c r="F143" s="212"/>
      <c r="G143" s="212"/>
      <c r="J143" s="212"/>
      <c r="K143" s="212"/>
    </row>
    <row r="144" spans="1:11" ht="12.75" customHeight="1">
      <c r="A144" s="212"/>
      <c r="B144" s="212"/>
      <c r="C144" s="212"/>
      <c r="D144" s="212"/>
      <c r="E144" s="212"/>
      <c r="F144" s="212"/>
      <c r="G144" s="212"/>
      <c r="J144" s="212"/>
      <c r="K144" s="212"/>
    </row>
    <row r="145" spans="1:11" ht="12.75" customHeight="1">
      <c r="A145" s="212"/>
      <c r="B145" s="212"/>
      <c r="C145" s="212"/>
      <c r="D145" s="212"/>
      <c r="E145" s="212"/>
      <c r="F145" s="212"/>
      <c r="G145" s="212"/>
      <c r="J145" s="212"/>
      <c r="K145" s="212"/>
    </row>
    <row r="146" spans="1:11" ht="12.75" customHeight="1">
      <c r="A146" s="212"/>
      <c r="B146" s="212"/>
      <c r="C146" s="212"/>
      <c r="D146" s="212"/>
      <c r="E146" s="212"/>
      <c r="F146" s="212"/>
      <c r="G146" s="212"/>
      <c r="J146" s="212"/>
      <c r="K146" s="212"/>
    </row>
    <row r="147" spans="1:11" ht="12.75" customHeight="1">
      <c r="A147" s="212"/>
      <c r="B147" s="212"/>
      <c r="C147" s="212"/>
      <c r="D147" s="212"/>
      <c r="E147" s="212"/>
      <c r="F147" s="212"/>
      <c r="G147" s="212"/>
      <c r="J147" s="212"/>
      <c r="K147" s="212"/>
    </row>
    <row r="148" spans="1:11" ht="12.75" customHeight="1">
      <c r="A148" s="212"/>
      <c r="B148" s="212"/>
      <c r="C148" s="212"/>
      <c r="D148" s="212"/>
      <c r="E148" s="212"/>
      <c r="F148" s="212"/>
      <c r="G148" s="212"/>
      <c r="J148" s="212"/>
      <c r="K148" s="212"/>
    </row>
    <row r="149" spans="1:11" ht="12.75" customHeight="1">
      <c r="A149" s="212"/>
      <c r="B149" s="212"/>
      <c r="C149" s="212"/>
      <c r="D149" s="212"/>
      <c r="E149" s="212"/>
      <c r="F149" s="212"/>
      <c r="G149" s="212"/>
      <c r="J149" s="212"/>
      <c r="K149" s="212"/>
    </row>
    <row r="150" spans="1:11" ht="12.75" customHeight="1">
      <c r="A150" s="212"/>
      <c r="B150" s="212"/>
      <c r="C150" s="212"/>
      <c r="D150" s="212"/>
      <c r="E150" s="212"/>
      <c r="F150" s="212"/>
      <c r="G150" s="212"/>
      <c r="J150" s="212"/>
      <c r="K150" s="212"/>
    </row>
    <row r="151" spans="1:11" ht="12.75" customHeight="1">
      <c r="A151" s="212"/>
      <c r="B151" s="212"/>
      <c r="C151" s="212"/>
      <c r="D151" s="212"/>
      <c r="E151" s="212"/>
      <c r="F151" s="212"/>
      <c r="G151" s="212"/>
      <c r="J151" s="212"/>
      <c r="K151" s="212"/>
    </row>
    <row r="152" spans="1:11" ht="12.75" customHeight="1">
      <c r="A152" s="212"/>
      <c r="B152" s="212"/>
      <c r="C152" s="212"/>
      <c r="D152" s="212"/>
      <c r="E152" s="212"/>
      <c r="F152" s="212"/>
      <c r="G152" s="212"/>
      <c r="J152" s="212"/>
      <c r="K152" s="212"/>
    </row>
    <row r="153" spans="1:11" ht="12.75" customHeight="1">
      <c r="A153" s="212"/>
      <c r="B153" s="212"/>
      <c r="C153" s="212"/>
      <c r="D153" s="212"/>
      <c r="E153" s="212"/>
      <c r="F153" s="212"/>
      <c r="G153" s="212"/>
      <c r="J153" s="212"/>
      <c r="K153" s="212"/>
    </row>
    <row r="154" spans="1:11" ht="12.75" customHeight="1">
      <c r="A154" s="212"/>
      <c r="B154" s="212"/>
      <c r="C154" s="212"/>
      <c r="D154" s="212"/>
      <c r="E154" s="212"/>
      <c r="F154" s="212"/>
      <c r="G154" s="212"/>
      <c r="J154" s="212"/>
      <c r="K154" s="212"/>
    </row>
    <row r="155" spans="1:11" ht="12.75" customHeight="1">
      <c r="A155" s="212"/>
      <c r="B155" s="212"/>
      <c r="C155" s="212"/>
      <c r="D155" s="212"/>
      <c r="E155" s="212"/>
      <c r="F155" s="212"/>
      <c r="G155" s="212"/>
      <c r="J155" s="212"/>
      <c r="K155" s="212"/>
    </row>
    <row r="156" spans="1:11" ht="12.75" customHeight="1">
      <c r="A156" s="212"/>
      <c r="B156" s="212"/>
      <c r="C156" s="212"/>
      <c r="D156" s="212"/>
      <c r="E156" s="212"/>
      <c r="F156" s="212"/>
      <c r="G156" s="212"/>
      <c r="J156" s="212"/>
      <c r="K156" s="212"/>
    </row>
    <row r="157" spans="1:11" ht="12.75" customHeight="1">
      <c r="A157" s="212"/>
      <c r="B157" s="212"/>
      <c r="C157" s="212"/>
      <c r="D157" s="212"/>
      <c r="E157" s="212"/>
      <c r="F157" s="212"/>
      <c r="G157" s="212"/>
      <c r="J157" s="212"/>
      <c r="K157" s="212"/>
    </row>
    <row r="158" spans="1:11" ht="12.75" customHeight="1">
      <c r="A158" s="212"/>
      <c r="B158" s="212"/>
      <c r="C158" s="212"/>
      <c r="D158" s="212"/>
      <c r="E158" s="212"/>
      <c r="F158" s="212"/>
      <c r="G158" s="212"/>
      <c r="J158" s="212"/>
      <c r="K158" s="212"/>
    </row>
    <row r="159" spans="1:11" ht="12.75" customHeight="1">
      <c r="A159" s="212"/>
      <c r="B159" s="212"/>
      <c r="C159" s="212"/>
      <c r="D159" s="212"/>
      <c r="E159" s="212"/>
      <c r="F159" s="212"/>
      <c r="G159" s="212"/>
      <c r="J159" s="212"/>
      <c r="K159" s="212"/>
    </row>
    <row r="160" spans="1:11" ht="12.75" customHeight="1">
      <c r="A160" s="212"/>
      <c r="B160" s="212"/>
      <c r="C160" s="212"/>
      <c r="D160" s="212"/>
      <c r="E160" s="212"/>
      <c r="F160" s="212"/>
      <c r="G160" s="212"/>
      <c r="J160" s="212"/>
      <c r="K160" s="212"/>
    </row>
    <row r="161" spans="1:11" ht="12.75" customHeight="1">
      <c r="A161" s="212"/>
      <c r="B161" s="212"/>
      <c r="C161" s="212"/>
      <c r="D161" s="212"/>
      <c r="E161" s="212"/>
      <c r="F161" s="212"/>
      <c r="G161" s="212"/>
      <c r="J161" s="212"/>
      <c r="K161" s="212"/>
    </row>
    <row r="162" spans="1:11" ht="12.75" customHeight="1">
      <c r="A162" s="212"/>
      <c r="B162" s="212"/>
      <c r="C162" s="212"/>
      <c r="D162" s="212"/>
      <c r="E162" s="212"/>
      <c r="F162" s="212"/>
      <c r="G162" s="212"/>
      <c r="J162" s="212"/>
      <c r="K162" s="212"/>
    </row>
    <row r="163" spans="1:11" ht="12.75" customHeight="1">
      <c r="A163" s="212"/>
      <c r="B163" s="212"/>
      <c r="C163" s="212"/>
      <c r="D163" s="212"/>
      <c r="E163" s="212"/>
      <c r="F163" s="212"/>
      <c r="G163" s="212"/>
      <c r="J163" s="212"/>
      <c r="K163" s="212"/>
    </row>
    <row r="164" spans="1:11" ht="12.75" customHeight="1">
      <c r="A164" s="212"/>
      <c r="B164" s="212"/>
      <c r="C164" s="212"/>
      <c r="D164" s="212"/>
      <c r="E164" s="212"/>
      <c r="F164" s="212"/>
      <c r="G164" s="212"/>
      <c r="J164" s="212"/>
      <c r="K164" s="212"/>
    </row>
    <row r="165" spans="1:11" ht="12.75" customHeight="1">
      <c r="A165" s="212"/>
      <c r="B165" s="212"/>
      <c r="C165" s="212"/>
      <c r="D165" s="212"/>
      <c r="E165" s="212"/>
      <c r="F165" s="212"/>
      <c r="G165" s="212"/>
      <c r="J165" s="212"/>
      <c r="K165" s="212"/>
    </row>
    <row r="166" spans="1:11" ht="12.75" customHeight="1">
      <c r="A166" s="212"/>
      <c r="B166" s="212"/>
      <c r="C166" s="212"/>
      <c r="D166" s="212"/>
      <c r="E166" s="212"/>
      <c r="F166" s="212"/>
      <c r="G166" s="212"/>
      <c r="J166" s="212"/>
      <c r="K166" s="212"/>
    </row>
    <row r="167" spans="1:11" ht="12.75" customHeight="1">
      <c r="A167" s="212"/>
      <c r="B167" s="212"/>
      <c r="C167" s="212"/>
      <c r="D167" s="212"/>
      <c r="E167" s="212"/>
      <c r="F167" s="212"/>
      <c r="G167" s="212"/>
      <c r="J167" s="212"/>
      <c r="K167" s="212"/>
    </row>
    <row r="168" spans="1:11" ht="12.75" customHeight="1">
      <c r="A168" s="212"/>
      <c r="B168" s="212"/>
      <c r="C168" s="212"/>
      <c r="D168" s="212"/>
      <c r="E168" s="212"/>
      <c r="F168" s="212"/>
      <c r="G168" s="212"/>
      <c r="J168" s="212"/>
      <c r="K168" s="212"/>
    </row>
    <row r="169" spans="1:11" ht="12.75" customHeight="1">
      <c r="A169" s="212"/>
      <c r="B169" s="212"/>
      <c r="C169" s="212"/>
      <c r="D169" s="212"/>
      <c r="E169" s="212"/>
      <c r="F169" s="212"/>
      <c r="G169" s="212"/>
      <c r="J169" s="212"/>
      <c r="K169" s="212"/>
    </row>
    <row r="170" spans="1:11" ht="12.75" customHeight="1">
      <c r="A170" s="212"/>
      <c r="B170" s="212"/>
      <c r="C170" s="212"/>
      <c r="D170" s="212"/>
      <c r="E170" s="212"/>
      <c r="F170" s="212"/>
      <c r="G170" s="212"/>
      <c r="J170" s="212"/>
      <c r="K170" s="212"/>
    </row>
    <row r="171" spans="1:11" ht="12.75" customHeight="1">
      <c r="A171" s="212"/>
      <c r="B171" s="212"/>
      <c r="C171" s="212"/>
      <c r="D171" s="212"/>
      <c r="E171" s="212"/>
      <c r="F171" s="212"/>
      <c r="G171" s="212"/>
      <c r="J171" s="212"/>
      <c r="K171" s="212"/>
    </row>
    <row r="172" spans="1:11" ht="12.75" customHeight="1">
      <c r="A172" s="212"/>
      <c r="B172" s="212"/>
      <c r="C172" s="212"/>
      <c r="D172" s="212"/>
      <c r="E172" s="212"/>
      <c r="F172" s="212"/>
      <c r="G172" s="212"/>
      <c r="J172" s="212"/>
      <c r="K172" s="212"/>
    </row>
    <row r="173" spans="1:11" ht="12.75" customHeight="1">
      <c r="A173" s="212"/>
      <c r="B173" s="212"/>
      <c r="C173" s="212"/>
      <c r="D173" s="212"/>
      <c r="E173" s="212"/>
      <c r="F173" s="212"/>
      <c r="G173" s="212"/>
      <c r="J173" s="212"/>
      <c r="K173" s="212"/>
    </row>
    <row r="174" spans="1:11" ht="12.75" customHeight="1">
      <c r="A174" s="212"/>
      <c r="B174" s="212"/>
      <c r="C174" s="212"/>
      <c r="D174" s="212"/>
      <c r="E174" s="212"/>
      <c r="F174" s="212"/>
      <c r="G174" s="212"/>
      <c r="J174" s="212"/>
      <c r="K174" s="212"/>
    </row>
    <row r="175" spans="1:11" ht="12.75" customHeight="1">
      <c r="A175" s="212"/>
      <c r="B175" s="212"/>
      <c r="C175" s="212"/>
      <c r="D175" s="212"/>
      <c r="E175" s="212"/>
      <c r="F175" s="212"/>
      <c r="G175" s="212"/>
      <c r="J175" s="212"/>
      <c r="K175" s="212"/>
    </row>
    <row r="176" spans="1:11" ht="12.75" customHeight="1">
      <c r="A176" s="212"/>
      <c r="B176" s="212"/>
      <c r="C176" s="212"/>
      <c r="D176" s="212"/>
      <c r="E176" s="212"/>
      <c r="F176" s="212"/>
      <c r="G176" s="212"/>
      <c r="J176" s="212"/>
      <c r="K176" s="212"/>
    </row>
    <row r="177" spans="1:11" ht="12.75" customHeight="1">
      <c r="A177" s="212"/>
      <c r="B177" s="212"/>
      <c r="C177" s="212"/>
      <c r="D177" s="212"/>
      <c r="E177" s="212"/>
      <c r="F177" s="212"/>
      <c r="G177" s="212"/>
      <c r="J177" s="212"/>
      <c r="K177" s="212"/>
    </row>
    <row r="178" spans="1:11" ht="12.75" customHeight="1">
      <c r="A178" s="212"/>
      <c r="B178" s="212"/>
      <c r="C178" s="212"/>
      <c r="D178" s="212"/>
      <c r="E178" s="212"/>
      <c r="F178" s="212"/>
      <c r="G178" s="212"/>
      <c r="J178" s="212"/>
      <c r="K178" s="212"/>
    </row>
    <row r="179" spans="1:11" ht="12.75" customHeight="1">
      <c r="A179" s="212"/>
      <c r="B179" s="212"/>
      <c r="C179" s="212"/>
      <c r="D179" s="212"/>
      <c r="E179" s="212"/>
      <c r="F179" s="212"/>
      <c r="G179" s="212"/>
      <c r="J179" s="212"/>
      <c r="K179" s="212"/>
    </row>
    <row r="180" spans="1:11" ht="12.75" customHeight="1">
      <c r="A180" s="212"/>
      <c r="B180" s="212"/>
      <c r="C180" s="212"/>
      <c r="D180" s="212"/>
      <c r="E180" s="212"/>
      <c r="F180" s="212"/>
      <c r="G180" s="212"/>
      <c r="J180" s="212"/>
      <c r="K180" s="212"/>
    </row>
    <row r="181" spans="1:11" ht="12.75" customHeight="1">
      <c r="A181" s="212"/>
      <c r="B181" s="212"/>
      <c r="C181" s="212"/>
      <c r="D181" s="212"/>
      <c r="E181" s="212"/>
      <c r="F181" s="212"/>
      <c r="G181" s="212"/>
      <c r="J181" s="212"/>
      <c r="K181" s="212"/>
    </row>
    <row r="182" spans="1:11" ht="12.75" customHeight="1">
      <c r="A182" s="212"/>
      <c r="B182" s="212"/>
      <c r="C182" s="212"/>
      <c r="D182" s="212"/>
      <c r="E182" s="212"/>
      <c r="F182" s="212"/>
      <c r="G182" s="212"/>
      <c r="J182" s="212"/>
      <c r="K182" s="212"/>
    </row>
    <row r="183" spans="1:11" ht="12.75" customHeight="1">
      <c r="A183" s="212"/>
      <c r="B183" s="212"/>
      <c r="C183" s="212"/>
      <c r="D183" s="212"/>
      <c r="E183" s="212"/>
      <c r="F183" s="212"/>
      <c r="G183" s="212"/>
      <c r="J183" s="212"/>
      <c r="K183" s="212"/>
    </row>
    <row r="184" spans="1:11" ht="12.75" customHeight="1">
      <c r="A184" s="212"/>
      <c r="B184" s="212"/>
      <c r="C184" s="212"/>
      <c r="D184" s="212"/>
      <c r="E184" s="212"/>
      <c r="F184" s="212"/>
      <c r="G184" s="212"/>
      <c r="J184" s="212"/>
      <c r="K184" s="212"/>
    </row>
    <row r="185" spans="1:11" ht="12.75" customHeight="1">
      <c r="A185" s="212"/>
      <c r="B185" s="212"/>
      <c r="C185" s="212"/>
      <c r="D185" s="212"/>
      <c r="E185" s="212"/>
      <c r="F185" s="212"/>
      <c r="G185" s="212"/>
      <c r="J185" s="212"/>
      <c r="K185" s="212"/>
    </row>
    <row r="186" spans="1:11" ht="12.75" customHeight="1">
      <c r="A186" s="212"/>
      <c r="B186" s="212"/>
      <c r="C186" s="212"/>
      <c r="D186" s="212"/>
      <c r="E186" s="212"/>
      <c r="F186" s="212"/>
      <c r="G186" s="212"/>
      <c r="J186" s="212"/>
      <c r="K186" s="212"/>
    </row>
    <row r="187" spans="1:11" ht="12.75" customHeight="1">
      <c r="A187" s="212"/>
      <c r="B187" s="212"/>
      <c r="C187" s="212"/>
      <c r="D187" s="212"/>
      <c r="E187" s="212"/>
      <c r="F187" s="212"/>
      <c r="G187" s="212"/>
      <c r="J187" s="212"/>
      <c r="K187" s="212"/>
    </row>
    <row r="188" spans="1:11" ht="12.75" customHeight="1">
      <c r="A188" s="212"/>
      <c r="B188" s="212"/>
      <c r="C188" s="212"/>
      <c r="D188" s="212"/>
      <c r="E188" s="212"/>
      <c r="F188" s="212"/>
      <c r="G188" s="212"/>
      <c r="J188" s="212"/>
      <c r="K188" s="212"/>
    </row>
    <row r="189" spans="1:11" ht="12.75" customHeight="1">
      <c r="A189" s="212"/>
      <c r="B189" s="212"/>
      <c r="C189" s="212"/>
      <c r="D189" s="212"/>
      <c r="E189" s="212"/>
      <c r="F189" s="212"/>
      <c r="G189" s="212"/>
      <c r="J189" s="212"/>
      <c r="K189" s="212"/>
    </row>
    <row r="190" spans="1:11" ht="12.75" customHeight="1">
      <c r="A190" s="212"/>
      <c r="B190" s="212"/>
      <c r="C190" s="212"/>
      <c r="D190" s="212"/>
      <c r="E190" s="212"/>
      <c r="F190" s="212"/>
      <c r="G190" s="212"/>
      <c r="J190" s="212"/>
      <c r="K190" s="212"/>
    </row>
    <row r="191" spans="1:11" ht="12.75" customHeight="1">
      <c r="A191" s="212"/>
      <c r="B191" s="212"/>
      <c r="C191" s="212"/>
      <c r="D191" s="212"/>
      <c r="E191" s="212"/>
      <c r="F191" s="212"/>
      <c r="G191" s="212"/>
      <c r="J191" s="212"/>
      <c r="K191" s="212"/>
    </row>
    <row r="192" spans="1:11" ht="12.75" customHeight="1">
      <c r="A192" s="212"/>
      <c r="B192" s="212"/>
      <c r="C192" s="212"/>
      <c r="D192" s="212"/>
      <c r="E192" s="212"/>
      <c r="F192" s="212"/>
      <c r="G192" s="212"/>
      <c r="J192" s="212"/>
      <c r="K192" s="212"/>
    </row>
    <row r="193" spans="1:11" ht="12.75" customHeight="1">
      <c r="A193" s="212"/>
      <c r="B193" s="212"/>
      <c r="C193" s="212"/>
      <c r="D193" s="212"/>
      <c r="E193" s="212"/>
      <c r="F193" s="212"/>
      <c r="G193" s="212"/>
      <c r="J193" s="212"/>
      <c r="K193" s="212"/>
    </row>
    <row r="194" spans="1:11" ht="12.75" customHeight="1">
      <c r="A194" s="212"/>
      <c r="B194" s="212"/>
      <c r="C194" s="212"/>
      <c r="D194" s="212"/>
      <c r="E194" s="212"/>
      <c r="F194" s="212"/>
      <c r="G194" s="212"/>
      <c r="J194" s="212"/>
      <c r="K194" s="212"/>
    </row>
    <row r="195" spans="1:11" ht="12.75" customHeight="1">
      <c r="A195" s="212"/>
      <c r="B195" s="212"/>
      <c r="C195" s="212"/>
      <c r="D195" s="212"/>
      <c r="E195" s="212"/>
      <c r="F195" s="212"/>
      <c r="G195" s="212"/>
      <c r="J195" s="212"/>
      <c r="K195" s="212"/>
    </row>
    <row r="196" spans="1:11" ht="12.75" customHeight="1">
      <c r="A196" s="212"/>
      <c r="B196" s="212"/>
      <c r="C196" s="212"/>
      <c r="D196" s="212"/>
      <c r="E196" s="212"/>
      <c r="F196" s="212"/>
      <c r="G196" s="212"/>
      <c r="J196" s="212"/>
      <c r="K196" s="212"/>
    </row>
    <row r="197" spans="1:11" ht="12.75" customHeight="1">
      <c r="A197" s="212"/>
      <c r="B197" s="212"/>
      <c r="C197" s="212"/>
      <c r="D197" s="212"/>
      <c r="E197" s="212"/>
      <c r="F197" s="212"/>
      <c r="G197" s="212"/>
      <c r="J197" s="212"/>
      <c r="K197" s="212"/>
    </row>
    <row r="198" spans="1:11" ht="12.75" customHeight="1">
      <c r="A198" s="212"/>
      <c r="B198" s="212"/>
      <c r="C198" s="212"/>
      <c r="D198" s="212"/>
      <c r="E198" s="212"/>
      <c r="F198" s="212"/>
      <c r="G198" s="212"/>
      <c r="J198" s="212"/>
      <c r="K198" s="212"/>
    </row>
    <row r="199" spans="1:11" ht="12.75" customHeight="1">
      <c r="A199" s="212"/>
      <c r="B199" s="212"/>
      <c r="C199" s="212"/>
      <c r="D199" s="212"/>
      <c r="E199" s="212"/>
      <c r="F199" s="212"/>
      <c r="G199" s="212"/>
      <c r="J199" s="212"/>
      <c r="K199" s="212"/>
    </row>
    <row r="200" spans="1:11" ht="12.75" customHeight="1">
      <c r="A200" s="212"/>
      <c r="B200" s="212"/>
      <c r="C200" s="212"/>
      <c r="D200" s="212"/>
      <c r="E200" s="212"/>
      <c r="F200" s="212"/>
      <c r="G200" s="212"/>
      <c r="J200" s="212"/>
      <c r="K200" s="212"/>
    </row>
    <row r="201" spans="1:11" ht="12.75" customHeight="1">
      <c r="A201" s="212"/>
      <c r="B201" s="212"/>
      <c r="C201" s="212"/>
      <c r="D201" s="212"/>
      <c r="E201" s="212"/>
      <c r="F201" s="212"/>
      <c r="G201" s="212"/>
      <c r="J201" s="212"/>
      <c r="K201" s="212"/>
    </row>
    <row r="202" spans="1:11" ht="12.75" customHeight="1">
      <c r="A202" s="212"/>
      <c r="B202" s="212"/>
      <c r="C202" s="212"/>
      <c r="D202" s="212"/>
      <c r="E202" s="212"/>
      <c r="F202" s="212"/>
      <c r="G202" s="212"/>
      <c r="J202" s="212"/>
      <c r="K202" s="212"/>
    </row>
    <row r="203" spans="1:11" ht="12.75" customHeight="1">
      <c r="A203" s="212"/>
      <c r="B203" s="212"/>
      <c r="C203" s="212"/>
      <c r="D203" s="212"/>
      <c r="E203" s="212"/>
      <c r="F203" s="212"/>
      <c r="G203" s="212"/>
      <c r="J203" s="212"/>
      <c r="K203" s="212"/>
    </row>
    <row r="204" spans="1:11" ht="12.75" customHeight="1">
      <c r="A204" s="212"/>
      <c r="B204" s="212"/>
      <c r="C204" s="212"/>
      <c r="D204" s="212"/>
      <c r="E204" s="212"/>
      <c r="F204" s="212"/>
      <c r="G204" s="212"/>
      <c r="J204" s="212"/>
      <c r="K204" s="212"/>
    </row>
    <row r="205" spans="1:11" ht="12.75" customHeight="1">
      <c r="A205" s="212"/>
      <c r="B205" s="212"/>
      <c r="C205" s="212"/>
      <c r="D205" s="212"/>
      <c r="E205" s="212"/>
      <c r="F205" s="212"/>
      <c r="G205" s="212"/>
      <c r="J205" s="212"/>
      <c r="K205" s="212"/>
    </row>
    <row r="206" spans="1:11" ht="12.75" customHeight="1">
      <c r="A206" s="212"/>
      <c r="B206" s="212"/>
      <c r="C206" s="212"/>
      <c r="D206" s="212"/>
      <c r="E206" s="212"/>
      <c r="F206" s="212"/>
      <c r="G206" s="212"/>
      <c r="J206" s="212"/>
      <c r="K206" s="212"/>
    </row>
    <row r="207" spans="1:11" ht="12.75" customHeight="1">
      <c r="A207" s="212"/>
      <c r="B207" s="212"/>
      <c r="C207" s="212"/>
      <c r="D207" s="212"/>
      <c r="E207" s="212"/>
      <c r="F207" s="212"/>
      <c r="G207" s="212"/>
      <c r="J207" s="212"/>
      <c r="K207" s="212"/>
    </row>
    <row r="208" spans="1:11" ht="12.75" customHeight="1">
      <c r="A208" s="212"/>
      <c r="B208" s="212"/>
      <c r="C208" s="212"/>
      <c r="D208" s="212"/>
      <c r="E208" s="212"/>
      <c r="F208" s="212"/>
      <c r="G208" s="212"/>
      <c r="J208" s="212"/>
      <c r="K208" s="212"/>
    </row>
    <row r="209" spans="1:11" ht="12.75" customHeight="1">
      <c r="A209" s="212"/>
      <c r="B209" s="212"/>
      <c r="C209" s="212"/>
      <c r="D209" s="212"/>
      <c r="E209" s="212"/>
      <c r="F209" s="212"/>
      <c r="G209" s="212"/>
      <c r="J209" s="212"/>
      <c r="K209" s="212"/>
    </row>
    <row r="210" spans="1:11" ht="12.75" customHeight="1">
      <c r="A210" s="212"/>
      <c r="B210" s="212"/>
      <c r="C210" s="212"/>
      <c r="D210" s="212"/>
      <c r="E210" s="212"/>
      <c r="F210" s="212"/>
      <c r="G210" s="212"/>
      <c r="J210" s="212"/>
      <c r="K210" s="212"/>
    </row>
    <row r="211" spans="1:11" ht="12.75" customHeight="1">
      <c r="A211" s="212"/>
      <c r="B211" s="212"/>
      <c r="C211" s="212"/>
      <c r="D211" s="212"/>
      <c r="E211" s="212"/>
      <c r="F211" s="212"/>
      <c r="G211" s="212"/>
      <c r="J211" s="212"/>
      <c r="K211" s="212"/>
    </row>
    <row r="212" spans="1:11" ht="12.75" customHeight="1">
      <c r="A212" s="212"/>
      <c r="B212" s="212"/>
      <c r="C212" s="212"/>
      <c r="D212" s="212"/>
      <c r="E212" s="212"/>
      <c r="F212" s="212"/>
      <c r="G212" s="212"/>
      <c r="J212" s="212"/>
      <c r="K212" s="212"/>
    </row>
    <row r="213" spans="1:11" ht="12.75" customHeight="1">
      <c r="A213" s="212"/>
      <c r="B213" s="212"/>
      <c r="C213" s="212"/>
      <c r="D213" s="212"/>
      <c r="E213" s="212"/>
      <c r="F213" s="212"/>
      <c r="G213" s="212"/>
      <c r="J213" s="212"/>
      <c r="K213" s="212"/>
    </row>
    <row r="214" spans="1:11" ht="12.75" customHeight="1">
      <c r="A214" s="212"/>
      <c r="B214" s="212"/>
      <c r="C214" s="212"/>
      <c r="D214" s="212"/>
      <c r="E214" s="212"/>
      <c r="F214" s="212"/>
      <c r="G214" s="212"/>
      <c r="J214" s="212"/>
      <c r="K214" s="212"/>
    </row>
    <row r="215" spans="1:11" ht="12.75" customHeight="1">
      <c r="A215" s="212"/>
      <c r="B215" s="212"/>
      <c r="C215" s="212"/>
      <c r="D215" s="212"/>
      <c r="E215" s="212"/>
      <c r="F215" s="212"/>
      <c r="G215" s="212"/>
      <c r="J215" s="212"/>
      <c r="K215" s="212"/>
    </row>
    <row r="216" spans="1:11" ht="12.75" customHeight="1">
      <c r="A216" s="212"/>
      <c r="B216" s="212"/>
      <c r="C216" s="212"/>
      <c r="D216" s="212"/>
      <c r="E216" s="212"/>
      <c r="F216" s="212"/>
      <c r="G216" s="212"/>
      <c r="J216" s="212"/>
      <c r="K216" s="212"/>
    </row>
    <row r="217" spans="1:11" ht="12.75" customHeight="1">
      <c r="A217" s="212"/>
      <c r="B217" s="212"/>
      <c r="C217" s="212"/>
      <c r="D217" s="212"/>
      <c r="E217" s="212"/>
      <c r="F217" s="212"/>
      <c r="G217" s="212"/>
      <c r="J217" s="212"/>
      <c r="K217" s="212"/>
    </row>
    <row r="218" spans="1:11" ht="12.75" customHeight="1">
      <c r="A218" s="212"/>
      <c r="B218" s="212"/>
      <c r="C218" s="212"/>
      <c r="D218" s="212"/>
      <c r="E218" s="212"/>
      <c r="F218" s="212"/>
      <c r="G218" s="212"/>
      <c r="J218" s="212"/>
      <c r="K218" s="212"/>
    </row>
    <row r="219" spans="1:11" ht="12.75" customHeight="1">
      <c r="A219" s="212"/>
      <c r="B219" s="212"/>
      <c r="C219" s="212"/>
      <c r="D219" s="212"/>
      <c r="E219" s="212"/>
      <c r="F219" s="212"/>
      <c r="G219" s="212"/>
      <c r="J219" s="212"/>
      <c r="K219" s="212"/>
    </row>
    <row r="220" spans="1:11" ht="12.75" customHeight="1">
      <c r="A220" s="212"/>
      <c r="B220" s="212"/>
      <c r="C220" s="212"/>
      <c r="D220" s="212"/>
      <c r="E220" s="212"/>
      <c r="F220" s="212"/>
      <c r="G220" s="212"/>
      <c r="J220" s="212"/>
      <c r="K220" s="212"/>
    </row>
    <row r="221" spans="1:11" ht="12.75" customHeight="1">
      <c r="A221" s="212"/>
      <c r="B221" s="212"/>
      <c r="C221" s="212"/>
      <c r="D221" s="212"/>
      <c r="E221" s="212"/>
      <c r="F221" s="212"/>
      <c r="G221" s="212"/>
      <c r="J221" s="212"/>
      <c r="K221" s="212"/>
    </row>
    <row r="222" spans="1:11" ht="12.75" customHeight="1">
      <c r="A222" s="212"/>
      <c r="B222" s="212"/>
      <c r="C222" s="212"/>
      <c r="D222" s="212"/>
      <c r="E222" s="212"/>
      <c r="F222" s="212"/>
      <c r="G222" s="212"/>
      <c r="J222" s="212"/>
      <c r="K222" s="212"/>
    </row>
    <row r="223" spans="1:11" ht="12.75" customHeight="1">
      <c r="A223" s="212"/>
      <c r="B223" s="212"/>
      <c r="C223" s="212"/>
      <c r="D223" s="212"/>
      <c r="E223" s="212"/>
      <c r="F223" s="212"/>
      <c r="G223" s="212"/>
      <c r="J223" s="212"/>
      <c r="K223" s="212"/>
    </row>
    <row r="224" spans="1:11" ht="12.75" customHeight="1">
      <c r="A224" s="212"/>
      <c r="B224" s="212"/>
      <c r="C224" s="212"/>
      <c r="D224" s="212"/>
      <c r="E224" s="212"/>
      <c r="F224" s="212"/>
      <c r="G224" s="212"/>
      <c r="J224" s="212"/>
      <c r="K224" s="212"/>
    </row>
    <row r="225" spans="1:11" ht="12.75" customHeight="1">
      <c r="A225" s="212"/>
      <c r="B225" s="212"/>
      <c r="C225" s="212"/>
      <c r="D225" s="212"/>
      <c r="E225" s="212"/>
      <c r="F225" s="212"/>
      <c r="G225" s="212"/>
      <c r="J225" s="212"/>
      <c r="K225" s="212"/>
    </row>
    <row r="226" spans="1:11" ht="12.75" customHeight="1">
      <c r="A226" s="212"/>
      <c r="B226" s="212"/>
      <c r="C226" s="212"/>
      <c r="D226" s="212"/>
      <c r="E226" s="212"/>
      <c r="F226" s="212"/>
      <c r="G226" s="212"/>
      <c r="J226" s="212"/>
      <c r="K226" s="212"/>
    </row>
    <row r="227" spans="1:11" ht="12.75" customHeight="1">
      <c r="A227" s="212"/>
      <c r="B227" s="212"/>
      <c r="C227" s="212"/>
      <c r="D227" s="212"/>
      <c r="E227" s="212"/>
      <c r="F227" s="212"/>
      <c r="G227" s="212"/>
      <c r="J227" s="212"/>
      <c r="K227" s="212"/>
    </row>
    <row r="228" spans="1:11" ht="12.75" customHeight="1">
      <c r="A228" s="212"/>
      <c r="B228" s="212"/>
      <c r="C228" s="212"/>
      <c r="D228" s="212"/>
      <c r="E228" s="212"/>
      <c r="F228" s="212"/>
      <c r="G228" s="212"/>
      <c r="J228" s="212"/>
      <c r="K228" s="212"/>
    </row>
    <row r="229" spans="1:11" ht="12.75" customHeight="1">
      <c r="A229" s="212"/>
      <c r="B229" s="212"/>
      <c r="C229" s="212"/>
      <c r="D229" s="212"/>
      <c r="E229" s="212"/>
      <c r="F229" s="212"/>
      <c r="G229" s="212"/>
      <c r="J229" s="212"/>
      <c r="K229" s="212"/>
    </row>
    <row r="230" spans="1:11" ht="12.75" customHeight="1">
      <c r="A230" s="212"/>
      <c r="B230" s="212"/>
      <c r="C230" s="212"/>
      <c r="D230" s="212"/>
      <c r="E230" s="212"/>
      <c r="F230" s="212"/>
      <c r="G230" s="212"/>
      <c r="J230" s="212"/>
      <c r="K230" s="212"/>
    </row>
    <row r="231" spans="1:11" ht="12.75" customHeight="1">
      <c r="A231" s="212"/>
      <c r="B231" s="212"/>
      <c r="C231" s="212"/>
      <c r="D231" s="212"/>
      <c r="E231" s="212"/>
      <c r="F231" s="212"/>
      <c r="G231" s="212"/>
      <c r="J231" s="212"/>
      <c r="K231" s="212"/>
    </row>
    <row r="232" spans="1:11" ht="12.75" customHeight="1">
      <c r="A232" s="212"/>
      <c r="B232" s="212"/>
      <c r="C232" s="212"/>
      <c r="D232" s="212"/>
      <c r="E232" s="212"/>
      <c r="F232" s="212"/>
      <c r="G232" s="212"/>
      <c r="J232" s="212"/>
      <c r="K232" s="212"/>
    </row>
    <row r="233" spans="1:11" ht="12.75" customHeight="1">
      <c r="A233" s="212"/>
      <c r="B233" s="212"/>
      <c r="C233" s="212"/>
      <c r="D233" s="212"/>
      <c r="E233" s="212"/>
      <c r="F233" s="212"/>
      <c r="G233" s="212"/>
      <c r="J233" s="212"/>
      <c r="K233" s="212"/>
    </row>
    <row r="234" spans="1:11" ht="12.75" customHeight="1">
      <c r="A234" s="212"/>
      <c r="B234" s="212"/>
      <c r="C234" s="212"/>
      <c r="D234" s="212"/>
      <c r="E234" s="212"/>
      <c r="F234" s="212"/>
      <c r="G234" s="212"/>
      <c r="J234" s="212"/>
      <c r="K234" s="212"/>
    </row>
    <row r="235" spans="1:11" ht="12.75" customHeight="1">
      <c r="A235" s="212"/>
      <c r="B235" s="212"/>
      <c r="C235" s="212"/>
      <c r="D235" s="212"/>
      <c r="E235" s="212"/>
      <c r="F235" s="212"/>
      <c r="G235" s="212"/>
      <c r="J235" s="212"/>
      <c r="K235" s="212"/>
    </row>
    <row r="236" spans="1:11" ht="12.75" customHeight="1">
      <c r="A236" s="212"/>
      <c r="B236" s="212"/>
      <c r="C236" s="212"/>
      <c r="D236" s="212"/>
      <c r="E236" s="212"/>
      <c r="F236" s="212"/>
      <c r="G236" s="212"/>
      <c r="J236" s="212"/>
      <c r="K236" s="212"/>
    </row>
    <row r="237" spans="1:11" ht="12.75" customHeight="1">
      <c r="A237" s="212"/>
      <c r="B237" s="212"/>
      <c r="C237" s="212"/>
      <c r="D237" s="212"/>
      <c r="E237" s="212"/>
      <c r="F237" s="212"/>
      <c r="G237" s="212"/>
      <c r="J237" s="212"/>
      <c r="K237" s="212"/>
    </row>
    <row r="238" spans="1:11" ht="12.75" customHeight="1">
      <c r="A238" s="212"/>
      <c r="B238" s="212"/>
      <c r="C238" s="212"/>
      <c r="D238" s="212"/>
      <c r="E238" s="212"/>
      <c r="F238" s="212"/>
      <c r="G238" s="212"/>
      <c r="J238" s="212"/>
      <c r="K238" s="212"/>
    </row>
    <row r="239" spans="1:11" ht="12.75" customHeight="1">
      <c r="A239" s="212"/>
      <c r="B239" s="212"/>
      <c r="C239" s="212"/>
      <c r="D239" s="212"/>
      <c r="E239" s="212"/>
      <c r="F239" s="212"/>
      <c r="G239" s="212"/>
      <c r="J239" s="212"/>
      <c r="K239" s="212"/>
    </row>
    <row r="240" spans="1:11" ht="12.75" customHeight="1">
      <c r="A240" s="212"/>
      <c r="B240" s="212"/>
      <c r="C240" s="212"/>
      <c r="D240" s="212"/>
      <c r="E240" s="212"/>
      <c r="F240" s="212"/>
      <c r="G240" s="212"/>
      <c r="J240" s="212"/>
      <c r="K240" s="212"/>
    </row>
    <row r="241" spans="1:11" ht="12.75" customHeight="1">
      <c r="A241" s="212"/>
      <c r="B241" s="212"/>
      <c r="C241" s="212"/>
      <c r="D241" s="212"/>
      <c r="E241" s="212"/>
      <c r="F241" s="212"/>
      <c r="G241" s="212"/>
      <c r="J241" s="212"/>
      <c r="K241" s="212"/>
    </row>
    <row r="242" spans="1:11" ht="12.75" customHeight="1">
      <c r="A242" s="212"/>
      <c r="B242" s="212"/>
      <c r="C242" s="212"/>
      <c r="D242" s="212"/>
      <c r="E242" s="212"/>
      <c r="F242" s="212"/>
      <c r="G242" s="212"/>
      <c r="J242" s="212"/>
      <c r="K242" s="212"/>
    </row>
    <row r="243" spans="1:11" ht="12.75" customHeight="1">
      <c r="A243" s="212"/>
      <c r="B243" s="212"/>
      <c r="C243" s="212"/>
      <c r="D243" s="212"/>
      <c r="E243" s="212"/>
      <c r="F243" s="212"/>
      <c r="G243" s="212"/>
      <c r="J243" s="212"/>
      <c r="K243" s="212"/>
    </row>
    <row r="244" spans="1:11" ht="12.75" customHeight="1">
      <c r="A244" s="212"/>
      <c r="B244" s="212"/>
      <c r="C244" s="212"/>
      <c r="D244" s="212"/>
      <c r="E244" s="212"/>
      <c r="F244" s="212"/>
      <c r="G244" s="212"/>
      <c r="J244" s="212"/>
      <c r="K244" s="212"/>
    </row>
    <row r="245" spans="1:11" ht="12.75" customHeight="1">
      <c r="A245" s="212"/>
      <c r="B245" s="212"/>
      <c r="C245" s="212"/>
      <c r="D245" s="212"/>
      <c r="E245" s="212"/>
      <c r="F245" s="212"/>
      <c r="G245" s="212"/>
      <c r="J245" s="212"/>
      <c r="K245" s="212"/>
    </row>
    <row r="246" spans="1:11" ht="12.75" customHeight="1">
      <c r="A246" s="212"/>
      <c r="B246" s="212"/>
      <c r="C246" s="212"/>
      <c r="D246" s="212"/>
      <c r="E246" s="212"/>
      <c r="F246" s="212"/>
      <c r="G246" s="212"/>
      <c r="J246" s="212"/>
      <c r="K246" s="212"/>
    </row>
    <row r="247" spans="1:11" ht="12.75" customHeight="1">
      <c r="A247" s="212"/>
      <c r="B247" s="212"/>
      <c r="C247" s="212"/>
      <c r="D247" s="212"/>
      <c r="E247" s="212"/>
      <c r="F247" s="212"/>
      <c r="G247" s="212"/>
      <c r="J247" s="212"/>
      <c r="K247" s="212"/>
    </row>
    <row r="248" spans="1:11" ht="12.75" customHeight="1">
      <c r="A248" s="212"/>
      <c r="B248" s="212"/>
      <c r="C248" s="212"/>
      <c r="D248" s="212"/>
      <c r="E248" s="212"/>
      <c r="F248" s="212"/>
      <c r="G248" s="212"/>
      <c r="J248" s="212"/>
      <c r="K248" s="212"/>
    </row>
    <row r="249" spans="1:11" ht="12.75" customHeight="1">
      <c r="A249" s="212"/>
      <c r="B249" s="212"/>
      <c r="C249" s="212"/>
      <c r="D249" s="212"/>
      <c r="E249" s="212"/>
      <c r="F249" s="212"/>
      <c r="G249" s="212"/>
      <c r="J249" s="212"/>
      <c r="K249" s="212"/>
    </row>
    <row r="250" spans="1:11" ht="12.75" customHeight="1">
      <c r="A250" s="212"/>
      <c r="B250" s="212"/>
      <c r="C250" s="212"/>
      <c r="D250" s="212"/>
      <c r="E250" s="212"/>
      <c r="F250" s="212"/>
      <c r="G250" s="212"/>
      <c r="J250" s="212"/>
      <c r="K250" s="212"/>
    </row>
    <row r="251" spans="1:11" ht="12.75" customHeight="1">
      <c r="A251" s="212"/>
      <c r="B251" s="212"/>
      <c r="C251" s="212"/>
      <c r="D251" s="212"/>
      <c r="E251" s="212"/>
      <c r="F251" s="212"/>
      <c r="G251" s="212"/>
      <c r="J251" s="212"/>
      <c r="K251" s="212"/>
    </row>
    <row r="252" spans="1:11" ht="12.75" customHeight="1">
      <c r="A252" s="212"/>
      <c r="B252" s="212"/>
      <c r="C252" s="212"/>
      <c r="D252" s="212"/>
      <c r="E252" s="212"/>
      <c r="F252" s="212"/>
      <c r="G252" s="212"/>
      <c r="J252" s="212"/>
      <c r="K252" s="212"/>
    </row>
    <row r="253" spans="1:11" ht="12.75" customHeight="1">
      <c r="A253" s="212"/>
      <c r="B253" s="212"/>
      <c r="C253" s="212"/>
      <c r="D253" s="212"/>
      <c r="E253" s="212"/>
      <c r="F253" s="212"/>
      <c r="G253" s="212"/>
      <c r="J253" s="212"/>
      <c r="K253" s="212"/>
    </row>
    <row r="254" spans="1:11" ht="12.75" customHeight="1">
      <c r="A254" s="212"/>
      <c r="B254" s="212"/>
      <c r="C254" s="212"/>
      <c r="D254" s="212"/>
      <c r="E254" s="212"/>
      <c r="F254" s="212"/>
      <c r="G254" s="212"/>
      <c r="J254" s="212"/>
      <c r="K254" s="212"/>
    </row>
    <row r="255" spans="1:11" ht="12.75" customHeight="1">
      <c r="A255" s="212"/>
      <c r="B255" s="212"/>
      <c r="C255" s="212"/>
      <c r="D255" s="212"/>
      <c r="E255" s="212"/>
      <c r="F255" s="212"/>
      <c r="G255" s="212"/>
      <c r="J255" s="212"/>
      <c r="K255" s="212"/>
    </row>
    <row r="256" spans="1:11" ht="12.75" customHeight="1">
      <c r="A256" s="212"/>
      <c r="B256" s="212"/>
      <c r="C256" s="212"/>
      <c r="D256" s="212"/>
      <c r="E256" s="212"/>
      <c r="F256" s="212"/>
      <c r="G256" s="212"/>
      <c r="J256" s="212"/>
      <c r="K256" s="212"/>
    </row>
    <row r="257" spans="1:11" ht="12.75" customHeight="1">
      <c r="A257" s="212"/>
      <c r="B257" s="212"/>
      <c r="C257" s="212"/>
      <c r="D257" s="212"/>
      <c r="E257" s="212"/>
      <c r="F257" s="212"/>
      <c r="G257" s="212"/>
      <c r="J257" s="212"/>
      <c r="K257" s="212"/>
    </row>
    <row r="258" spans="1:11" ht="12.75" customHeight="1">
      <c r="A258" s="212"/>
      <c r="B258" s="212"/>
      <c r="C258" s="212"/>
      <c r="D258" s="212"/>
      <c r="E258" s="212"/>
      <c r="F258" s="212"/>
      <c r="G258" s="212"/>
      <c r="J258" s="212"/>
      <c r="K258" s="212"/>
    </row>
    <row r="259" spans="1:11" ht="12.75" customHeight="1">
      <c r="A259" s="212"/>
      <c r="B259" s="212"/>
      <c r="C259" s="212"/>
      <c r="D259" s="212"/>
      <c r="E259" s="212"/>
      <c r="F259" s="212"/>
      <c r="G259" s="212"/>
      <c r="J259" s="212"/>
      <c r="K259" s="212"/>
    </row>
    <row r="260" spans="1:11" ht="12.75" customHeight="1">
      <c r="A260" s="212"/>
      <c r="B260" s="212"/>
      <c r="C260" s="212"/>
      <c r="D260" s="212"/>
      <c r="E260" s="212"/>
      <c r="F260" s="212"/>
      <c r="G260" s="212"/>
      <c r="J260" s="212"/>
      <c r="K260" s="212"/>
    </row>
    <row r="261" spans="1:11" ht="12.75" customHeight="1">
      <c r="A261" s="212"/>
      <c r="B261" s="212"/>
      <c r="C261" s="212"/>
      <c r="D261" s="212"/>
      <c r="E261" s="212"/>
      <c r="F261" s="212"/>
      <c r="G261" s="212"/>
      <c r="J261" s="212"/>
      <c r="K261" s="212"/>
    </row>
    <row r="262" spans="1:11" ht="12.75" customHeight="1">
      <c r="A262" s="212"/>
      <c r="B262" s="212"/>
      <c r="C262" s="212"/>
      <c r="D262" s="212"/>
      <c r="E262" s="212"/>
      <c r="F262" s="212"/>
      <c r="G262" s="212"/>
      <c r="J262" s="212"/>
      <c r="K262" s="212"/>
    </row>
    <row r="263" spans="1:11" ht="12.75" customHeight="1">
      <c r="A263" s="212"/>
      <c r="B263" s="212"/>
      <c r="C263" s="212"/>
      <c r="D263" s="212"/>
      <c r="E263" s="212"/>
      <c r="F263" s="212"/>
      <c r="G263" s="212"/>
      <c r="J263" s="212"/>
      <c r="K263" s="212"/>
    </row>
    <row r="264" spans="1:11" ht="12.75" customHeight="1">
      <c r="A264" s="212"/>
      <c r="B264" s="212"/>
      <c r="C264" s="212"/>
      <c r="D264" s="212"/>
      <c r="E264" s="212"/>
      <c r="F264" s="212"/>
      <c r="G264" s="212"/>
      <c r="J264" s="212"/>
      <c r="K264" s="212"/>
    </row>
    <row r="265" spans="1:11" ht="12.75" customHeight="1">
      <c r="A265" s="212"/>
      <c r="B265" s="212"/>
      <c r="C265" s="212"/>
      <c r="D265" s="212"/>
      <c r="E265" s="212"/>
      <c r="F265" s="212"/>
      <c r="G265" s="212"/>
      <c r="J265" s="212"/>
      <c r="K265" s="212"/>
    </row>
    <row r="266" spans="1:11" ht="12.75" customHeight="1">
      <c r="A266" s="212"/>
      <c r="B266" s="212"/>
      <c r="C266" s="212"/>
      <c r="D266" s="212"/>
      <c r="E266" s="212"/>
      <c r="F266" s="212"/>
      <c r="G266" s="212"/>
      <c r="J266" s="212"/>
      <c r="K266" s="212"/>
    </row>
    <row r="267" spans="1:11" ht="12.75" customHeight="1">
      <c r="A267" s="212"/>
      <c r="B267" s="212"/>
      <c r="C267" s="212"/>
      <c r="D267" s="212"/>
      <c r="E267" s="212"/>
      <c r="F267" s="212"/>
      <c r="G267" s="212"/>
      <c r="J267" s="212"/>
      <c r="K267" s="212"/>
    </row>
    <row r="268" spans="1:11" ht="12.75" customHeight="1">
      <c r="A268" s="212"/>
      <c r="B268" s="212"/>
      <c r="C268" s="212"/>
      <c r="D268" s="212"/>
      <c r="E268" s="212"/>
      <c r="F268" s="212"/>
      <c r="G268" s="212"/>
      <c r="J268" s="212"/>
      <c r="K268" s="212"/>
    </row>
    <row r="269" spans="1:11" ht="12.75" customHeight="1">
      <c r="A269" s="212"/>
      <c r="B269" s="212"/>
      <c r="C269" s="212"/>
      <c r="D269" s="212"/>
      <c r="E269" s="212"/>
      <c r="F269" s="212"/>
      <c r="G269" s="212"/>
      <c r="J269" s="212"/>
      <c r="K269" s="212"/>
    </row>
    <row r="270" spans="1:11" ht="12.75" customHeight="1">
      <c r="A270" s="212"/>
      <c r="B270" s="212"/>
      <c r="C270" s="212"/>
      <c r="D270" s="212"/>
      <c r="E270" s="212"/>
      <c r="F270" s="212"/>
      <c r="G270" s="212"/>
      <c r="J270" s="212"/>
      <c r="K270" s="212"/>
    </row>
    <row r="271" spans="1:11" ht="12.75" customHeight="1">
      <c r="A271" s="212"/>
      <c r="B271" s="212"/>
      <c r="C271" s="212"/>
      <c r="D271" s="212"/>
      <c r="E271" s="212"/>
      <c r="F271" s="212"/>
      <c r="G271" s="212"/>
      <c r="J271" s="212"/>
      <c r="K271" s="212"/>
    </row>
    <row r="272" spans="1:11" ht="12.75" customHeight="1">
      <c r="A272" s="212"/>
      <c r="B272" s="212"/>
      <c r="C272" s="212"/>
      <c r="D272" s="212"/>
      <c r="E272" s="212"/>
      <c r="F272" s="212"/>
      <c r="G272" s="212"/>
      <c r="J272" s="212"/>
      <c r="K272" s="212"/>
    </row>
    <row r="273" spans="1:11" ht="12.75" customHeight="1">
      <c r="A273" s="212"/>
      <c r="B273" s="212"/>
      <c r="C273" s="212"/>
      <c r="D273" s="212"/>
      <c r="E273" s="212"/>
      <c r="F273" s="212"/>
      <c r="G273" s="212"/>
      <c r="J273" s="212"/>
      <c r="K273" s="212"/>
    </row>
    <row r="274" spans="1:11" ht="12.75" customHeight="1">
      <c r="A274" s="212"/>
      <c r="B274" s="212"/>
      <c r="C274" s="212"/>
      <c r="D274" s="212"/>
      <c r="E274" s="212"/>
      <c r="F274" s="212"/>
      <c r="G274" s="212"/>
      <c r="J274" s="212"/>
      <c r="K274" s="212"/>
    </row>
    <row r="275" spans="1:11" ht="12.75" customHeight="1">
      <c r="A275" s="212"/>
      <c r="B275" s="212"/>
      <c r="C275" s="212"/>
      <c r="D275" s="212"/>
      <c r="E275" s="212"/>
      <c r="F275" s="212"/>
      <c r="G275" s="212"/>
      <c r="J275" s="212"/>
      <c r="K275" s="212"/>
    </row>
    <row r="276" spans="1:11" ht="12.75" customHeight="1">
      <c r="A276" s="212"/>
      <c r="B276" s="212"/>
      <c r="C276" s="212"/>
      <c r="D276" s="212"/>
      <c r="E276" s="212"/>
      <c r="F276" s="212"/>
      <c r="G276" s="212"/>
      <c r="J276" s="212"/>
      <c r="K276" s="212"/>
    </row>
    <row r="277" spans="1:11" ht="12.75" customHeight="1">
      <c r="A277" s="212"/>
      <c r="B277" s="212"/>
      <c r="C277" s="212"/>
      <c r="D277" s="212"/>
      <c r="E277" s="212"/>
      <c r="F277" s="212"/>
      <c r="G277" s="212"/>
      <c r="J277" s="212"/>
      <c r="K277" s="212"/>
    </row>
    <row r="278" spans="1:11" ht="12.75" customHeight="1">
      <c r="A278" s="212"/>
      <c r="B278" s="212"/>
      <c r="C278" s="212"/>
      <c r="D278" s="212"/>
      <c r="E278" s="212"/>
      <c r="F278" s="212"/>
      <c r="G278" s="212"/>
      <c r="J278" s="212"/>
      <c r="K278" s="212"/>
    </row>
    <row r="279" spans="1:11" ht="12.75" customHeight="1">
      <c r="A279" s="212"/>
      <c r="B279" s="212"/>
      <c r="C279" s="212"/>
      <c r="D279" s="212"/>
      <c r="E279" s="212"/>
      <c r="F279" s="212"/>
      <c r="G279" s="212"/>
      <c r="J279" s="212"/>
      <c r="K279" s="212"/>
    </row>
    <row r="280" spans="1:11" ht="12.75" customHeight="1">
      <c r="A280" s="212"/>
      <c r="B280" s="212"/>
      <c r="C280" s="212"/>
      <c r="D280" s="212"/>
      <c r="E280" s="212"/>
      <c r="F280" s="212"/>
      <c r="G280" s="212"/>
      <c r="J280" s="212"/>
      <c r="K280" s="212"/>
    </row>
    <row r="281" spans="1:11" ht="12.75" customHeight="1">
      <c r="A281" s="212"/>
      <c r="B281" s="212"/>
      <c r="C281" s="212"/>
      <c r="D281" s="212"/>
      <c r="E281" s="212"/>
      <c r="F281" s="212"/>
      <c r="G281" s="212"/>
      <c r="J281" s="212"/>
      <c r="K281" s="212"/>
    </row>
    <row r="282" spans="1:11" ht="12.75" customHeight="1">
      <c r="A282" s="212"/>
      <c r="B282" s="212"/>
      <c r="C282" s="212"/>
      <c r="D282" s="212"/>
      <c r="E282" s="212"/>
      <c r="F282" s="212"/>
      <c r="G282" s="212"/>
      <c r="J282" s="212"/>
      <c r="K282" s="212"/>
    </row>
    <row r="283" spans="1:11" ht="12.75" customHeight="1">
      <c r="A283" s="212"/>
      <c r="B283" s="212"/>
      <c r="C283" s="212"/>
      <c r="D283" s="212"/>
      <c r="E283" s="212"/>
      <c r="F283" s="212"/>
      <c r="G283" s="212"/>
      <c r="J283" s="212"/>
      <c r="K283" s="212"/>
    </row>
    <row r="284" spans="1:11" ht="12.75" customHeight="1">
      <c r="A284" s="212"/>
      <c r="B284" s="212"/>
      <c r="C284" s="212"/>
      <c r="D284" s="212"/>
      <c r="E284" s="212"/>
      <c r="F284" s="212"/>
      <c r="G284" s="212"/>
      <c r="J284" s="212"/>
      <c r="K284" s="212"/>
    </row>
    <row r="285" spans="1:11" ht="12.75" customHeight="1">
      <c r="A285" s="212"/>
      <c r="B285" s="212"/>
      <c r="C285" s="212"/>
      <c r="D285" s="212"/>
      <c r="E285" s="212"/>
      <c r="F285" s="212"/>
      <c r="G285" s="212"/>
      <c r="J285" s="212"/>
      <c r="K285" s="212"/>
    </row>
    <row r="286" spans="1:11" ht="12.75" customHeight="1">
      <c r="A286" s="212"/>
      <c r="B286" s="212"/>
      <c r="C286" s="212"/>
      <c r="D286" s="212"/>
      <c r="E286" s="212"/>
      <c r="F286" s="212"/>
      <c r="G286" s="212"/>
      <c r="J286" s="212"/>
      <c r="K286" s="212"/>
    </row>
    <row r="287" spans="1:11" ht="12.75" customHeight="1">
      <c r="A287" s="212"/>
      <c r="B287" s="212"/>
      <c r="C287" s="212"/>
      <c r="D287" s="212"/>
      <c r="E287" s="212"/>
      <c r="F287" s="212"/>
      <c r="G287" s="212"/>
      <c r="J287" s="212"/>
      <c r="K287" s="212"/>
    </row>
    <row r="288" spans="1:11" ht="12.75" customHeight="1">
      <c r="A288" s="212"/>
      <c r="B288" s="212"/>
      <c r="C288" s="212"/>
      <c r="D288" s="212"/>
      <c r="E288" s="212"/>
      <c r="F288" s="212"/>
      <c r="G288" s="212"/>
      <c r="J288" s="212"/>
      <c r="K288" s="212"/>
    </row>
    <row r="289" spans="1:11" ht="12.75" customHeight="1">
      <c r="A289" s="212"/>
      <c r="B289" s="212"/>
      <c r="C289" s="212"/>
      <c r="D289" s="212"/>
      <c r="E289" s="212"/>
      <c r="F289" s="212"/>
      <c r="G289" s="212"/>
      <c r="J289" s="212"/>
      <c r="K289" s="212"/>
    </row>
    <row r="290" spans="1:11" ht="12.75" customHeight="1">
      <c r="A290" s="212"/>
      <c r="B290" s="212"/>
      <c r="C290" s="212"/>
      <c r="D290" s="212"/>
      <c r="E290" s="212"/>
      <c r="F290" s="212"/>
      <c r="G290" s="212"/>
      <c r="J290" s="212"/>
      <c r="K290" s="212"/>
    </row>
    <row r="291" spans="1:11" ht="12.75" customHeight="1">
      <c r="A291" s="212"/>
      <c r="B291" s="212"/>
      <c r="C291" s="212"/>
      <c r="D291" s="212"/>
      <c r="E291" s="212"/>
      <c r="F291" s="212"/>
      <c r="G291" s="212"/>
      <c r="J291" s="212"/>
      <c r="K291" s="212"/>
    </row>
    <row r="292" spans="1:11" ht="12.75" customHeight="1">
      <c r="A292" s="212"/>
      <c r="B292" s="212"/>
      <c r="C292" s="212"/>
      <c r="D292" s="212"/>
      <c r="E292" s="212"/>
      <c r="F292" s="212"/>
      <c r="G292" s="212"/>
      <c r="J292" s="212"/>
      <c r="K292" s="212"/>
    </row>
    <row r="293" spans="1:11" ht="12.75" customHeight="1">
      <c r="A293" s="212"/>
      <c r="B293" s="212"/>
      <c r="C293" s="212"/>
      <c r="D293" s="212"/>
      <c r="E293" s="212"/>
      <c r="F293" s="212"/>
      <c r="G293" s="212"/>
      <c r="J293" s="212"/>
      <c r="K293" s="212"/>
    </row>
    <row r="294" spans="1:11" ht="12.75" customHeight="1">
      <c r="A294" s="212"/>
      <c r="B294" s="212"/>
      <c r="C294" s="212"/>
      <c r="D294" s="212"/>
      <c r="E294" s="212"/>
      <c r="F294" s="212"/>
      <c r="G294" s="212"/>
      <c r="J294" s="212"/>
      <c r="K294" s="212"/>
    </row>
    <row r="295" spans="1:11" ht="12.75" customHeight="1">
      <c r="A295" s="212"/>
      <c r="B295" s="212"/>
      <c r="C295" s="212"/>
      <c r="D295" s="212"/>
      <c r="E295" s="212"/>
      <c r="F295" s="212"/>
      <c r="G295" s="212"/>
      <c r="J295" s="212"/>
      <c r="K295" s="212"/>
    </row>
    <row r="296" spans="1:11" ht="12.75" customHeight="1">
      <c r="A296" s="212"/>
      <c r="B296" s="212"/>
      <c r="C296" s="212"/>
      <c r="D296" s="212"/>
      <c r="E296" s="212"/>
      <c r="F296" s="212"/>
      <c r="G296" s="212"/>
      <c r="J296" s="212"/>
      <c r="K296" s="212"/>
    </row>
    <row r="297" spans="1:11" ht="12.75" customHeight="1">
      <c r="A297" s="212"/>
      <c r="B297" s="212"/>
      <c r="C297" s="212"/>
      <c r="D297" s="212"/>
      <c r="E297" s="212"/>
      <c r="F297" s="212"/>
      <c r="G297" s="212"/>
      <c r="J297" s="212"/>
      <c r="K297" s="212"/>
    </row>
    <row r="298" spans="1:11" ht="12.75" customHeight="1">
      <c r="A298" s="212"/>
      <c r="B298" s="212"/>
      <c r="C298" s="212"/>
      <c r="D298" s="212"/>
      <c r="E298" s="212"/>
      <c r="F298" s="212"/>
      <c r="G298" s="212"/>
      <c r="J298" s="212"/>
      <c r="K298" s="212"/>
    </row>
    <row r="299" spans="1:11" ht="12.75" customHeight="1">
      <c r="A299" s="212"/>
      <c r="B299" s="212"/>
      <c r="C299" s="212"/>
      <c r="D299" s="212"/>
      <c r="E299" s="212"/>
      <c r="F299" s="212"/>
      <c r="G299" s="212"/>
      <c r="J299" s="212"/>
      <c r="K299" s="212"/>
    </row>
    <row r="300" spans="1:11" ht="12.75" customHeight="1">
      <c r="A300" s="212"/>
      <c r="B300" s="212"/>
      <c r="C300" s="212"/>
      <c r="D300" s="212"/>
      <c r="E300" s="212"/>
      <c r="F300" s="212"/>
      <c r="G300" s="212"/>
      <c r="J300" s="212"/>
      <c r="K300" s="212"/>
    </row>
    <row r="301" spans="1:11" ht="12.75" customHeight="1">
      <c r="A301" s="212"/>
      <c r="B301" s="212"/>
      <c r="C301" s="212"/>
      <c r="D301" s="212"/>
      <c r="E301" s="212"/>
      <c r="F301" s="212"/>
      <c r="G301" s="212"/>
      <c r="J301" s="212"/>
      <c r="K301" s="212"/>
    </row>
    <row r="302" spans="1:11" ht="12.75" customHeight="1">
      <c r="A302" s="212"/>
      <c r="B302" s="212"/>
      <c r="C302" s="212"/>
      <c r="D302" s="212"/>
      <c r="E302" s="212"/>
      <c r="F302" s="212"/>
      <c r="G302" s="212"/>
      <c r="J302" s="212"/>
      <c r="K302" s="212"/>
    </row>
    <row r="303" spans="1:11" ht="12.75" customHeight="1">
      <c r="A303" s="212"/>
      <c r="B303" s="212"/>
      <c r="C303" s="212"/>
      <c r="D303" s="212"/>
      <c r="E303" s="212"/>
      <c r="F303" s="212"/>
      <c r="G303" s="212"/>
      <c r="J303" s="212"/>
      <c r="K303" s="212"/>
    </row>
    <row r="304" spans="1:11" ht="12.75" customHeight="1">
      <c r="A304" s="212"/>
      <c r="B304" s="212"/>
      <c r="C304" s="212"/>
      <c r="D304" s="212"/>
      <c r="E304" s="212"/>
      <c r="F304" s="212"/>
      <c r="G304" s="212"/>
      <c r="J304" s="212"/>
      <c r="K304" s="212"/>
    </row>
    <row r="305" spans="1:11" ht="12.75" customHeight="1">
      <c r="A305" s="212"/>
      <c r="B305" s="212"/>
      <c r="C305" s="212"/>
      <c r="D305" s="212"/>
      <c r="E305" s="212"/>
      <c r="F305" s="212"/>
      <c r="G305" s="212"/>
      <c r="J305" s="212"/>
      <c r="K305" s="212"/>
    </row>
    <row r="306" spans="1:11" ht="12.75" customHeight="1">
      <c r="A306" s="212"/>
      <c r="B306" s="212"/>
      <c r="C306" s="212"/>
      <c r="D306" s="212"/>
      <c r="E306" s="212"/>
      <c r="F306" s="212"/>
      <c r="G306" s="212"/>
      <c r="J306" s="212"/>
      <c r="K306" s="212"/>
    </row>
    <row r="307" spans="1:11" ht="12.75" customHeight="1">
      <c r="A307" s="212"/>
      <c r="B307" s="212"/>
      <c r="C307" s="212"/>
      <c r="D307" s="212"/>
      <c r="E307" s="212"/>
      <c r="F307" s="212"/>
      <c r="G307" s="212"/>
      <c r="J307" s="212"/>
      <c r="K307" s="212"/>
    </row>
    <row r="308" spans="1:11" ht="12.75" customHeight="1">
      <c r="A308" s="212"/>
      <c r="B308" s="212"/>
      <c r="C308" s="212"/>
      <c r="D308" s="212"/>
      <c r="E308" s="212"/>
      <c r="F308" s="212"/>
      <c r="G308" s="212"/>
      <c r="J308" s="212"/>
      <c r="K308" s="212"/>
    </row>
    <row r="309" spans="1:11" ht="12.75" customHeight="1">
      <c r="A309" s="212"/>
      <c r="B309" s="212"/>
      <c r="C309" s="212"/>
      <c r="D309" s="212"/>
      <c r="E309" s="212"/>
      <c r="F309" s="212"/>
      <c r="G309" s="212"/>
      <c r="J309" s="212"/>
      <c r="K309" s="212"/>
    </row>
    <row r="310" spans="1:11" ht="12.75" customHeight="1">
      <c r="A310" s="212"/>
      <c r="B310" s="212"/>
      <c r="C310" s="212"/>
      <c r="D310" s="212"/>
      <c r="E310" s="212"/>
      <c r="F310" s="212"/>
      <c r="G310" s="212"/>
      <c r="J310" s="212"/>
      <c r="K310" s="212"/>
    </row>
    <row r="311" spans="1:11" ht="12.75" customHeight="1">
      <c r="A311" s="212"/>
      <c r="B311" s="212"/>
      <c r="C311" s="212"/>
      <c r="D311" s="212"/>
      <c r="E311" s="212"/>
      <c r="F311" s="212"/>
      <c r="G311" s="212"/>
      <c r="J311" s="212"/>
      <c r="K311" s="212"/>
    </row>
    <row r="312" spans="1:11" ht="12.75" customHeight="1">
      <c r="A312" s="212"/>
      <c r="B312" s="212"/>
      <c r="C312" s="212"/>
      <c r="D312" s="212"/>
      <c r="E312" s="212"/>
      <c r="F312" s="212"/>
      <c r="G312" s="212"/>
      <c r="J312" s="212"/>
      <c r="K312" s="212"/>
    </row>
    <row r="313" spans="1:11" ht="12.75" customHeight="1">
      <c r="A313" s="212"/>
      <c r="B313" s="212"/>
      <c r="C313" s="212"/>
      <c r="D313" s="212"/>
      <c r="E313" s="212"/>
      <c r="F313" s="212"/>
      <c r="G313" s="212"/>
      <c r="J313" s="212"/>
      <c r="K313" s="212"/>
    </row>
    <row r="314" spans="1:11" ht="12.75" customHeight="1">
      <c r="A314" s="212"/>
      <c r="B314" s="212"/>
      <c r="C314" s="212"/>
      <c r="D314" s="212"/>
      <c r="E314" s="212"/>
      <c r="F314" s="212"/>
      <c r="G314" s="212"/>
      <c r="J314" s="212"/>
      <c r="K314" s="212"/>
    </row>
    <row r="315" spans="1:11" ht="12.75" customHeight="1">
      <c r="A315" s="212"/>
      <c r="B315" s="212"/>
      <c r="C315" s="212"/>
      <c r="D315" s="212"/>
      <c r="E315" s="212"/>
      <c r="F315" s="212"/>
      <c r="G315" s="212"/>
      <c r="J315" s="212"/>
      <c r="K315" s="212"/>
    </row>
    <row r="316" spans="1:11" ht="12.75" customHeight="1">
      <c r="A316" s="212"/>
      <c r="B316" s="212"/>
      <c r="C316" s="212"/>
      <c r="D316" s="212"/>
      <c r="E316" s="212"/>
      <c r="F316" s="212"/>
      <c r="G316" s="212"/>
      <c r="J316" s="212"/>
      <c r="K316" s="212"/>
    </row>
    <row r="317" spans="1:11" ht="12.75" customHeight="1">
      <c r="A317" s="212"/>
      <c r="B317" s="212"/>
      <c r="C317" s="212"/>
      <c r="D317" s="212"/>
      <c r="E317" s="212"/>
      <c r="F317" s="212"/>
      <c r="G317" s="212"/>
      <c r="J317" s="212"/>
      <c r="K317" s="212"/>
    </row>
    <row r="318" spans="1:11" ht="12.75" customHeight="1">
      <c r="A318" s="212"/>
      <c r="B318" s="212"/>
      <c r="C318" s="212"/>
      <c r="D318" s="212"/>
      <c r="E318" s="212"/>
      <c r="F318" s="212"/>
      <c r="G318" s="212"/>
      <c r="J318" s="212"/>
      <c r="K318" s="212"/>
    </row>
    <row r="319" spans="1:11" ht="12.75" customHeight="1">
      <c r="A319" s="212"/>
      <c r="B319" s="212"/>
      <c r="C319" s="212"/>
      <c r="D319" s="212"/>
      <c r="E319" s="212"/>
      <c r="F319" s="212"/>
      <c r="G319" s="212"/>
      <c r="J319" s="212"/>
      <c r="K319" s="212"/>
    </row>
    <row r="320" spans="1:11" ht="12.75" customHeight="1">
      <c r="A320" s="212"/>
      <c r="B320" s="212"/>
      <c r="C320" s="212"/>
      <c r="D320" s="212"/>
      <c r="E320" s="212"/>
      <c r="F320" s="212"/>
      <c r="G320" s="212"/>
      <c r="J320" s="212"/>
      <c r="K320" s="212"/>
    </row>
    <row r="321" spans="1:11" ht="12.75" customHeight="1">
      <c r="A321" s="212"/>
      <c r="B321" s="212"/>
      <c r="C321" s="212"/>
      <c r="D321" s="212"/>
      <c r="E321" s="212"/>
      <c r="F321" s="212"/>
      <c r="G321" s="212"/>
      <c r="J321" s="212"/>
      <c r="K321" s="212"/>
    </row>
    <row r="322" spans="1:11" ht="12.75" customHeight="1">
      <c r="A322" s="212"/>
      <c r="B322" s="212"/>
      <c r="C322" s="212"/>
      <c r="D322" s="212"/>
      <c r="E322" s="212"/>
      <c r="F322" s="212"/>
      <c r="G322" s="212"/>
      <c r="J322" s="212"/>
      <c r="K322" s="212"/>
    </row>
    <row r="323" spans="1:11" ht="12.75" customHeight="1">
      <c r="A323" s="212"/>
      <c r="B323" s="212"/>
      <c r="C323" s="212"/>
      <c r="D323" s="212"/>
      <c r="E323" s="212"/>
      <c r="F323" s="212"/>
      <c r="G323" s="212"/>
      <c r="J323" s="212"/>
      <c r="K323" s="212"/>
    </row>
    <row r="324" spans="1:11" ht="12.75" customHeight="1">
      <c r="A324" s="212"/>
      <c r="B324" s="212"/>
      <c r="C324" s="212"/>
      <c r="D324" s="212"/>
      <c r="E324" s="212"/>
      <c r="F324" s="212"/>
      <c r="G324" s="212"/>
      <c r="J324" s="212"/>
      <c r="K324" s="212"/>
    </row>
    <row r="325" spans="1:11" ht="12.75" customHeight="1">
      <c r="A325" s="212"/>
      <c r="B325" s="212"/>
      <c r="C325" s="212"/>
      <c r="D325" s="212"/>
      <c r="E325" s="212"/>
      <c r="F325" s="212"/>
      <c r="G325" s="212"/>
      <c r="J325" s="212"/>
      <c r="K325" s="212"/>
    </row>
    <row r="326" spans="1:11" ht="12.75" customHeight="1">
      <c r="A326" s="212"/>
      <c r="B326" s="212"/>
      <c r="C326" s="212"/>
      <c r="D326" s="212"/>
      <c r="E326" s="212"/>
      <c r="F326" s="212"/>
      <c r="G326" s="212"/>
      <c r="J326" s="212"/>
      <c r="K326" s="212"/>
    </row>
    <row r="327" spans="1:11" ht="12.75" customHeight="1">
      <c r="A327" s="212"/>
      <c r="B327" s="212"/>
      <c r="C327" s="212"/>
      <c r="D327" s="212"/>
      <c r="E327" s="212"/>
      <c r="F327" s="212"/>
      <c r="G327" s="212"/>
      <c r="J327" s="212"/>
      <c r="K327" s="212"/>
    </row>
    <row r="328" spans="1:11" ht="12.75" customHeight="1">
      <c r="A328" s="212"/>
      <c r="B328" s="212"/>
      <c r="C328" s="212"/>
      <c r="D328" s="212"/>
      <c r="E328" s="212"/>
      <c r="F328" s="212"/>
      <c r="G328" s="212"/>
      <c r="J328" s="212"/>
      <c r="K328" s="212"/>
    </row>
    <row r="329" spans="1:11" ht="12.75" customHeight="1">
      <c r="A329" s="212"/>
      <c r="B329" s="212"/>
      <c r="C329" s="212"/>
      <c r="D329" s="212"/>
      <c r="E329" s="212"/>
      <c r="F329" s="212"/>
      <c r="G329" s="212"/>
      <c r="J329" s="212"/>
      <c r="K329" s="212"/>
    </row>
    <row r="330" spans="1:11" ht="12.75" customHeight="1">
      <c r="A330" s="212"/>
      <c r="B330" s="212"/>
      <c r="C330" s="212"/>
      <c r="D330" s="212"/>
      <c r="E330" s="212"/>
      <c r="F330" s="212"/>
      <c r="G330" s="212"/>
      <c r="J330" s="212"/>
      <c r="K330" s="212"/>
    </row>
    <row r="331" spans="1:11" ht="12.75" customHeight="1">
      <c r="A331" s="212"/>
      <c r="B331" s="212"/>
      <c r="C331" s="212"/>
      <c r="D331" s="212"/>
      <c r="E331" s="212"/>
      <c r="F331" s="212"/>
      <c r="G331" s="212"/>
      <c r="J331" s="212"/>
      <c r="K331" s="212"/>
    </row>
    <row r="332" spans="1:11" ht="12.75" customHeight="1">
      <c r="A332" s="212"/>
      <c r="B332" s="212"/>
      <c r="C332" s="212"/>
      <c r="D332" s="212"/>
      <c r="E332" s="212"/>
      <c r="F332" s="212"/>
      <c r="G332" s="212"/>
      <c r="J332" s="212"/>
      <c r="K332" s="212"/>
    </row>
    <row r="333" spans="1:11" ht="12.75" customHeight="1">
      <c r="A333" s="212"/>
      <c r="B333" s="212"/>
      <c r="C333" s="212"/>
      <c r="D333" s="212"/>
      <c r="E333" s="212"/>
      <c r="F333" s="212"/>
      <c r="G333" s="212"/>
      <c r="J333" s="212"/>
      <c r="K333" s="212"/>
    </row>
    <row r="334" spans="1:11" ht="12.75" customHeight="1">
      <c r="A334" s="212"/>
      <c r="B334" s="212"/>
      <c r="C334" s="212"/>
      <c r="D334" s="212"/>
      <c r="E334" s="212"/>
      <c r="F334" s="212"/>
      <c r="G334" s="212"/>
      <c r="J334" s="212"/>
      <c r="K334" s="212"/>
    </row>
    <row r="335" spans="1:11" ht="12.75" customHeight="1">
      <c r="A335" s="212"/>
      <c r="B335" s="212"/>
      <c r="C335" s="212"/>
      <c r="D335" s="212"/>
      <c r="E335" s="212"/>
      <c r="F335" s="212"/>
      <c r="G335" s="212"/>
      <c r="J335" s="212"/>
      <c r="K335" s="212"/>
    </row>
    <row r="336" spans="1:11" ht="12.75" customHeight="1">
      <c r="A336" s="212"/>
      <c r="B336" s="212"/>
      <c r="C336" s="212"/>
      <c r="D336" s="212"/>
      <c r="E336" s="212"/>
      <c r="F336" s="212"/>
      <c r="G336" s="212"/>
      <c r="J336" s="212"/>
      <c r="K336" s="212"/>
    </row>
    <row r="337" spans="1:11" ht="12.75" customHeight="1">
      <c r="A337" s="212"/>
      <c r="B337" s="212"/>
      <c r="C337" s="212"/>
      <c r="D337" s="212"/>
      <c r="E337" s="212"/>
      <c r="F337" s="212"/>
      <c r="G337" s="212"/>
      <c r="J337" s="212"/>
      <c r="K337" s="212"/>
    </row>
    <row r="338" spans="1:11" ht="12.75" customHeight="1">
      <c r="A338" s="212"/>
      <c r="B338" s="212"/>
      <c r="C338" s="212"/>
      <c r="D338" s="212"/>
      <c r="E338" s="212"/>
      <c r="F338" s="212"/>
      <c r="G338" s="212"/>
      <c r="J338" s="212"/>
      <c r="K338" s="212"/>
    </row>
    <row r="339" spans="1:11" ht="12.75" customHeight="1">
      <c r="A339" s="212"/>
      <c r="B339" s="212"/>
      <c r="C339" s="212"/>
      <c r="D339" s="212"/>
      <c r="E339" s="212"/>
      <c r="F339" s="212"/>
      <c r="G339" s="212"/>
      <c r="J339" s="212"/>
      <c r="K339" s="212"/>
    </row>
    <row r="340" spans="1:11" ht="12.75" customHeight="1">
      <c r="A340" s="212"/>
      <c r="B340" s="212"/>
      <c r="C340" s="212"/>
      <c r="D340" s="212"/>
      <c r="E340" s="212"/>
      <c r="F340" s="212"/>
      <c r="G340" s="212"/>
      <c r="J340" s="212"/>
      <c r="K340" s="212"/>
    </row>
    <row r="341" spans="1:11" ht="12.75" customHeight="1">
      <c r="A341" s="212"/>
      <c r="B341" s="212"/>
      <c r="C341" s="212"/>
      <c r="D341" s="212"/>
      <c r="E341" s="212"/>
      <c r="F341" s="212"/>
      <c r="G341" s="212"/>
      <c r="J341" s="212"/>
      <c r="K341" s="212"/>
    </row>
    <row r="342" spans="1:11" ht="12.75" customHeight="1">
      <c r="A342" s="212"/>
      <c r="B342" s="212"/>
      <c r="C342" s="212"/>
      <c r="D342" s="212"/>
      <c r="E342" s="212"/>
      <c r="F342" s="212"/>
      <c r="G342" s="212"/>
      <c r="J342" s="212"/>
      <c r="K342" s="212"/>
    </row>
    <row r="343" spans="1:11" ht="12.75" customHeight="1">
      <c r="A343" s="212"/>
      <c r="B343" s="212"/>
      <c r="C343" s="212"/>
      <c r="D343" s="212"/>
      <c r="E343" s="212"/>
      <c r="F343" s="212"/>
      <c r="G343" s="212"/>
      <c r="J343" s="212"/>
      <c r="K343" s="212"/>
    </row>
    <row r="344" spans="1:11" ht="12.75" customHeight="1">
      <c r="A344" s="212"/>
      <c r="B344" s="212"/>
      <c r="C344" s="212"/>
      <c r="D344" s="212"/>
      <c r="E344" s="212"/>
      <c r="F344" s="212"/>
      <c r="G344" s="212"/>
      <c r="J344" s="212"/>
      <c r="K344" s="212"/>
    </row>
    <row r="345" spans="1:11" ht="12.75" customHeight="1">
      <c r="A345" s="212"/>
      <c r="B345" s="212"/>
      <c r="C345" s="212"/>
      <c r="D345" s="212"/>
      <c r="E345" s="212"/>
      <c r="F345" s="212"/>
      <c r="G345" s="212"/>
      <c r="J345" s="212"/>
      <c r="K345" s="212"/>
    </row>
    <row r="346" spans="1:11" ht="12.75" customHeight="1">
      <c r="A346" s="212"/>
      <c r="B346" s="212"/>
      <c r="C346" s="212"/>
      <c r="D346" s="212"/>
      <c r="E346" s="212"/>
      <c r="F346" s="212"/>
      <c r="G346" s="212"/>
      <c r="J346" s="212"/>
      <c r="K346" s="212"/>
    </row>
    <row r="347" spans="1:11" ht="12.75" customHeight="1">
      <c r="A347" s="212"/>
      <c r="B347" s="212"/>
      <c r="C347" s="212"/>
      <c r="D347" s="212"/>
      <c r="E347" s="212"/>
      <c r="F347" s="212"/>
      <c r="G347" s="212"/>
      <c r="J347" s="212"/>
      <c r="K347" s="212"/>
    </row>
    <row r="348" spans="1:11" ht="12.75" customHeight="1">
      <c r="A348" s="212"/>
      <c r="B348" s="212"/>
      <c r="C348" s="212"/>
      <c r="D348" s="212"/>
      <c r="E348" s="212"/>
      <c r="F348" s="212"/>
      <c r="G348" s="212"/>
      <c r="J348" s="212"/>
      <c r="K348" s="212"/>
    </row>
    <row r="349" spans="1:11" ht="12.75" customHeight="1">
      <c r="A349" s="212"/>
      <c r="B349" s="212"/>
      <c r="C349" s="212"/>
      <c r="D349" s="212"/>
      <c r="E349" s="212"/>
      <c r="F349" s="212"/>
      <c r="G349" s="212"/>
      <c r="J349" s="212"/>
      <c r="K349" s="212"/>
    </row>
    <row r="350" spans="1:11" ht="12.75" customHeight="1">
      <c r="A350" s="212"/>
      <c r="B350" s="212"/>
      <c r="C350" s="212"/>
      <c r="D350" s="212"/>
      <c r="E350" s="212"/>
      <c r="F350" s="212"/>
      <c r="G350" s="212"/>
      <c r="J350" s="212"/>
      <c r="K350" s="212"/>
    </row>
    <row r="351" spans="1:11" ht="12.75" customHeight="1">
      <c r="A351" s="212"/>
      <c r="B351" s="212"/>
      <c r="C351" s="212"/>
      <c r="D351" s="212"/>
      <c r="E351" s="212"/>
      <c r="F351" s="212"/>
      <c r="G351" s="212"/>
      <c r="J351" s="212"/>
      <c r="K351" s="212"/>
    </row>
    <row r="352" spans="1:11" ht="12.75" customHeight="1">
      <c r="A352" s="212"/>
      <c r="B352" s="212"/>
      <c r="C352" s="212"/>
      <c r="D352" s="212"/>
      <c r="E352" s="212"/>
      <c r="F352" s="212"/>
      <c r="G352" s="212"/>
      <c r="J352" s="212"/>
      <c r="K352" s="212"/>
    </row>
    <row r="353" spans="1:11" ht="12.75" customHeight="1">
      <c r="A353" s="212"/>
      <c r="B353" s="212"/>
      <c r="C353" s="212"/>
      <c r="D353" s="212"/>
      <c r="E353" s="212"/>
      <c r="F353" s="212"/>
      <c r="G353" s="212"/>
      <c r="J353" s="212"/>
      <c r="K353" s="212"/>
    </row>
    <row r="354" spans="1:11" ht="12.75" customHeight="1">
      <c r="A354" s="212"/>
      <c r="B354" s="212"/>
      <c r="C354" s="212"/>
      <c r="D354" s="212"/>
      <c r="E354" s="212"/>
      <c r="F354" s="212"/>
      <c r="G354" s="212"/>
      <c r="J354" s="212"/>
      <c r="K354" s="212"/>
    </row>
    <row r="355" spans="1:11" ht="12.75" customHeight="1">
      <c r="A355" s="212"/>
      <c r="B355" s="212"/>
      <c r="C355" s="212"/>
      <c r="D355" s="212"/>
      <c r="E355" s="212"/>
      <c r="F355" s="212"/>
      <c r="G355" s="212"/>
      <c r="J355" s="212"/>
      <c r="K355" s="212"/>
    </row>
    <row r="356" spans="1:11" ht="12.75" customHeight="1">
      <c r="A356" s="212"/>
      <c r="B356" s="212"/>
      <c r="C356" s="212"/>
      <c r="D356" s="212"/>
      <c r="E356" s="212"/>
      <c r="F356" s="212"/>
      <c r="G356" s="212"/>
      <c r="J356" s="212"/>
      <c r="K356" s="212"/>
    </row>
    <row r="357" spans="1:11" ht="12.75" customHeight="1">
      <c r="A357" s="212"/>
      <c r="B357" s="212"/>
      <c r="C357" s="212"/>
      <c r="D357" s="212"/>
      <c r="E357" s="212"/>
      <c r="F357" s="212"/>
      <c r="G357" s="212"/>
      <c r="J357" s="212"/>
      <c r="K357" s="212"/>
    </row>
    <row r="358" spans="1:11" ht="12.75" customHeight="1">
      <c r="A358" s="212"/>
      <c r="B358" s="212"/>
      <c r="C358" s="212"/>
      <c r="D358" s="212"/>
      <c r="E358" s="212"/>
      <c r="F358" s="212"/>
      <c r="G358" s="212"/>
      <c r="J358" s="212"/>
      <c r="K358" s="212"/>
    </row>
    <row r="359" spans="1:11" ht="12.75" customHeight="1">
      <c r="A359" s="212"/>
      <c r="B359" s="212"/>
      <c r="C359" s="212"/>
      <c r="D359" s="212"/>
      <c r="E359" s="212"/>
      <c r="F359" s="212"/>
      <c r="G359" s="212"/>
      <c r="J359" s="212"/>
      <c r="K359" s="212"/>
    </row>
    <row r="360" spans="1:11" ht="12.75" customHeight="1">
      <c r="A360" s="212"/>
      <c r="B360" s="212"/>
      <c r="C360" s="212"/>
      <c r="D360" s="212"/>
      <c r="E360" s="212"/>
      <c r="F360" s="212"/>
      <c r="G360" s="212"/>
      <c r="J360" s="212"/>
      <c r="K360" s="212"/>
    </row>
    <row r="361" spans="1:11" ht="12.75" customHeight="1">
      <c r="A361" s="212"/>
      <c r="B361" s="212"/>
      <c r="C361" s="212"/>
      <c r="D361" s="212"/>
      <c r="E361" s="212"/>
      <c r="F361" s="212"/>
      <c r="G361" s="212"/>
      <c r="J361" s="212"/>
      <c r="K361" s="212"/>
    </row>
    <row r="362" spans="1:11" ht="12.75" customHeight="1">
      <c r="A362" s="212"/>
      <c r="B362" s="212"/>
      <c r="C362" s="212"/>
      <c r="D362" s="212"/>
      <c r="E362" s="212"/>
      <c r="F362" s="212"/>
      <c r="G362" s="212"/>
      <c r="J362" s="212"/>
      <c r="K362" s="212"/>
    </row>
    <row r="363" spans="1:11" ht="12.75" customHeight="1">
      <c r="A363" s="212"/>
      <c r="B363" s="212"/>
      <c r="C363" s="212"/>
      <c r="D363" s="212"/>
      <c r="E363" s="212"/>
      <c r="F363" s="212"/>
      <c r="G363" s="212"/>
      <c r="J363" s="212"/>
      <c r="K363" s="212"/>
    </row>
    <row r="364" spans="1:11" ht="12.75" customHeight="1">
      <c r="A364" s="212"/>
      <c r="B364" s="212"/>
      <c r="C364" s="212"/>
      <c r="D364" s="212"/>
      <c r="E364" s="212"/>
      <c r="F364" s="212"/>
      <c r="G364" s="212"/>
      <c r="J364" s="212"/>
      <c r="K364" s="212"/>
    </row>
    <row r="365" spans="1:11" ht="12.75" customHeight="1">
      <c r="A365" s="212"/>
      <c r="B365" s="212"/>
      <c r="C365" s="212"/>
      <c r="D365" s="212"/>
      <c r="E365" s="212"/>
      <c r="F365" s="212"/>
      <c r="G365" s="212"/>
      <c r="J365" s="212"/>
      <c r="K365" s="212"/>
    </row>
    <row r="366" spans="1:11" ht="12.75" customHeight="1">
      <c r="A366" s="212"/>
      <c r="B366" s="212"/>
      <c r="C366" s="212"/>
      <c r="D366" s="212"/>
      <c r="E366" s="212"/>
      <c r="F366" s="212"/>
      <c r="G366" s="212"/>
      <c r="J366" s="212"/>
      <c r="K366" s="212"/>
    </row>
    <row r="367" spans="1:11" ht="12.75" customHeight="1">
      <c r="A367" s="212"/>
      <c r="B367" s="212"/>
      <c r="C367" s="212"/>
      <c r="D367" s="212"/>
      <c r="E367" s="212"/>
      <c r="F367" s="212"/>
      <c r="G367" s="212"/>
      <c r="J367" s="212"/>
      <c r="K367" s="212"/>
    </row>
    <row r="368" spans="1:11" ht="12.75" customHeight="1">
      <c r="A368" s="212"/>
      <c r="B368" s="212"/>
      <c r="C368" s="212"/>
      <c r="D368" s="212"/>
      <c r="E368" s="212"/>
      <c r="F368" s="212"/>
      <c r="G368" s="212"/>
      <c r="J368" s="212"/>
      <c r="K368" s="212"/>
    </row>
    <row r="369" spans="1:11" ht="12.75" customHeight="1">
      <c r="A369" s="212"/>
      <c r="B369" s="212"/>
      <c r="C369" s="212"/>
      <c r="D369" s="212"/>
      <c r="E369" s="212"/>
      <c r="F369" s="212"/>
      <c r="G369" s="212"/>
      <c r="J369" s="212"/>
      <c r="K369" s="212"/>
    </row>
    <row r="370" spans="1:11" ht="12.75" customHeight="1">
      <c r="A370" s="212"/>
      <c r="B370" s="212"/>
      <c r="C370" s="212"/>
      <c r="D370" s="212"/>
      <c r="E370" s="212"/>
      <c r="F370" s="212"/>
      <c r="G370" s="212"/>
      <c r="J370" s="212"/>
      <c r="K370" s="212"/>
    </row>
    <row r="371" spans="1:11" ht="12.75" customHeight="1">
      <c r="A371" s="212"/>
      <c r="B371" s="212"/>
      <c r="C371" s="212"/>
      <c r="D371" s="212"/>
      <c r="E371" s="212"/>
      <c r="F371" s="212"/>
      <c r="G371" s="212"/>
      <c r="J371" s="212"/>
      <c r="K371" s="212"/>
    </row>
    <row r="372" spans="1:11" ht="12.75" customHeight="1">
      <c r="A372" s="212"/>
      <c r="B372" s="212"/>
      <c r="C372" s="212"/>
      <c r="D372" s="212"/>
      <c r="E372" s="212"/>
      <c r="F372" s="212"/>
      <c r="G372" s="212"/>
      <c r="J372" s="212"/>
      <c r="K372" s="212"/>
    </row>
    <row r="373" spans="1:11" ht="12.75" customHeight="1">
      <c r="A373" s="212"/>
      <c r="B373" s="212"/>
      <c r="C373" s="212"/>
      <c r="D373" s="212"/>
      <c r="E373" s="212"/>
      <c r="F373" s="212"/>
      <c r="G373" s="212"/>
      <c r="J373" s="212"/>
      <c r="K373" s="212"/>
    </row>
    <row r="374" spans="1:11" ht="12.75" customHeight="1">
      <c r="A374" s="212"/>
      <c r="B374" s="212"/>
      <c r="C374" s="212"/>
      <c r="D374" s="212"/>
      <c r="E374" s="212"/>
      <c r="F374" s="212"/>
      <c r="G374" s="212"/>
      <c r="J374" s="212"/>
      <c r="K374" s="212"/>
    </row>
    <row r="375" spans="1:11" ht="12.75" customHeight="1">
      <c r="A375" s="212"/>
      <c r="B375" s="212"/>
      <c r="C375" s="212"/>
      <c r="D375" s="212"/>
      <c r="E375" s="212"/>
      <c r="F375" s="212"/>
      <c r="G375" s="212"/>
      <c r="J375" s="212"/>
      <c r="K375" s="212"/>
    </row>
    <row r="376" spans="1:11" ht="12.75" customHeight="1">
      <c r="A376" s="212"/>
      <c r="B376" s="212"/>
      <c r="C376" s="212"/>
      <c r="D376" s="212"/>
      <c r="E376" s="212"/>
      <c r="F376" s="212"/>
      <c r="G376" s="212"/>
      <c r="J376" s="212"/>
      <c r="K376" s="212"/>
    </row>
    <row r="377" spans="1:11" ht="12.75" customHeight="1">
      <c r="A377" s="212"/>
      <c r="B377" s="212"/>
      <c r="C377" s="212"/>
      <c r="D377" s="212"/>
      <c r="E377" s="212"/>
      <c r="F377" s="212"/>
      <c r="G377" s="212"/>
      <c r="J377" s="212"/>
      <c r="K377" s="212"/>
    </row>
    <row r="378" spans="1:11" ht="12.75" customHeight="1">
      <c r="A378" s="212"/>
      <c r="B378" s="212"/>
      <c r="C378" s="212"/>
      <c r="D378" s="212"/>
      <c r="E378" s="212"/>
      <c r="F378" s="212"/>
      <c r="G378" s="212"/>
      <c r="J378" s="212"/>
      <c r="K378" s="212"/>
    </row>
    <row r="379" spans="1:11" ht="12.75" customHeight="1">
      <c r="A379" s="212"/>
      <c r="B379" s="212"/>
      <c r="C379" s="212"/>
      <c r="D379" s="212"/>
      <c r="E379" s="212"/>
      <c r="F379" s="212"/>
      <c r="G379" s="212"/>
      <c r="J379" s="212"/>
      <c r="K379" s="212"/>
    </row>
    <row r="380" spans="1:11" ht="12.75" customHeight="1">
      <c r="A380" s="212"/>
      <c r="B380" s="212"/>
      <c r="C380" s="212"/>
      <c r="D380" s="212"/>
      <c r="E380" s="212"/>
      <c r="F380" s="212"/>
      <c r="G380" s="212"/>
      <c r="J380" s="212"/>
      <c r="K380" s="212"/>
    </row>
    <row r="381" spans="1:11" ht="12.75" customHeight="1">
      <c r="A381" s="212"/>
      <c r="B381" s="212"/>
      <c r="C381" s="212"/>
      <c r="D381" s="212"/>
      <c r="E381" s="212"/>
      <c r="F381" s="212"/>
      <c r="G381" s="212"/>
      <c r="J381" s="212"/>
      <c r="K381" s="212"/>
    </row>
    <row r="382" spans="1:11" ht="12.75" customHeight="1">
      <c r="A382" s="212"/>
      <c r="B382" s="212"/>
      <c r="C382" s="212"/>
      <c r="D382" s="212"/>
      <c r="E382" s="212"/>
      <c r="F382" s="212"/>
      <c r="G382" s="212"/>
      <c r="J382" s="212"/>
      <c r="K382" s="212"/>
    </row>
    <row r="383" spans="1:11" ht="12.75" customHeight="1">
      <c r="A383" s="212"/>
      <c r="B383" s="212"/>
      <c r="C383" s="212"/>
      <c r="D383" s="212"/>
      <c r="E383" s="212"/>
      <c r="F383" s="212"/>
      <c r="G383" s="212"/>
      <c r="J383" s="212"/>
      <c r="K383" s="212"/>
    </row>
    <row r="384" spans="1:11" ht="12.75" customHeight="1">
      <c r="A384" s="212"/>
      <c r="B384" s="212"/>
      <c r="C384" s="212"/>
      <c r="D384" s="212"/>
      <c r="E384" s="212"/>
      <c r="F384" s="212"/>
      <c r="G384" s="212"/>
      <c r="J384" s="212"/>
      <c r="K384" s="212"/>
    </row>
    <row r="385" spans="1:11" ht="12.75" customHeight="1">
      <c r="A385" s="212"/>
      <c r="B385" s="212"/>
      <c r="C385" s="212"/>
      <c r="D385" s="212"/>
      <c r="E385" s="212"/>
      <c r="F385" s="212"/>
      <c r="G385" s="212"/>
      <c r="J385" s="212"/>
      <c r="K385" s="212"/>
    </row>
    <row r="386" spans="1:11" ht="12.75" customHeight="1">
      <c r="A386" s="212"/>
      <c r="B386" s="212"/>
      <c r="C386" s="212"/>
      <c r="D386" s="212"/>
      <c r="E386" s="212"/>
      <c r="F386" s="212"/>
      <c r="G386" s="212"/>
      <c r="J386" s="212"/>
      <c r="K386" s="212"/>
    </row>
    <row r="387" spans="1:11" ht="12.75" customHeight="1">
      <c r="A387" s="212"/>
      <c r="B387" s="212"/>
      <c r="C387" s="212"/>
      <c r="D387" s="212"/>
      <c r="E387" s="212"/>
      <c r="F387" s="212"/>
      <c r="G387" s="212"/>
      <c r="J387" s="212"/>
      <c r="K387" s="212"/>
    </row>
    <row r="388" spans="1:11" ht="12.75" customHeight="1">
      <c r="A388" s="212"/>
      <c r="B388" s="212"/>
      <c r="C388" s="212"/>
      <c r="D388" s="212"/>
      <c r="E388" s="212"/>
      <c r="F388" s="212"/>
      <c r="G388" s="212"/>
      <c r="J388" s="212"/>
      <c r="K388" s="212"/>
    </row>
    <row r="389" spans="1:11" ht="12.75" customHeight="1">
      <c r="A389" s="212"/>
      <c r="B389" s="212"/>
      <c r="C389" s="212"/>
      <c r="D389" s="212"/>
      <c r="E389" s="212"/>
      <c r="F389" s="212"/>
      <c r="G389" s="212"/>
      <c r="J389" s="212"/>
      <c r="K389" s="212"/>
    </row>
    <row r="390" spans="1:11" ht="12.75" customHeight="1">
      <c r="A390" s="212"/>
      <c r="B390" s="212"/>
      <c r="C390" s="212"/>
      <c r="D390" s="212"/>
      <c r="E390" s="212"/>
      <c r="F390" s="212"/>
      <c r="G390" s="212"/>
      <c r="J390" s="212"/>
      <c r="K390" s="212"/>
    </row>
    <row r="391" spans="1:11" ht="12.75" customHeight="1">
      <c r="A391" s="212"/>
      <c r="B391" s="212"/>
      <c r="C391" s="212"/>
      <c r="D391" s="212"/>
      <c r="E391" s="212"/>
      <c r="F391" s="212"/>
      <c r="G391" s="212"/>
      <c r="J391" s="212"/>
      <c r="K391" s="212"/>
    </row>
    <row r="392" spans="1:11" ht="12.75" customHeight="1">
      <c r="A392" s="212"/>
      <c r="B392" s="212"/>
      <c r="C392" s="212"/>
      <c r="D392" s="212"/>
      <c r="E392" s="212"/>
      <c r="F392" s="212"/>
      <c r="G392" s="212"/>
      <c r="J392" s="212"/>
      <c r="K392" s="212"/>
    </row>
    <row r="393" spans="1:11" ht="12.75" customHeight="1">
      <c r="A393" s="212"/>
      <c r="B393" s="212"/>
      <c r="C393" s="212"/>
      <c r="D393" s="212"/>
      <c r="E393" s="212"/>
      <c r="F393" s="212"/>
      <c r="G393" s="212"/>
      <c r="J393" s="212"/>
      <c r="K393" s="212"/>
    </row>
    <row r="394" spans="1:11" ht="12.75" customHeight="1">
      <c r="A394" s="212"/>
      <c r="B394" s="212"/>
      <c r="C394" s="212"/>
      <c r="D394" s="212"/>
      <c r="E394" s="212"/>
      <c r="F394" s="212"/>
      <c r="G394" s="212"/>
      <c r="J394" s="212"/>
      <c r="K394" s="212"/>
    </row>
    <row r="395" spans="1:11" ht="12.75" customHeight="1">
      <c r="A395" s="212"/>
      <c r="B395" s="212"/>
      <c r="C395" s="212"/>
      <c r="D395" s="212"/>
      <c r="E395" s="212"/>
      <c r="F395" s="212"/>
      <c r="G395" s="212"/>
      <c r="J395" s="212"/>
      <c r="K395" s="212"/>
    </row>
    <row r="396" spans="1:11" ht="12.75" customHeight="1">
      <c r="A396" s="212"/>
      <c r="B396" s="212"/>
      <c r="C396" s="212"/>
      <c r="D396" s="212"/>
      <c r="E396" s="212"/>
      <c r="F396" s="212"/>
      <c r="G396" s="212"/>
      <c r="J396" s="212"/>
      <c r="K396" s="212"/>
    </row>
    <row r="397" spans="1:11" ht="12.75" customHeight="1">
      <c r="A397" s="212"/>
      <c r="B397" s="212"/>
      <c r="C397" s="212"/>
      <c r="D397" s="212"/>
      <c r="E397" s="212"/>
      <c r="F397" s="212"/>
      <c r="G397" s="212"/>
      <c r="J397" s="212"/>
      <c r="K397" s="212"/>
    </row>
    <row r="398" spans="1:11" ht="12.75" customHeight="1">
      <c r="A398" s="212"/>
      <c r="B398" s="212"/>
      <c r="C398" s="212"/>
      <c r="D398" s="212"/>
      <c r="E398" s="212"/>
      <c r="F398" s="212"/>
      <c r="G398" s="212"/>
      <c r="J398" s="212"/>
      <c r="K398" s="212"/>
    </row>
    <row r="399" spans="1:11" ht="12.75" customHeight="1">
      <c r="A399" s="212"/>
      <c r="B399" s="212"/>
      <c r="C399" s="212"/>
      <c r="D399" s="212"/>
      <c r="E399" s="212"/>
      <c r="F399" s="212"/>
      <c r="G399" s="212"/>
      <c r="J399" s="212"/>
      <c r="K399" s="212"/>
    </row>
    <row r="400" spans="1:11" ht="12.75" customHeight="1">
      <c r="A400" s="212"/>
      <c r="B400" s="212"/>
      <c r="C400" s="212"/>
      <c r="D400" s="212"/>
      <c r="E400" s="212"/>
      <c r="F400" s="212"/>
      <c r="G400" s="212"/>
      <c r="J400" s="212"/>
      <c r="K400" s="212"/>
    </row>
    <row r="401" spans="1:11" ht="12.75" customHeight="1">
      <c r="A401" s="212"/>
      <c r="B401" s="212"/>
      <c r="C401" s="212"/>
      <c r="D401" s="212"/>
      <c r="E401" s="212"/>
      <c r="F401" s="212"/>
      <c r="G401" s="212"/>
      <c r="J401" s="212"/>
      <c r="K401" s="212"/>
    </row>
    <row r="402" spans="1:11" ht="12.75" customHeight="1">
      <c r="A402" s="212"/>
      <c r="B402" s="212"/>
      <c r="C402" s="212"/>
      <c r="D402" s="212"/>
      <c r="E402" s="212"/>
      <c r="F402" s="212"/>
      <c r="G402" s="212"/>
      <c r="J402" s="212"/>
      <c r="K402" s="212"/>
    </row>
    <row r="403" spans="1:11" ht="12.75" customHeight="1">
      <c r="A403" s="212"/>
      <c r="B403" s="212"/>
      <c r="C403" s="212"/>
      <c r="D403" s="212"/>
      <c r="E403" s="212"/>
      <c r="F403" s="212"/>
      <c r="G403" s="212"/>
      <c r="J403" s="212"/>
      <c r="K403" s="212"/>
    </row>
    <row r="404" spans="1:11" ht="12.75" customHeight="1">
      <c r="A404" s="212"/>
      <c r="B404" s="212"/>
      <c r="C404" s="212"/>
      <c r="D404" s="212"/>
      <c r="E404" s="212"/>
      <c r="F404" s="212"/>
      <c r="G404" s="212"/>
      <c r="J404" s="212"/>
      <c r="K404" s="212"/>
    </row>
    <row r="405" spans="1:11" ht="12.75" customHeight="1">
      <c r="A405" s="212"/>
      <c r="B405" s="212"/>
      <c r="C405" s="212"/>
      <c r="D405" s="212"/>
      <c r="E405" s="212"/>
      <c r="F405" s="212"/>
      <c r="G405" s="212"/>
      <c r="J405" s="212"/>
      <c r="K405" s="212"/>
    </row>
    <row r="406" spans="1:11" ht="12.75" customHeight="1">
      <c r="A406" s="212"/>
      <c r="B406" s="212"/>
      <c r="C406" s="212"/>
      <c r="D406" s="212"/>
      <c r="E406" s="212"/>
      <c r="F406" s="212"/>
      <c r="G406" s="212"/>
      <c r="J406" s="212"/>
      <c r="K406" s="212"/>
    </row>
    <row r="407" spans="1:11" ht="12.75" customHeight="1">
      <c r="A407" s="212"/>
      <c r="B407" s="212"/>
      <c r="C407" s="212"/>
      <c r="D407" s="212"/>
      <c r="E407" s="212"/>
      <c r="F407" s="212"/>
      <c r="G407" s="212"/>
      <c r="J407" s="212"/>
      <c r="K407" s="212"/>
    </row>
    <row r="408" spans="1:11" ht="12.75" customHeight="1">
      <c r="A408" s="212"/>
      <c r="B408" s="212"/>
      <c r="C408" s="212"/>
      <c r="D408" s="212"/>
      <c r="E408" s="212"/>
      <c r="F408" s="212"/>
      <c r="G408" s="212"/>
      <c r="J408" s="212"/>
      <c r="K408" s="212"/>
    </row>
    <row r="409" spans="1:11" ht="12.75" customHeight="1">
      <c r="A409" s="212"/>
      <c r="B409" s="212"/>
      <c r="C409" s="212"/>
      <c r="D409" s="212"/>
      <c r="E409" s="212"/>
      <c r="F409" s="212"/>
      <c r="G409" s="212"/>
      <c r="J409" s="212"/>
      <c r="K409" s="212"/>
    </row>
    <row r="410" spans="1:11" ht="12.75" customHeight="1">
      <c r="A410" s="212"/>
      <c r="B410" s="212"/>
      <c r="C410" s="212"/>
      <c r="D410" s="212"/>
      <c r="E410" s="212"/>
      <c r="F410" s="212"/>
      <c r="G410" s="212"/>
      <c r="J410" s="212"/>
      <c r="K410" s="212"/>
    </row>
    <row r="411" spans="1:11" ht="12.75" customHeight="1">
      <c r="A411" s="212"/>
      <c r="B411" s="212"/>
      <c r="C411" s="212"/>
      <c r="D411" s="212"/>
      <c r="E411" s="212"/>
      <c r="F411" s="212"/>
      <c r="G411" s="212"/>
      <c r="J411" s="212"/>
      <c r="K411" s="212"/>
    </row>
    <row r="412" spans="1:11" ht="12.75" customHeight="1">
      <c r="A412" s="212"/>
      <c r="B412" s="212"/>
      <c r="C412" s="212"/>
      <c r="D412" s="212"/>
      <c r="E412" s="212"/>
      <c r="F412" s="212"/>
      <c r="G412" s="212"/>
      <c r="J412" s="212"/>
      <c r="K412" s="212"/>
    </row>
    <row r="413" spans="1:11" ht="12.75" customHeight="1">
      <c r="A413" s="212"/>
      <c r="B413" s="212"/>
      <c r="C413" s="212"/>
      <c r="D413" s="212"/>
      <c r="E413" s="212"/>
      <c r="F413" s="212"/>
      <c r="G413" s="212"/>
      <c r="J413" s="212"/>
      <c r="K413" s="212"/>
    </row>
    <row r="414" spans="1:11" ht="12.75" customHeight="1">
      <c r="A414" s="212"/>
      <c r="B414" s="212"/>
      <c r="C414" s="212"/>
      <c r="D414" s="212"/>
      <c r="E414" s="212"/>
      <c r="F414" s="212"/>
      <c r="G414" s="212"/>
      <c r="J414" s="212"/>
      <c r="K414" s="212"/>
    </row>
    <row r="415" spans="1:11" ht="12.75" customHeight="1">
      <c r="A415" s="212"/>
      <c r="B415" s="212"/>
      <c r="C415" s="212"/>
      <c r="D415" s="212"/>
      <c r="E415" s="212"/>
      <c r="F415" s="212"/>
      <c r="G415" s="212"/>
      <c r="J415" s="212"/>
      <c r="K415" s="212"/>
    </row>
    <row r="416" spans="1:11" ht="12.75" customHeight="1">
      <c r="A416" s="212"/>
      <c r="B416" s="212"/>
      <c r="C416" s="212"/>
      <c r="D416" s="212"/>
      <c r="E416" s="212"/>
      <c r="F416" s="212"/>
      <c r="G416" s="212"/>
      <c r="J416" s="212"/>
      <c r="K416" s="212"/>
    </row>
    <row r="417" spans="1:11" ht="12.75" customHeight="1">
      <c r="A417" s="212"/>
      <c r="B417" s="212"/>
      <c r="C417" s="212"/>
      <c r="D417" s="212"/>
      <c r="E417" s="212"/>
      <c r="F417" s="212"/>
      <c r="G417" s="212"/>
      <c r="J417" s="212"/>
      <c r="K417" s="212"/>
    </row>
    <row r="418" spans="1:11" ht="12.75" customHeight="1">
      <c r="A418" s="212"/>
      <c r="B418" s="212"/>
      <c r="C418" s="212"/>
      <c r="D418" s="212"/>
      <c r="E418" s="212"/>
      <c r="F418" s="212"/>
      <c r="G418" s="212"/>
      <c r="J418" s="212"/>
      <c r="K418" s="212"/>
    </row>
    <row r="419" spans="1:11" ht="12.75" customHeight="1">
      <c r="A419" s="212"/>
      <c r="B419" s="212"/>
      <c r="C419" s="212"/>
      <c r="D419" s="212"/>
      <c r="E419" s="212"/>
      <c r="F419" s="212"/>
      <c r="G419" s="212"/>
      <c r="J419" s="212"/>
      <c r="K419" s="212"/>
    </row>
    <row r="420" spans="1:11" ht="12.75" customHeight="1">
      <c r="A420" s="212"/>
      <c r="B420" s="212"/>
      <c r="C420" s="212"/>
      <c r="D420" s="212"/>
      <c r="E420" s="212"/>
      <c r="F420" s="212"/>
      <c r="G420" s="212"/>
      <c r="J420" s="212"/>
      <c r="K420" s="212"/>
    </row>
    <row r="421" spans="1:11" ht="12.75" customHeight="1">
      <c r="A421" s="212"/>
      <c r="B421" s="212"/>
      <c r="C421" s="212"/>
      <c r="D421" s="212"/>
      <c r="E421" s="212"/>
      <c r="F421" s="212"/>
      <c r="G421" s="212"/>
      <c r="J421" s="212"/>
      <c r="K421" s="212"/>
    </row>
    <row r="422" spans="1:11" ht="12.75" customHeight="1">
      <c r="A422" s="212"/>
      <c r="B422" s="212"/>
      <c r="C422" s="212"/>
      <c r="D422" s="212"/>
      <c r="E422" s="212"/>
      <c r="F422" s="212"/>
      <c r="G422" s="212"/>
      <c r="J422" s="212"/>
      <c r="K422" s="212"/>
    </row>
    <row r="423" spans="1:11" ht="12.75" customHeight="1">
      <c r="A423" s="212"/>
      <c r="B423" s="212"/>
      <c r="C423" s="212"/>
      <c r="D423" s="212"/>
      <c r="E423" s="212"/>
      <c r="F423" s="212"/>
      <c r="G423" s="212"/>
      <c r="J423" s="212"/>
      <c r="K423" s="212"/>
    </row>
    <row r="424" spans="1:11" ht="12.75" customHeight="1">
      <c r="A424" s="212"/>
      <c r="B424" s="212"/>
      <c r="C424" s="212"/>
      <c r="D424" s="212"/>
      <c r="E424" s="212"/>
      <c r="F424" s="212"/>
      <c r="G424" s="212"/>
      <c r="J424" s="212"/>
      <c r="K424" s="212"/>
    </row>
    <row r="425" spans="1:11" ht="12.75" customHeight="1">
      <c r="A425" s="212"/>
      <c r="B425" s="212"/>
      <c r="C425" s="212"/>
      <c r="D425" s="212"/>
      <c r="E425" s="212"/>
      <c r="F425" s="212"/>
      <c r="G425" s="212"/>
      <c r="J425" s="212"/>
      <c r="K425" s="212"/>
    </row>
    <row r="426" spans="1:11" ht="12.75" customHeight="1">
      <c r="A426" s="212"/>
      <c r="B426" s="212"/>
      <c r="C426" s="212"/>
      <c r="D426" s="212"/>
      <c r="E426" s="212"/>
      <c r="F426" s="212"/>
      <c r="G426" s="212"/>
      <c r="J426" s="212"/>
      <c r="K426" s="212"/>
    </row>
    <row r="427" spans="1:11" ht="12.75" customHeight="1">
      <c r="A427" s="212"/>
      <c r="B427" s="212"/>
      <c r="C427" s="212"/>
      <c r="D427" s="212"/>
      <c r="E427" s="212"/>
      <c r="F427" s="212"/>
      <c r="G427" s="212"/>
      <c r="J427" s="212"/>
      <c r="K427" s="212"/>
    </row>
    <row r="428" spans="1:11" ht="12.75" customHeight="1">
      <c r="A428" s="212"/>
      <c r="B428" s="212"/>
      <c r="C428" s="212"/>
      <c r="D428" s="212"/>
      <c r="E428" s="212"/>
      <c r="F428" s="212"/>
      <c r="G428" s="212"/>
      <c r="J428" s="212"/>
      <c r="K428" s="212"/>
    </row>
    <row r="429" spans="1:11" ht="12.75" customHeight="1">
      <c r="A429" s="212"/>
      <c r="B429" s="212"/>
      <c r="C429" s="212"/>
      <c r="D429" s="212"/>
      <c r="E429" s="212"/>
      <c r="F429" s="212"/>
      <c r="G429" s="212"/>
      <c r="J429" s="212"/>
      <c r="K429" s="212"/>
    </row>
    <row r="430" spans="1:11" ht="12.75" customHeight="1">
      <c r="A430" s="212"/>
      <c r="B430" s="212"/>
      <c r="C430" s="212"/>
      <c r="D430" s="212"/>
      <c r="E430" s="212"/>
      <c r="F430" s="212"/>
      <c r="G430" s="212"/>
      <c r="J430" s="212"/>
      <c r="K430" s="212"/>
    </row>
    <row r="431" spans="1:11" ht="12.75" customHeight="1">
      <c r="A431" s="212"/>
      <c r="B431" s="212"/>
      <c r="C431" s="212"/>
      <c r="D431" s="212"/>
      <c r="E431" s="212"/>
      <c r="F431" s="212"/>
      <c r="G431" s="212"/>
      <c r="J431" s="212"/>
      <c r="K431" s="212"/>
    </row>
    <row r="432" spans="1:11" ht="12.75" customHeight="1">
      <c r="A432" s="212"/>
      <c r="B432" s="212"/>
      <c r="C432" s="212"/>
      <c r="D432" s="212"/>
      <c r="E432" s="212"/>
      <c r="F432" s="212"/>
      <c r="G432" s="212"/>
      <c r="J432" s="212"/>
      <c r="K432" s="212"/>
    </row>
    <row r="433" spans="1:11" ht="12.75" customHeight="1">
      <c r="A433" s="212"/>
      <c r="B433" s="212"/>
      <c r="C433" s="212"/>
      <c r="D433" s="212"/>
      <c r="E433" s="212"/>
      <c r="F433" s="212"/>
      <c r="G433" s="212"/>
      <c r="J433" s="212"/>
      <c r="K433" s="212"/>
    </row>
    <row r="434" spans="1:11" ht="12.75" customHeight="1">
      <c r="A434" s="212"/>
      <c r="B434" s="212"/>
      <c r="C434" s="212"/>
      <c r="D434" s="212"/>
      <c r="E434" s="212"/>
      <c r="F434" s="212"/>
      <c r="G434" s="212"/>
      <c r="J434" s="212"/>
      <c r="K434" s="212"/>
    </row>
    <row r="435" spans="1:11" ht="12.75" customHeight="1">
      <c r="A435" s="212"/>
      <c r="B435" s="212"/>
      <c r="C435" s="212"/>
      <c r="D435" s="212"/>
      <c r="E435" s="212"/>
      <c r="F435" s="212"/>
      <c r="G435" s="212"/>
      <c r="J435" s="212"/>
      <c r="K435" s="212"/>
    </row>
    <row r="436" spans="1:11" ht="12.75" customHeight="1">
      <c r="A436" s="212"/>
      <c r="B436" s="212"/>
      <c r="C436" s="212"/>
      <c r="D436" s="212"/>
      <c r="E436" s="212"/>
      <c r="F436" s="212"/>
      <c r="G436" s="212"/>
      <c r="J436" s="212"/>
      <c r="K436" s="212"/>
    </row>
    <row r="437" spans="1:11" ht="12.75" customHeight="1">
      <c r="A437" s="212"/>
      <c r="B437" s="212"/>
      <c r="C437" s="212"/>
      <c r="D437" s="212"/>
      <c r="E437" s="212"/>
      <c r="F437" s="212"/>
      <c r="G437" s="212"/>
      <c r="J437" s="212"/>
      <c r="K437" s="212"/>
    </row>
    <row r="438" spans="1:11" ht="12.75" customHeight="1">
      <c r="A438" s="212"/>
      <c r="B438" s="212"/>
      <c r="C438" s="212"/>
      <c r="D438" s="212"/>
      <c r="E438" s="212"/>
      <c r="F438" s="212"/>
      <c r="G438" s="212"/>
      <c r="J438" s="212"/>
      <c r="K438" s="212"/>
    </row>
    <row r="439" spans="1:11" ht="12.75" customHeight="1">
      <c r="A439" s="212"/>
      <c r="B439" s="212"/>
      <c r="C439" s="212"/>
      <c r="D439" s="212"/>
      <c r="E439" s="212"/>
      <c r="F439" s="212"/>
      <c r="G439" s="212"/>
      <c r="J439" s="212"/>
      <c r="K439" s="212"/>
    </row>
    <row r="440" spans="1:11" ht="12.75" customHeight="1">
      <c r="A440" s="212"/>
      <c r="B440" s="212"/>
      <c r="C440" s="212"/>
      <c r="D440" s="212"/>
      <c r="E440" s="212"/>
      <c r="F440" s="212"/>
      <c r="G440" s="212"/>
      <c r="J440" s="212"/>
      <c r="K440" s="212"/>
    </row>
    <row r="441" spans="1:11" ht="12.75" customHeight="1">
      <c r="A441" s="212"/>
      <c r="B441" s="212"/>
      <c r="C441" s="212"/>
      <c r="D441" s="212"/>
      <c r="E441" s="212"/>
      <c r="F441" s="212"/>
      <c r="G441" s="212"/>
      <c r="J441" s="212"/>
      <c r="K441" s="212"/>
    </row>
    <row r="442" spans="1:11" ht="12.75" customHeight="1">
      <c r="A442" s="212"/>
      <c r="B442" s="212"/>
      <c r="C442" s="212"/>
      <c r="D442" s="212"/>
      <c r="E442" s="212"/>
      <c r="F442" s="212"/>
      <c r="G442" s="212"/>
      <c r="J442" s="212"/>
      <c r="K442" s="212"/>
    </row>
    <row r="443" spans="1:11" ht="12.75" customHeight="1">
      <c r="A443" s="212"/>
      <c r="B443" s="212"/>
      <c r="C443" s="212"/>
      <c r="D443" s="212"/>
      <c r="E443" s="212"/>
      <c r="F443" s="212"/>
      <c r="G443" s="212"/>
      <c r="J443" s="212"/>
      <c r="K443" s="212"/>
    </row>
    <row r="444" spans="1:11" ht="12.75" customHeight="1">
      <c r="A444" s="212"/>
      <c r="B444" s="212"/>
      <c r="C444" s="212"/>
      <c r="D444" s="212"/>
      <c r="E444" s="212"/>
      <c r="F444" s="212"/>
      <c r="G444" s="212"/>
      <c r="J444" s="212"/>
      <c r="K444" s="212"/>
    </row>
    <row r="445" spans="1:11" ht="12.75" customHeight="1">
      <c r="A445" s="212"/>
      <c r="B445" s="212"/>
      <c r="C445" s="212"/>
      <c r="D445" s="212"/>
      <c r="E445" s="212"/>
      <c r="F445" s="212"/>
      <c r="G445" s="212"/>
      <c r="J445" s="212"/>
      <c r="K445" s="212"/>
    </row>
    <row r="446" spans="1:11" ht="12.75" customHeight="1">
      <c r="A446" s="212"/>
      <c r="B446" s="212"/>
      <c r="C446" s="212"/>
      <c r="D446" s="212"/>
      <c r="E446" s="212"/>
      <c r="F446" s="212"/>
      <c r="G446" s="212"/>
      <c r="J446" s="212"/>
      <c r="K446" s="212"/>
    </row>
    <row r="447" spans="1:11" ht="12.75" customHeight="1">
      <c r="A447" s="212"/>
      <c r="B447" s="212"/>
      <c r="C447" s="212"/>
      <c r="D447" s="212"/>
      <c r="E447" s="212"/>
      <c r="F447" s="212"/>
      <c r="G447" s="212"/>
      <c r="J447" s="212"/>
      <c r="K447" s="212"/>
    </row>
    <row r="448" spans="1:11" ht="12.75" customHeight="1">
      <c r="A448" s="212"/>
      <c r="B448" s="212"/>
      <c r="C448" s="212"/>
      <c r="D448" s="212"/>
      <c r="E448" s="212"/>
      <c r="F448" s="212"/>
      <c r="G448" s="212"/>
      <c r="J448" s="212"/>
      <c r="K448" s="212"/>
    </row>
    <row r="449" spans="1:11" ht="12.75" customHeight="1">
      <c r="A449" s="212"/>
      <c r="B449" s="212"/>
      <c r="C449" s="212"/>
      <c r="D449" s="212"/>
      <c r="E449" s="212"/>
      <c r="F449" s="212"/>
      <c r="G449" s="212"/>
      <c r="J449" s="212"/>
      <c r="K449" s="212"/>
    </row>
    <row r="450" spans="1:11" ht="12.75" customHeight="1">
      <c r="A450" s="212"/>
      <c r="B450" s="212"/>
      <c r="C450" s="212"/>
      <c r="D450" s="212"/>
      <c r="E450" s="212"/>
      <c r="F450" s="212"/>
      <c r="G450" s="212"/>
      <c r="J450" s="212"/>
      <c r="K450" s="212"/>
    </row>
    <row r="451" spans="1:11" ht="12.75" customHeight="1">
      <c r="A451" s="212"/>
      <c r="B451" s="212"/>
      <c r="C451" s="212"/>
      <c r="D451" s="212"/>
      <c r="E451" s="212"/>
      <c r="F451" s="212"/>
      <c r="G451" s="212"/>
      <c r="J451" s="212"/>
      <c r="K451" s="212"/>
    </row>
    <row r="452" spans="1:11" ht="12.75" customHeight="1">
      <c r="A452" s="212"/>
      <c r="B452" s="212"/>
      <c r="C452" s="212"/>
      <c r="D452" s="212"/>
      <c r="E452" s="212"/>
      <c r="F452" s="212"/>
      <c r="G452" s="212"/>
      <c r="J452" s="212"/>
      <c r="K452" s="212"/>
    </row>
    <row r="453" spans="1:11" ht="12.75" customHeight="1">
      <c r="A453" s="212"/>
      <c r="B453" s="212"/>
      <c r="C453" s="212"/>
      <c r="D453" s="212"/>
      <c r="E453" s="212"/>
      <c r="F453" s="212"/>
      <c r="G453" s="212"/>
      <c r="J453" s="212"/>
      <c r="K453" s="212"/>
    </row>
    <row r="454" spans="1:11" ht="12.75" customHeight="1">
      <c r="A454" s="212"/>
      <c r="B454" s="212"/>
      <c r="C454" s="212"/>
      <c r="D454" s="212"/>
      <c r="E454" s="212"/>
      <c r="F454" s="212"/>
      <c r="G454" s="212"/>
      <c r="J454" s="212"/>
      <c r="K454" s="212"/>
    </row>
    <row r="455" spans="1:11" ht="12.75" customHeight="1">
      <c r="A455" s="212"/>
      <c r="B455" s="212"/>
      <c r="C455" s="212"/>
      <c r="D455" s="212"/>
      <c r="E455" s="212"/>
      <c r="F455" s="212"/>
      <c r="G455" s="212"/>
      <c r="J455" s="212"/>
      <c r="K455" s="212"/>
    </row>
    <row r="456" spans="1:11" ht="12.75" customHeight="1">
      <c r="A456" s="212"/>
      <c r="B456" s="212"/>
      <c r="C456" s="212"/>
      <c r="D456" s="212"/>
      <c r="E456" s="212"/>
      <c r="F456" s="212"/>
      <c r="G456" s="212"/>
      <c r="J456" s="212"/>
      <c r="K456" s="212"/>
    </row>
    <row r="457" spans="1:11" ht="12.75" customHeight="1">
      <c r="A457" s="212"/>
      <c r="B457" s="212"/>
      <c r="C457" s="212"/>
      <c r="D457" s="212"/>
      <c r="E457" s="212"/>
      <c r="F457" s="212"/>
      <c r="G457" s="212"/>
      <c r="J457" s="212"/>
      <c r="K457" s="212"/>
    </row>
    <row r="458" spans="1:11" ht="12.75" customHeight="1">
      <c r="A458" s="212"/>
      <c r="B458" s="212"/>
      <c r="C458" s="212"/>
      <c r="D458" s="212"/>
      <c r="E458" s="212"/>
      <c r="F458" s="212"/>
      <c r="G458" s="212"/>
      <c r="J458" s="212"/>
      <c r="K458" s="212"/>
    </row>
    <row r="459" spans="1:11" ht="12.75" customHeight="1">
      <c r="A459" s="212"/>
      <c r="B459" s="212"/>
      <c r="C459" s="212"/>
      <c r="D459" s="212"/>
      <c r="E459" s="212"/>
      <c r="F459" s="212"/>
      <c r="G459" s="212"/>
      <c r="J459" s="212"/>
      <c r="K459" s="212"/>
    </row>
    <row r="460" spans="1:11" ht="12.75" customHeight="1">
      <c r="A460" s="212"/>
      <c r="B460" s="212"/>
      <c r="C460" s="212"/>
      <c r="D460" s="212"/>
      <c r="E460" s="212"/>
      <c r="F460" s="212"/>
      <c r="G460" s="212"/>
      <c r="J460" s="212"/>
      <c r="K460" s="212"/>
    </row>
    <row r="461" spans="1:11" ht="12.75" customHeight="1">
      <c r="A461" s="212"/>
      <c r="B461" s="212"/>
      <c r="C461" s="212"/>
      <c r="D461" s="212"/>
      <c r="E461" s="212"/>
      <c r="F461" s="212"/>
      <c r="G461" s="212"/>
      <c r="J461" s="212"/>
      <c r="K461" s="212"/>
    </row>
    <row r="462" spans="1:11" ht="12.75" customHeight="1">
      <c r="A462" s="212"/>
      <c r="B462" s="212"/>
      <c r="C462" s="212"/>
      <c r="D462" s="212"/>
      <c r="E462" s="212"/>
      <c r="F462" s="212"/>
      <c r="G462" s="212"/>
      <c r="J462" s="212"/>
      <c r="K462" s="212"/>
    </row>
    <row r="463" spans="1:11" ht="12.75" customHeight="1">
      <c r="A463" s="212"/>
      <c r="B463" s="212"/>
      <c r="C463" s="212"/>
      <c r="D463" s="212"/>
      <c r="E463" s="212"/>
      <c r="F463" s="212"/>
      <c r="G463" s="212"/>
      <c r="J463" s="212"/>
      <c r="K463" s="212"/>
    </row>
    <row r="464" spans="1:11" ht="12.75" customHeight="1">
      <c r="A464" s="212"/>
      <c r="B464" s="212"/>
      <c r="C464" s="212"/>
      <c r="D464" s="212"/>
      <c r="E464" s="212"/>
      <c r="F464" s="212"/>
      <c r="G464" s="212"/>
      <c r="J464" s="212"/>
      <c r="K464" s="212"/>
    </row>
    <row r="465" spans="1:11" ht="12.75" customHeight="1">
      <c r="A465" s="212"/>
      <c r="B465" s="212"/>
      <c r="C465" s="212"/>
      <c r="D465" s="212"/>
      <c r="E465" s="212"/>
      <c r="F465" s="212"/>
      <c r="G465" s="212"/>
      <c r="J465" s="212"/>
      <c r="K465" s="212"/>
    </row>
    <row r="466" spans="1:11" ht="12.75" customHeight="1">
      <c r="A466" s="212"/>
      <c r="B466" s="212"/>
      <c r="C466" s="212"/>
      <c r="D466" s="212"/>
      <c r="E466" s="212"/>
      <c r="F466" s="212"/>
      <c r="G466" s="212"/>
      <c r="J466" s="212"/>
      <c r="K466" s="212"/>
    </row>
    <row r="467" spans="1:11" ht="12.75" customHeight="1">
      <c r="A467" s="212"/>
      <c r="B467" s="212"/>
      <c r="C467" s="212"/>
      <c r="D467" s="212"/>
      <c r="E467" s="212"/>
      <c r="F467" s="212"/>
      <c r="G467" s="212"/>
      <c r="J467" s="212"/>
      <c r="K467" s="212"/>
    </row>
    <row r="468" spans="1:11" ht="12.75" customHeight="1">
      <c r="A468" s="212"/>
      <c r="B468" s="212"/>
      <c r="C468" s="212"/>
      <c r="D468" s="212"/>
      <c r="E468" s="212"/>
      <c r="F468" s="212"/>
      <c r="G468" s="212"/>
      <c r="J468" s="212"/>
      <c r="K468" s="212"/>
    </row>
    <row r="469" spans="1:11" ht="12.75" customHeight="1">
      <c r="A469" s="212"/>
      <c r="B469" s="212"/>
      <c r="C469" s="212"/>
      <c r="D469" s="212"/>
      <c r="E469" s="212"/>
      <c r="F469" s="212"/>
      <c r="G469" s="212"/>
      <c r="J469" s="212"/>
      <c r="K469" s="212"/>
    </row>
    <row r="470" spans="1:11" ht="12.75" customHeight="1">
      <c r="A470" s="212"/>
      <c r="B470" s="212"/>
      <c r="C470" s="212"/>
      <c r="D470" s="212"/>
      <c r="E470" s="212"/>
      <c r="F470" s="212"/>
      <c r="G470" s="212"/>
      <c r="J470" s="212"/>
      <c r="K470" s="212"/>
    </row>
    <row r="471" spans="1:11" ht="12.75" customHeight="1">
      <c r="A471" s="212"/>
      <c r="B471" s="212"/>
      <c r="C471" s="212"/>
      <c r="D471" s="212"/>
      <c r="E471" s="212"/>
      <c r="F471" s="212"/>
      <c r="G471" s="212"/>
      <c r="J471" s="212"/>
      <c r="K471" s="212"/>
    </row>
    <row r="472" spans="1:11" ht="12.75" customHeight="1">
      <c r="A472" s="212"/>
      <c r="B472" s="212"/>
      <c r="C472" s="212"/>
      <c r="D472" s="212"/>
      <c r="E472" s="212"/>
      <c r="F472" s="212"/>
      <c r="G472" s="212"/>
      <c r="J472" s="212"/>
      <c r="K472" s="212"/>
    </row>
    <row r="473" spans="1:11" ht="12.75" customHeight="1">
      <c r="A473" s="212"/>
      <c r="B473" s="212"/>
      <c r="C473" s="212"/>
      <c r="D473" s="212"/>
      <c r="E473" s="212"/>
      <c r="F473" s="212"/>
      <c r="G473" s="212"/>
      <c r="J473" s="212"/>
      <c r="K473" s="212"/>
    </row>
    <row r="474" spans="1:11" ht="12.75" customHeight="1">
      <c r="A474" s="212"/>
      <c r="B474" s="212"/>
      <c r="C474" s="212"/>
      <c r="D474" s="212"/>
      <c r="E474" s="212"/>
      <c r="F474" s="212"/>
      <c r="G474" s="212"/>
      <c r="J474" s="212"/>
      <c r="K474" s="212"/>
    </row>
    <row r="475" spans="1:11" ht="12.75" customHeight="1">
      <c r="A475" s="212"/>
      <c r="B475" s="212"/>
      <c r="C475" s="212"/>
      <c r="D475" s="212"/>
      <c r="E475" s="212"/>
      <c r="F475" s="212"/>
      <c r="G475" s="212"/>
      <c r="J475" s="212"/>
      <c r="K475" s="212"/>
    </row>
    <row r="476" spans="1:11" ht="12.75" customHeight="1">
      <c r="A476" s="212"/>
      <c r="B476" s="212"/>
      <c r="C476" s="212"/>
      <c r="D476" s="212"/>
      <c r="E476" s="212"/>
      <c r="F476" s="212"/>
      <c r="G476" s="212"/>
      <c r="J476" s="212"/>
      <c r="K476" s="212"/>
    </row>
    <row r="477" spans="1:11" ht="12.75" customHeight="1">
      <c r="A477" s="212"/>
      <c r="B477" s="212"/>
      <c r="C477" s="212"/>
      <c r="D477" s="212"/>
      <c r="E477" s="212"/>
      <c r="F477" s="212"/>
      <c r="G477" s="212"/>
      <c r="J477" s="212"/>
      <c r="K477" s="212"/>
    </row>
    <row r="478" spans="1:11" ht="12.75" customHeight="1">
      <c r="A478" s="212"/>
      <c r="B478" s="212"/>
      <c r="C478" s="212"/>
      <c r="D478" s="212"/>
      <c r="E478" s="212"/>
      <c r="F478" s="212"/>
      <c r="G478" s="212"/>
      <c r="J478" s="212"/>
      <c r="K478" s="212"/>
    </row>
    <row r="479" spans="1:11" ht="12.75" customHeight="1">
      <c r="A479" s="212"/>
      <c r="B479" s="212"/>
      <c r="C479" s="212"/>
      <c r="D479" s="212"/>
      <c r="E479" s="212"/>
      <c r="F479" s="212"/>
      <c r="G479" s="212"/>
      <c r="J479" s="212"/>
      <c r="K479" s="212"/>
    </row>
    <row r="480" spans="1:11" ht="12.75" customHeight="1">
      <c r="A480" s="212"/>
      <c r="B480" s="212"/>
      <c r="C480" s="212"/>
      <c r="D480" s="212"/>
      <c r="E480" s="212"/>
      <c r="F480" s="212"/>
      <c r="G480" s="212"/>
      <c r="J480" s="212"/>
      <c r="K480" s="212"/>
    </row>
    <row r="481" spans="1:11" ht="12.75" customHeight="1">
      <c r="A481" s="212"/>
      <c r="B481" s="212"/>
      <c r="C481" s="212"/>
      <c r="D481" s="212"/>
      <c r="E481" s="212"/>
      <c r="F481" s="212"/>
      <c r="G481" s="212"/>
      <c r="J481" s="212"/>
      <c r="K481" s="212"/>
    </row>
    <row r="482" spans="1:11" ht="12.75" customHeight="1">
      <c r="A482" s="212"/>
      <c r="B482" s="212"/>
      <c r="C482" s="212"/>
      <c r="D482" s="212"/>
      <c r="E482" s="212"/>
      <c r="F482" s="212"/>
      <c r="G482" s="212"/>
      <c r="J482" s="212"/>
      <c r="K482" s="212"/>
    </row>
    <row r="483" spans="1:11" ht="12.75" customHeight="1">
      <c r="A483" s="212"/>
      <c r="B483" s="212"/>
      <c r="C483" s="212"/>
      <c r="D483" s="212"/>
      <c r="E483" s="212"/>
      <c r="F483" s="212"/>
      <c r="G483" s="212"/>
      <c r="J483" s="212"/>
      <c r="K483" s="212"/>
    </row>
    <row r="484" spans="1:11" ht="12.75" customHeight="1">
      <c r="A484" s="212"/>
      <c r="B484" s="212"/>
      <c r="C484" s="212"/>
      <c r="D484" s="212"/>
      <c r="E484" s="212"/>
      <c r="F484" s="212"/>
      <c r="G484" s="212"/>
      <c r="J484" s="212"/>
      <c r="K484" s="212"/>
    </row>
    <row r="485" spans="1:11" ht="12.75" customHeight="1">
      <c r="A485" s="212"/>
      <c r="B485" s="212"/>
      <c r="C485" s="212"/>
      <c r="D485" s="212"/>
      <c r="E485" s="212"/>
      <c r="F485" s="212"/>
      <c r="G485" s="212"/>
      <c r="J485" s="212"/>
      <c r="K485" s="212"/>
    </row>
    <row r="486" spans="1:11" ht="12.75" customHeight="1">
      <c r="A486" s="212"/>
      <c r="B486" s="212"/>
      <c r="C486" s="212"/>
      <c r="D486" s="212"/>
      <c r="E486" s="212"/>
      <c r="F486" s="212"/>
      <c r="G486" s="212"/>
      <c r="J486" s="212"/>
      <c r="K486" s="212"/>
    </row>
    <row r="487" spans="1:11" ht="12.75" customHeight="1">
      <c r="A487" s="212"/>
      <c r="B487" s="212"/>
      <c r="C487" s="212"/>
      <c r="D487" s="212"/>
      <c r="E487" s="212"/>
      <c r="F487" s="212"/>
      <c r="G487" s="212"/>
      <c r="J487" s="212"/>
      <c r="K487" s="212"/>
    </row>
    <row r="488" spans="1:11" ht="12.75" customHeight="1">
      <c r="A488" s="212"/>
      <c r="B488" s="212"/>
      <c r="C488" s="212"/>
      <c r="D488" s="212"/>
      <c r="E488" s="212"/>
      <c r="F488" s="212"/>
      <c r="G488" s="212"/>
      <c r="J488" s="212"/>
      <c r="K488" s="212"/>
    </row>
    <row r="489" spans="1:11" ht="12.75" customHeight="1">
      <c r="A489" s="212"/>
      <c r="B489" s="212"/>
      <c r="C489" s="212"/>
      <c r="D489" s="212"/>
      <c r="E489" s="212"/>
      <c r="F489" s="212"/>
      <c r="G489" s="212"/>
      <c r="J489" s="212"/>
      <c r="K489" s="212"/>
    </row>
    <row r="490" spans="1:11" ht="12.75" customHeight="1">
      <c r="A490" s="212"/>
      <c r="B490" s="212"/>
      <c r="C490" s="212"/>
      <c r="D490" s="212"/>
      <c r="E490" s="212"/>
      <c r="F490" s="212"/>
      <c r="G490" s="212"/>
      <c r="J490" s="212"/>
      <c r="K490" s="212"/>
    </row>
    <row r="491" spans="1:11" ht="12.75" customHeight="1">
      <c r="A491" s="212"/>
      <c r="B491" s="212"/>
      <c r="C491" s="212"/>
      <c r="D491" s="212"/>
      <c r="E491" s="212"/>
      <c r="F491" s="212"/>
      <c r="G491" s="212"/>
      <c r="J491" s="212"/>
      <c r="K491" s="212"/>
    </row>
    <row r="492" spans="1:11" ht="12.75" customHeight="1">
      <c r="A492" s="212"/>
      <c r="B492" s="212"/>
      <c r="C492" s="212"/>
      <c r="D492" s="212"/>
      <c r="E492" s="212"/>
      <c r="F492" s="212"/>
      <c r="G492" s="212"/>
      <c r="J492" s="212"/>
      <c r="K492" s="212"/>
    </row>
    <row r="493" spans="1:11" ht="12.75" customHeight="1">
      <c r="A493" s="212"/>
      <c r="B493" s="212"/>
      <c r="C493" s="212"/>
      <c r="D493" s="212"/>
      <c r="E493" s="212"/>
      <c r="F493" s="212"/>
      <c r="G493" s="212"/>
      <c r="J493" s="212"/>
      <c r="K493" s="212"/>
    </row>
    <row r="494" spans="1:11" ht="12.75" customHeight="1">
      <c r="A494" s="212"/>
      <c r="B494" s="212"/>
      <c r="C494" s="212"/>
      <c r="D494" s="212"/>
      <c r="E494" s="212"/>
      <c r="F494" s="212"/>
      <c r="G494" s="212"/>
      <c r="J494" s="212"/>
      <c r="K494" s="212"/>
    </row>
    <row r="495" spans="1:11" ht="12.75" customHeight="1">
      <c r="A495" s="212"/>
      <c r="B495" s="212"/>
      <c r="C495" s="212"/>
      <c r="D495" s="212"/>
      <c r="E495" s="212"/>
      <c r="F495" s="212"/>
      <c r="G495" s="212"/>
      <c r="J495" s="212"/>
      <c r="K495" s="212"/>
    </row>
    <row r="496" spans="1:11" ht="12.75" customHeight="1">
      <c r="A496" s="212"/>
      <c r="B496" s="212"/>
      <c r="C496" s="212"/>
      <c r="D496" s="212"/>
      <c r="E496" s="212"/>
      <c r="F496" s="212"/>
      <c r="G496" s="212"/>
      <c r="J496" s="212"/>
      <c r="K496" s="212"/>
    </row>
    <row r="497" spans="1:11" ht="12.75" customHeight="1">
      <c r="A497" s="212"/>
      <c r="B497" s="212"/>
      <c r="C497" s="212"/>
      <c r="D497" s="212"/>
      <c r="E497" s="212"/>
      <c r="F497" s="212"/>
      <c r="G497" s="212"/>
      <c r="J497" s="212"/>
      <c r="K497" s="212"/>
    </row>
    <row r="498" spans="1:11" ht="12.75" customHeight="1">
      <c r="A498" s="212"/>
      <c r="B498" s="212"/>
      <c r="C498" s="212"/>
      <c r="D498" s="212"/>
      <c r="E498" s="212"/>
      <c r="F498" s="212"/>
      <c r="G498" s="212"/>
      <c r="J498" s="212"/>
      <c r="K498" s="212"/>
    </row>
    <row r="499" spans="1:11" ht="12.75" customHeight="1">
      <c r="A499" s="212"/>
      <c r="B499" s="212"/>
      <c r="C499" s="212"/>
      <c r="D499" s="212"/>
      <c r="E499" s="212"/>
      <c r="F499" s="212"/>
      <c r="G499" s="212"/>
      <c r="J499" s="212"/>
      <c r="K499" s="212"/>
    </row>
    <row r="500" spans="1:11" ht="12.75" customHeight="1">
      <c r="A500" s="212"/>
      <c r="B500" s="212"/>
      <c r="C500" s="212"/>
      <c r="D500" s="212"/>
      <c r="E500" s="212"/>
      <c r="F500" s="212"/>
      <c r="G500" s="212"/>
      <c r="J500" s="212"/>
      <c r="K500" s="212"/>
    </row>
    <row r="501" spans="1:11" ht="12.75" customHeight="1">
      <c r="A501" s="212"/>
      <c r="B501" s="212"/>
      <c r="C501" s="212"/>
      <c r="D501" s="212"/>
      <c r="E501" s="212"/>
      <c r="F501" s="212"/>
      <c r="G501" s="212"/>
      <c r="J501" s="212"/>
      <c r="K501" s="212"/>
    </row>
    <row r="502" spans="1:11" ht="12.75" customHeight="1">
      <c r="A502" s="212"/>
      <c r="B502" s="212"/>
      <c r="C502" s="212"/>
      <c r="D502" s="212"/>
      <c r="E502" s="212"/>
      <c r="F502" s="212"/>
      <c r="G502" s="212"/>
      <c r="J502" s="212"/>
      <c r="K502" s="212"/>
    </row>
    <row r="503" spans="1:11" ht="12.75" customHeight="1">
      <c r="A503" s="212"/>
      <c r="B503" s="212"/>
      <c r="C503" s="212"/>
      <c r="D503" s="212"/>
      <c r="E503" s="212"/>
      <c r="F503" s="212"/>
      <c r="G503" s="212"/>
      <c r="J503" s="212"/>
      <c r="K503" s="212"/>
    </row>
    <row r="504" spans="1:11" ht="12.75" customHeight="1">
      <c r="A504" s="212"/>
      <c r="B504" s="212"/>
      <c r="C504" s="212"/>
      <c r="D504" s="212"/>
      <c r="E504" s="212"/>
      <c r="F504" s="212"/>
      <c r="G504" s="212"/>
      <c r="J504" s="212"/>
      <c r="K504" s="212"/>
    </row>
    <row r="505" spans="1:11" ht="12.75" customHeight="1">
      <c r="A505" s="212"/>
      <c r="B505" s="212"/>
      <c r="C505" s="212"/>
      <c r="D505" s="212"/>
      <c r="E505" s="212"/>
      <c r="F505" s="212"/>
      <c r="G505" s="212"/>
      <c r="J505" s="212"/>
      <c r="K505" s="212"/>
    </row>
    <row r="506" spans="1:11" ht="12.75" customHeight="1">
      <c r="A506" s="212"/>
      <c r="B506" s="212"/>
      <c r="C506" s="212"/>
      <c r="D506" s="212"/>
      <c r="E506" s="212"/>
      <c r="F506" s="212"/>
      <c r="G506" s="212"/>
      <c r="J506" s="212"/>
      <c r="K506" s="212"/>
    </row>
    <row r="507" spans="1:11" ht="12.75" customHeight="1">
      <c r="A507" s="212"/>
      <c r="B507" s="212"/>
      <c r="C507" s="212"/>
      <c r="D507" s="212"/>
      <c r="E507" s="212"/>
      <c r="F507" s="212"/>
      <c r="G507" s="212"/>
      <c r="J507" s="212"/>
      <c r="K507" s="212"/>
    </row>
    <row r="508" spans="1:11" ht="12.75" customHeight="1">
      <c r="A508" s="212"/>
      <c r="B508" s="212"/>
      <c r="C508" s="212"/>
      <c r="D508" s="212"/>
      <c r="E508" s="212"/>
      <c r="F508" s="212"/>
      <c r="G508" s="212"/>
      <c r="J508" s="212"/>
      <c r="K508" s="212"/>
    </row>
    <row r="509" spans="1:11" ht="12.75" customHeight="1">
      <c r="A509" s="212"/>
      <c r="B509" s="212"/>
      <c r="C509" s="212"/>
      <c r="D509" s="212"/>
      <c r="E509" s="212"/>
      <c r="F509" s="212"/>
      <c r="G509" s="212"/>
      <c r="J509" s="212"/>
      <c r="K509" s="212"/>
    </row>
    <row r="510" spans="1:11" ht="12.75" customHeight="1">
      <c r="A510" s="212"/>
      <c r="B510" s="212"/>
      <c r="C510" s="212"/>
      <c r="D510" s="212"/>
      <c r="E510" s="212"/>
      <c r="F510" s="212"/>
      <c r="G510" s="212"/>
      <c r="J510" s="212"/>
      <c r="K510" s="212"/>
    </row>
    <row r="511" spans="1:11" ht="12.75" customHeight="1">
      <c r="A511" s="212"/>
      <c r="B511" s="212"/>
      <c r="C511" s="212"/>
      <c r="D511" s="212"/>
      <c r="E511" s="212"/>
      <c r="F511" s="212"/>
      <c r="G511" s="212"/>
      <c r="J511" s="212"/>
      <c r="K511" s="212"/>
    </row>
    <row r="512" spans="1:11" ht="12.75" customHeight="1">
      <c r="A512" s="212"/>
      <c r="B512" s="212"/>
      <c r="C512" s="212"/>
      <c r="D512" s="212"/>
      <c r="E512" s="212"/>
      <c r="F512" s="212"/>
      <c r="G512" s="212"/>
      <c r="J512" s="212"/>
      <c r="K512" s="212"/>
    </row>
    <row r="513" spans="1:11" ht="12.75" customHeight="1">
      <c r="A513" s="212"/>
      <c r="B513" s="212"/>
      <c r="C513" s="212"/>
      <c r="D513" s="212"/>
      <c r="E513" s="212"/>
      <c r="F513" s="212"/>
      <c r="G513" s="212"/>
      <c r="J513" s="212"/>
      <c r="K513" s="212"/>
    </row>
    <row r="514" spans="1:11" ht="12.75" customHeight="1">
      <c r="A514" s="212"/>
      <c r="B514" s="212"/>
      <c r="C514" s="212"/>
      <c r="D514" s="212"/>
      <c r="E514" s="212"/>
      <c r="F514" s="212"/>
      <c r="G514" s="212"/>
      <c r="J514" s="212"/>
      <c r="K514" s="212"/>
    </row>
    <row r="515" spans="1:11" ht="12.75" customHeight="1">
      <c r="A515" s="212"/>
      <c r="B515" s="212"/>
      <c r="C515" s="212"/>
      <c r="D515" s="212"/>
      <c r="E515" s="212"/>
      <c r="F515" s="212"/>
      <c r="G515" s="212"/>
      <c r="J515" s="212"/>
      <c r="K515" s="212"/>
    </row>
    <row r="516" spans="1:11" ht="12.75" customHeight="1">
      <c r="A516" s="212"/>
      <c r="B516" s="212"/>
      <c r="C516" s="212"/>
      <c r="D516" s="212"/>
      <c r="E516" s="212"/>
      <c r="F516" s="212"/>
      <c r="G516" s="212"/>
      <c r="J516" s="212"/>
      <c r="K516" s="212"/>
    </row>
    <row r="517" spans="1:11" ht="12.75" customHeight="1">
      <c r="A517" s="212"/>
      <c r="B517" s="212"/>
      <c r="C517" s="212"/>
      <c r="D517" s="212"/>
      <c r="E517" s="212"/>
      <c r="F517" s="212"/>
      <c r="G517" s="212"/>
      <c r="J517" s="212"/>
      <c r="K517" s="212"/>
    </row>
    <row r="518" spans="1:11" ht="12.75" customHeight="1">
      <c r="A518" s="212"/>
      <c r="B518" s="212"/>
      <c r="C518" s="212"/>
      <c r="D518" s="212"/>
      <c r="E518" s="212"/>
      <c r="F518" s="212"/>
      <c r="G518" s="212"/>
      <c r="J518" s="212"/>
      <c r="K518" s="212"/>
    </row>
    <row r="519" spans="1:11" ht="12.75" customHeight="1">
      <c r="A519" s="212"/>
      <c r="B519" s="212"/>
      <c r="C519" s="212"/>
      <c r="D519" s="212"/>
      <c r="E519" s="212"/>
      <c r="F519" s="212"/>
      <c r="G519" s="212"/>
      <c r="J519" s="212"/>
      <c r="K519" s="212"/>
    </row>
    <row r="520" spans="1:11" ht="12.75" customHeight="1">
      <c r="A520" s="212"/>
      <c r="B520" s="212"/>
      <c r="C520" s="212"/>
      <c r="D520" s="212"/>
      <c r="E520" s="212"/>
      <c r="F520" s="212"/>
      <c r="G520" s="212"/>
      <c r="J520" s="212"/>
      <c r="K520" s="212"/>
    </row>
    <row r="521" spans="1:11" ht="12.75" customHeight="1">
      <c r="A521" s="212"/>
      <c r="B521" s="212"/>
      <c r="C521" s="212"/>
      <c r="D521" s="212"/>
      <c r="E521" s="212"/>
      <c r="F521" s="212"/>
      <c r="G521" s="212"/>
      <c r="J521" s="212"/>
      <c r="K521" s="212"/>
    </row>
    <row r="522" spans="1:11" ht="12.75" customHeight="1">
      <c r="A522" s="212"/>
      <c r="B522" s="212"/>
      <c r="C522" s="212"/>
      <c r="D522" s="212"/>
      <c r="E522" s="212"/>
      <c r="F522" s="212"/>
      <c r="G522" s="212"/>
      <c r="J522" s="212"/>
      <c r="K522" s="212"/>
    </row>
    <row r="523" spans="1:11" ht="12.75" customHeight="1">
      <c r="A523" s="212"/>
      <c r="B523" s="212"/>
      <c r="C523" s="212"/>
      <c r="D523" s="212"/>
      <c r="E523" s="212"/>
      <c r="F523" s="212"/>
      <c r="G523" s="212"/>
      <c r="J523" s="212"/>
      <c r="K523" s="212"/>
    </row>
    <row r="524" spans="1:11" ht="12.75" customHeight="1">
      <c r="A524" s="212"/>
      <c r="B524" s="212"/>
      <c r="C524" s="212"/>
      <c r="D524" s="212"/>
      <c r="E524" s="212"/>
      <c r="F524" s="212"/>
      <c r="G524" s="212"/>
      <c r="J524" s="212"/>
      <c r="K524" s="212"/>
    </row>
    <row r="525" spans="1:11" ht="12.75" customHeight="1">
      <c r="A525" s="212"/>
      <c r="B525" s="212"/>
      <c r="C525" s="212"/>
      <c r="D525" s="212"/>
      <c r="E525" s="212"/>
      <c r="F525" s="212"/>
      <c r="G525" s="212"/>
      <c r="J525" s="212"/>
      <c r="K525" s="212"/>
    </row>
    <row r="526" spans="1:11" ht="12.75" customHeight="1">
      <c r="A526" s="212"/>
      <c r="B526" s="212"/>
      <c r="C526" s="212"/>
      <c r="D526" s="212"/>
      <c r="E526" s="212"/>
      <c r="F526" s="212"/>
      <c r="G526" s="212"/>
      <c r="J526" s="212"/>
      <c r="K526" s="212"/>
    </row>
    <row r="527" spans="1:11" ht="12.75" customHeight="1">
      <c r="A527" s="212"/>
      <c r="B527" s="212"/>
      <c r="C527" s="212"/>
      <c r="D527" s="212"/>
      <c r="E527" s="212"/>
      <c r="F527" s="212"/>
      <c r="G527" s="212"/>
      <c r="J527" s="212"/>
      <c r="K527" s="212"/>
    </row>
    <row r="528" spans="1:11" ht="12.75" customHeight="1">
      <c r="A528" s="212"/>
      <c r="B528" s="212"/>
      <c r="C528" s="212"/>
      <c r="D528" s="212"/>
      <c r="E528" s="212"/>
      <c r="F528" s="212"/>
      <c r="G528" s="212"/>
      <c r="J528" s="212"/>
      <c r="K528" s="212"/>
    </row>
    <row r="529" spans="1:11" ht="12.75" customHeight="1">
      <c r="A529" s="212"/>
      <c r="B529" s="212"/>
      <c r="C529" s="212"/>
      <c r="D529" s="212"/>
      <c r="E529" s="212"/>
      <c r="F529" s="212"/>
      <c r="G529" s="212"/>
      <c r="J529" s="212"/>
      <c r="K529" s="212"/>
    </row>
    <row r="530" spans="1:11" ht="12.75" customHeight="1">
      <c r="A530" s="212"/>
      <c r="B530" s="212"/>
      <c r="C530" s="212"/>
      <c r="D530" s="212"/>
      <c r="E530" s="212"/>
      <c r="F530" s="212"/>
      <c r="G530" s="212"/>
      <c r="J530" s="212"/>
      <c r="K530" s="212"/>
    </row>
    <row r="531" spans="1:11" ht="12.75" customHeight="1">
      <c r="A531" s="212"/>
      <c r="B531" s="212"/>
      <c r="C531" s="212"/>
      <c r="D531" s="212"/>
      <c r="E531" s="212"/>
      <c r="F531" s="212"/>
      <c r="G531" s="212"/>
      <c r="J531" s="212"/>
      <c r="K531" s="212"/>
    </row>
    <row r="532" spans="1:11" ht="12.75" customHeight="1">
      <c r="A532" s="212"/>
      <c r="B532" s="212"/>
      <c r="C532" s="212"/>
      <c r="D532" s="212"/>
      <c r="E532" s="212"/>
      <c r="F532" s="212"/>
      <c r="G532" s="212"/>
      <c r="J532" s="212"/>
      <c r="K532" s="212"/>
    </row>
    <row r="533" spans="1:11" ht="12.75" customHeight="1">
      <c r="A533" s="212"/>
      <c r="B533" s="212"/>
      <c r="C533" s="212"/>
      <c r="D533" s="212"/>
      <c r="E533" s="212"/>
      <c r="F533" s="212"/>
      <c r="G533" s="212"/>
      <c r="J533" s="212"/>
      <c r="K533" s="212"/>
    </row>
    <row r="534" spans="1:11" ht="12.75" customHeight="1">
      <c r="A534" s="212"/>
      <c r="B534" s="212"/>
      <c r="C534" s="212"/>
      <c r="D534" s="212"/>
      <c r="E534" s="212"/>
      <c r="F534" s="212"/>
      <c r="G534" s="212"/>
      <c r="J534" s="212"/>
      <c r="K534" s="212"/>
    </row>
    <row r="535" spans="1:11" ht="12.75" customHeight="1">
      <c r="A535" s="212"/>
      <c r="B535" s="212"/>
      <c r="C535" s="212"/>
      <c r="D535" s="212"/>
      <c r="E535" s="212"/>
      <c r="F535" s="212"/>
      <c r="G535" s="212"/>
      <c r="J535" s="212"/>
      <c r="K535" s="212"/>
    </row>
    <row r="536" spans="1:11" ht="12.75" customHeight="1">
      <c r="A536" s="212"/>
      <c r="B536" s="212"/>
      <c r="C536" s="212"/>
      <c r="D536" s="212"/>
      <c r="E536" s="212"/>
      <c r="F536" s="212"/>
      <c r="G536" s="212"/>
      <c r="J536" s="212"/>
      <c r="K536" s="212"/>
    </row>
    <row r="537" spans="1:11" ht="12.75" customHeight="1">
      <c r="A537" s="212"/>
      <c r="B537" s="212"/>
      <c r="C537" s="212"/>
      <c r="D537" s="212"/>
      <c r="E537" s="212"/>
      <c r="F537" s="212"/>
      <c r="G537" s="212"/>
      <c r="J537" s="212"/>
      <c r="K537" s="212"/>
    </row>
    <row r="538" spans="1:11" ht="12.75" customHeight="1">
      <c r="A538" s="212"/>
      <c r="B538" s="212"/>
      <c r="C538" s="212"/>
      <c r="D538" s="212"/>
      <c r="E538" s="212"/>
      <c r="F538" s="212"/>
      <c r="G538" s="212"/>
      <c r="J538" s="212"/>
      <c r="K538" s="212"/>
    </row>
    <row r="539" spans="1:11" ht="12.75" customHeight="1">
      <c r="A539" s="212"/>
      <c r="B539" s="212"/>
      <c r="C539" s="212"/>
      <c r="D539" s="212"/>
      <c r="E539" s="212"/>
      <c r="F539" s="212"/>
      <c r="G539" s="212"/>
      <c r="J539" s="212"/>
      <c r="K539" s="212"/>
    </row>
    <row r="540" spans="1:11" ht="12.75" customHeight="1">
      <c r="A540" s="212"/>
      <c r="B540" s="212"/>
      <c r="C540" s="212"/>
      <c r="D540" s="212"/>
      <c r="E540" s="212"/>
      <c r="F540" s="212"/>
      <c r="G540" s="212"/>
      <c r="J540" s="212"/>
      <c r="K540" s="212"/>
    </row>
    <row r="541" spans="1:11" ht="12.75" customHeight="1">
      <c r="A541" s="212"/>
      <c r="B541" s="212"/>
      <c r="C541" s="212"/>
      <c r="D541" s="212"/>
      <c r="E541" s="212"/>
      <c r="F541" s="212"/>
      <c r="G541" s="212"/>
      <c r="J541" s="212"/>
      <c r="K541" s="212"/>
    </row>
    <row r="542" spans="1:11" ht="12.75" customHeight="1">
      <c r="A542" s="212"/>
      <c r="B542" s="212"/>
      <c r="C542" s="212"/>
      <c r="D542" s="212"/>
      <c r="E542" s="212"/>
      <c r="F542" s="212"/>
      <c r="G542" s="212"/>
      <c r="J542" s="212"/>
      <c r="K542" s="212"/>
    </row>
    <row r="543" spans="1:11" ht="12.75" customHeight="1">
      <c r="A543" s="212"/>
      <c r="B543" s="212"/>
      <c r="C543" s="212"/>
      <c r="D543" s="212"/>
      <c r="E543" s="212"/>
      <c r="F543" s="212"/>
      <c r="G543" s="212"/>
      <c r="J543" s="212"/>
      <c r="K543" s="212"/>
    </row>
    <row r="544" spans="1:11" ht="12.75" customHeight="1">
      <c r="A544" s="212"/>
      <c r="B544" s="212"/>
      <c r="C544" s="212"/>
      <c r="D544" s="212"/>
      <c r="E544" s="212"/>
      <c r="F544" s="212"/>
      <c r="G544" s="212"/>
      <c r="J544" s="212"/>
      <c r="K544" s="212"/>
    </row>
    <row r="545" spans="1:11" ht="12.75" customHeight="1">
      <c r="A545" s="212"/>
      <c r="B545" s="212"/>
      <c r="C545" s="212"/>
      <c r="D545" s="212"/>
      <c r="E545" s="212"/>
      <c r="F545" s="212"/>
      <c r="G545" s="212"/>
      <c r="J545" s="212"/>
      <c r="K545" s="212"/>
    </row>
    <row r="546" spans="1:11" ht="12.75" customHeight="1">
      <c r="A546" s="212"/>
      <c r="B546" s="212"/>
      <c r="C546" s="212"/>
      <c r="D546" s="212"/>
      <c r="E546" s="212"/>
      <c r="F546" s="212"/>
      <c r="G546" s="212"/>
      <c r="J546" s="212"/>
      <c r="K546" s="212"/>
    </row>
    <row r="547" spans="1:11" ht="12.75" customHeight="1">
      <c r="A547" s="212"/>
      <c r="B547" s="212"/>
      <c r="C547" s="212"/>
      <c r="D547" s="212"/>
      <c r="E547" s="212"/>
      <c r="F547" s="212"/>
      <c r="G547" s="212"/>
      <c r="J547" s="212"/>
      <c r="K547" s="212"/>
    </row>
    <row r="548" spans="1:11" ht="12.75" customHeight="1">
      <c r="A548" s="212"/>
      <c r="B548" s="212"/>
      <c r="C548" s="212"/>
      <c r="D548" s="212"/>
      <c r="E548" s="212"/>
      <c r="F548" s="212"/>
      <c r="G548" s="212"/>
      <c r="J548" s="212"/>
      <c r="K548" s="212"/>
    </row>
    <row r="549" spans="1:11" ht="12.75" customHeight="1">
      <c r="A549" s="212"/>
      <c r="B549" s="212"/>
      <c r="C549" s="212"/>
      <c r="D549" s="212"/>
      <c r="E549" s="212"/>
      <c r="F549" s="212"/>
      <c r="G549" s="212"/>
      <c r="J549" s="212"/>
      <c r="K549" s="212"/>
    </row>
    <row r="550" spans="1:11" ht="12.75" customHeight="1">
      <c r="A550" s="212"/>
      <c r="B550" s="212"/>
      <c r="C550" s="212"/>
      <c r="D550" s="212"/>
      <c r="E550" s="212"/>
      <c r="F550" s="212"/>
      <c r="G550" s="212"/>
      <c r="J550" s="212"/>
      <c r="K550" s="212"/>
    </row>
    <row r="551" spans="1:11" ht="12.75" customHeight="1">
      <c r="A551" s="212"/>
      <c r="B551" s="212"/>
      <c r="C551" s="212"/>
      <c r="D551" s="212"/>
      <c r="E551" s="212"/>
      <c r="F551" s="212"/>
      <c r="G551" s="212"/>
      <c r="J551" s="212"/>
      <c r="K551" s="212"/>
    </row>
    <row r="552" spans="1:11" ht="12.75" customHeight="1">
      <c r="A552" s="212"/>
      <c r="B552" s="212"/>
      <c r="C552" s="212"/>
      <c r="D552" s="212"/>
      <c r="E552" s="212"/>
      <c r="F552" s="212"/>
      <c r="G552" s="212"/>
      <c r="J552" s="212"/>
      <c r="K552" s="212"/>
    </row>
    <row r="553" spans="1:11" ht="12.75" customHeight="1">
      <c r="A553" s="212"/>
      <c r="B553" s="212"/>
      <c r="C553" s="212"/>
      <c r="D553" s="212"/>
      <c r="E553" s="212"/>
      <c r="F553" s="212"/>
      <c r="G553" s="212"/>
      <c r="J553" s="212"/>
      <c r="K553" s="212"/>
    </row>
    <row r="554" spans="1:11" ht="12.75" customHeight="1">
      <c r="A554" s="212"/>
      <c r="B554" s="212"/>
      <c r="C554" s="212"/>
      <c r="D554" s="212"/>
      <c r="E554" s="212"/>
      <c r="F554" s="212"/>
      <c r="G554" s="212"/>
      <c r="J554" s="212"/>
      <c r="K554" s="212"/>
    </row>
    <row r="555" spans="1:11" ht="12.75" customHeight="1">
      <c r="A555" s="212"/>
      <c r="B555" s="212"/>
      <c r="C555" s="212"/>
      <c r="D555" s="212"/>
      <c r="E555" s="212"/>
      <c r="F555" s="212"/>
      <c r="G555" s="212"/>
      <c r="J555" s="212"/>
      <c r="K555" s="212"/>
    </row>
    <row r="556" spans="1:11" ht="12.75" customHeight="1">
      <c r="A556" s="212"/>
      <c r="B556" s="212"/>
      <c r="C556" s="212"/>
      <c r="D556" s="212"/>
      <c r="E556" s="212"/>
      <c r="F556" s="212"/>
      <c r="G556" s="212"/>
      <c r="J556" s="212"/>
      <c r="K556" s="212"/>
    </row>
    <row r="557" spans="1:11" ht="12.75" customHeight="1">
      <c r="A557" s="212"/>
      <c r="B557" s="212"/>
      <c r="C557" s="212"/>
      <c r="D557" s="212"/>
      <c r="E557" s="212"/>
      <c r="F557" s="212"/>
      <c r="G557" s="212"/>
      <c r="J557" s="212"/>
      <c r="K557" s="212"/>
    </row>
    <row r="558" spans="1:11" ht="12.75" customHeight="1">
      <c r="A558" s="212"/>
      <c r="B558" s="212"/>
      <c r="C558" s="212"/>
      <c r="D558" s="212"/>
      <c r="E558" s="212"/>
      <c r="F558" s="212"/>
      <c r="G558" s="212"/>
      <c r="J558" s="212"/>
      <c r="K558" s="212"/>
    </row>
    <row r="559" spans="1:11" ht="12.75" customHeight="1">
      <c r="A559" s="212"/>
      <c r="B559" s="212"/>
      <c r="C559" s="212"/>
      <c r="D559" s="212"/>
      <c r="E559" s="212"/>
      <c r="F559" s="212"/>
      <c r="G559" s="212"/>
      <c r="J559" s="212"/>
      <c r="K559" s="212"/>
    </row>
    <row r="560" spans="1:11" ht="12.75" customHeight="1">
      <c r="A560" s="212"/>
      <c r="B560" s="212"/>
      <c r="C560" s="212"/>
      <c r="D560" s="212"/>
      <c r="E560" s="212"/>
      <c r="F560" s="212"/>
      <c r="G560" s="212"/>
      <c r="J560" s="212"/>
      <c r="K560" s="212"/>
    </row>
    <row r="561" spans="1:11" ht="12.75" customHeight="1">
      <c r="A561" s="212"/>
      <c r="B561" s="212"/>
      <c r="C561" s="212"/>
      <c r="D561" s="212"/>
      <c r="E561" s="212"/>
      <c r="F561" s="212"/>
      <c r="G561" s="212"/>
      <c r="J561" s="212"/>
      <c r="K561" s="212"/>
    </row>
    <row r="562" spans="1:11" ht="12.75" customHeight="1">
      <c r="A562" s="212"/>
      <c r="B562" s="212"/>
      <c r="C562" s="212"/>
      <c r="D562" s="212"/>
      <c r="E562" s="212"/>
      <c r="F562" s="212"/>
      <c r="G562" s="212"/>
      <c r="J562" s="212"/>
      <c r="K562" s="212"/>
    </row>
    <row r="563" spans="1:11" ht="12.75" customHeight="1">
      <c r="A563" s="212"/>
      <c r="B563" s="212"/>
      <c r="C563" s="212"/>
      <c r="D563" s="212"/>
      <c r="E563" s="212"/>
      <c r="F563" s="212"/>
      <c r="G563" s="212"/>
      <c r="J563" s="212"/>
      <c r="K563" s="212"/>
    </row>
    <row r="564" spans="1:11" ht="12.75" customHeight="1">
      <c r="A564" s="212"/>
      <c r="B564" s="212"/>
      <c r="C564" s="212"/>
      <c r="D564" s="212"/>
      <c r="E564" s="212"/>
      <c r="F564" s="212"/>
      <c r="G564" s="212"/>
      <c r="J564" s="212"/>
      <c r="K564" s="212"/>
    </row>
    <row r="565" spans="1:11" ht="12.75" customHeight="1">
      <c r="A565" s="212"/>
      <c r="B565" s="212"/>
      <c r="C565" s="212"/>
      <c r="D565" s="212"/>
      <c r="E565" s="212"/>
      <c r="F565" s="212"/>
      <c r="G565" s="212"/>
      <c r="J565" s="212"/>
      <c r="K565" s="212"/>
    </row>
    <row r="566" spans="1:11" ht="12.75" customHeight="1">
      <c r="A566" s="212"/>
      <c r="B566" s="212"/>
      <c r="C566" s="212"/>
      <c r="D566" s="212"/>
      <c r="E566" s="212"/>
      <c r="F566" s="212"/>
      <c r="G566" s="212"/>
      <c r="J566" s="212"/>
      <c r="K566" s="212"/>
    </row>
    <row r="567" spans="1:11" ht="12.75" customHeight="1">
      <c r="A567" s="212"/>
      <c r="B567" s="212"/>
      <c r="C567" s="212"/>
      <c r="D567" s="212"/>
      <c r="E567" s="212"/>
      <c r="F567" s="212"/>
      <c r="G567" s="212"/>
      <c r="J567" s="212"/>
      <c r="K567" s="212"/>
    </row>
    <row r="568" spans="1:11" ht="12.75" customHeight="1">
      <c r="A568" s="212"/>
      <c r="B568" s="212"/>
      <c r="C568" s="212"/>
      <c r="D568" s="212"/>
      <c r="E568" s="212"/>
      <c r="F568" s="212"/>
      <c r="G568" s="212"/>
      <c r="J568" s="212"/>
      <c r="K568" s="212"/>
    </row>
    <row r="569" spans="1:11" ht="12.75" customHeight="1">
      <c r="A569" s="212"/>
      <c r="B569" s="212"/>
      <c r="C569" s="212"/>
      <c r="D569" s="212"/>
      <c r="E569" s="212"/>
      <c r="F569" s="212"/>
      <c r="G569" s="212"/>
      <c r="J569" s="212"/>
      <c r="K569" s="212"/>
    </row>
    <row r="570" spans="1:11" ht="12.75" customHeight="1">
      <c r="A570" s="212"/>
      <c r="B570" s="212"/>
      <c r="C570" s="212"/>
      <c r="D570" s="212"/>
      <c r="E570" s="212"/>
      <c r="F570" s="212"/>
      <c r="G570" s="212"/>
      <c r="J570" s="212"/>
      <c r="K570" s="212"/>
    </row>
    <row r="571" spans="1:11" ht="12.75" customHeight="1">
      <c r="A571" s="212"/>
      <c r="B571" s="212"/>
      <c r="C571" s="212"/>
      <c r="D571" s="212"/>
      <c r="E571" s="212"/>
      <c r="F571" s="212"/>
      <c r="G571" s="212"/>
      <c r="J571" s="212"/>
      <c r="K571" s="212"/>
    </row>
    <row r="572" spans="1:11" ht="12.75" customHeight="1">
      <c r="A572" s="212"/>
      <c r="B572" s="212"/>
      <c r="C572" s="212"/>
      <c r="D572" s="212"/>
      <c r="E572" s="212"/>
      <c r="F572" s="212"/>
      <c r="G572" s="212"/>
      <c r="J572" s="212"/>
      <c r="K572" s="212"/>
    </row>
    <row r="573" spans="1:11" ht="12.75" customHeight="1">
      <c r="A573" s="212"/>
      <c r="B573" s="212"/>
      <c r="C573" s="212"/>
      <c r="D573" s="212"/>
      <c r="E573" s="212"/>
      <c r="F573" s="212"/>
      <c r="G573" s="212"/>
      <c r="J573" s="212"/>
      <c r="K573" s="212"/>
    </row>
    <row r="574" spans="1:11" ht="12.75" customHeight="1">
      <c r="A574" s="212"/>
      <c r="B574" s="212"/>
      <c r="C574" s="212"/>
      <c r="D574" s="212"/>
      <c r="E574" s="212"/>
      <c r="F574" s="212"/>
      <c r="G574" s="212"/>
      <c r="J574" s="212"/>
      <c r="K574" s="212"/>
    </row>
    <row r="575" spans="1:11" ht="12.75" customHeight="1">
      <c r="A575" s="212"/>
      <c r="B575" s="212"/>
      <c r="C575" s="212"/>
      <c r="D575" s="212"/>
      <c r="E575" s="212"/>
      <c r="F575" s="212"/>
      <c r="G575" s="212"/>
      <c r="J575" s="212"/>
      <c r="K575" s="212"/>
    </row>
    <row r="576" spans="1:11" ht="12.75" customHeight="1">
      <c r="A576" s="212"/>
      <c r="B576" s="212"/>
      <c r="C576" s="212"/>
      <c r="D576" s="212"/>
      <c r="E576" s="212"/>
      <c r="F576" s="212"/>
      <c r="G576" s="212"/>
      <c r="J576" s="212"/>
      <c r="K576" s="212"/>
    </row>
    <row r="577" spans="1:11" ht="12.75" customHeight="1">
      <c r="A577" s="212"/>
      <c r="B577" s="212"/>
      <c r="C577" s="212"/>
      <c r="D577" s="212"/>
      <c r="E577" s="212"/>
      <c r="F577" s="212"/>
      <c r="G577" s="212"/>
      <c r="J577" s="212"/>
      <c r="K577" s="212"/>
    </row>
    <row r="578" spans="1:11" ht="12.75" customHeight="1">
      <c r="A578" s="212"/>
      <c r="B578" s="212"/>
      <c r="C578" s="212"/>
      <c r="D578" s="212"/>
      <c r="E578" s="212"/>
      <c r="F578" s="212"/>
      <c r="G578" s="212"/>
      <c r="J578" s="212"/>
      <c r="K578" s="212"/>
    </row>
    <row r="579" spans="1:11" ht="12.75" customHeight="1">
      <c r="A579" s="212"/>
      <c r="B579" s="212"/>
      <c r="C579" s="212"/>
      <c r="D579" s="212"/>
      <c r="E579" s="212"/>
      <c r="F579" s="212"/>
      <c r="G579" s="212"/>
      <c r="J579" s="212"/>
      <c r="K579" s="212"/>
    </row>
    <row r="580" spans="1:11" ht="12.75" customHeight="1">
      <c r="A580" s="212"/>
      <c r="B580" s="212"/>
      <c r="C580" s="212"/>
      <c r="D580" s="212"/>
      <c r="E580" s="212"/>
      <c r="F580" s="212"/>
      <c r="G580" s="212"/>
      <c r="J580" s="212"/>
      <c r="K580" s="212"/>
    </row>
    <row r="581" spans="1:11" ht="12.75" customHeight="1">
      <c r="A581" s="212"/>
      <c r="B581" s="212"/>
      <c r="C581" s="212"/>
      <c r="D581" s="212"/>
      <c r="E581" s="212"/>
      <c r="F581" s="212"/>
      <c r="G581" s="212"/>
      <c r="J581" s="212"/>
      <c r="K581" s="212"/>
    </row>
    <row r="582" spans="1:11" ht="12.75" customHeight="1">
      <c r="A582" s="212"/>
      <c r="B582" s="212"/>
      <c r="C582" s="212"/>
      <c r="D582" s="212"/>
      <c r="E582" s="212"/>
      <c r="F582" s="212"/>
      <c r="G582" s="212"/>
      <c r="J582" s="212"/>
      <c r="K582" s="212"/>
    </row>
    <row r="583" spans="1:11" ht="12.75" customHeight="1">
      <c r="A583" s="212"/>
      <c r="B583" s="212"/>
      <c r="C583" s="212"/>
      <c r="D583" s="212"/>
      <c r="E583" s="212"/>
      <c r="F583" s="212"/>
      <c r="G583" s="212"/>
      <c r="J583" s="212"/>
      <c r="K583" s="212"/>
    </row>
    <row r="584" spans="1:11" ht="12.75" customHeight="1">
      <c r="A584" s="212"/>
      <c r="B584" s="212"/>
      <c r="C584" s="212"/>
      <c r="D584" s="212"/>
      <c r="E584" s="212"/>
      <c r="F584" s="212"/>
      <c r="G584" s="212"/>
      <c r="J584" s="212"/>
      <c r="K584" s="212"/>
    </row>
    <row r="585" spans="1:11" ht="12.75" customHeight="1">
      <c r="A585" s="212"/>
      <c r="B585" s="212"/>
      <c r="C585" s="212"/>
      <c r="D585" s="212"/>
      <c r="E585" s="212"/>
      <c r="F585" s="212"/>
      <c r="G585" s="212"/>
      <c r="J585" s="212"/>
      <c r="K585" s="212"/>
    </row>
    <row r="586" spans="1:11" ht="12.75" customHeight="1">
      <c r="A586" s="212"/>
      <c r="B586" s="212"/>
      <c r="C586" s="212"/>
      <c r="D586" s="212"/>
      <c r="E586" s="212"/>
      <c r="F586" s="212"/>
      <c r="G586" s="212"/>
      <c r="J586" s="212"/>
      <c r="K586" s="212"/>
    </row>
    <row r="587" spans="1:11" ht="12.75" customHeight="1">
      <c r="A587" s="212"/>
      <c r="B587" s="212"/>
      <c r="C587" s="212"/>
      <c r="D587" s="212"/>
      <c r="E587" s="212"/>
      <c r="F587" s="212"/>
      <c r="G587" s="212"/>
      <c r="J587" s="212"/>
      <c r="K587" s="212"/>
    </row>
    <row r="588" spans="1:11" ht="12.75" customHeight="1">
      <c r="A588" s="212"/>
      <c r="B588" s="212"/>
      <c r="C588" s="212"/>
      <c r="D588" s="212"/>
      <c r="E588" s="212"/>
      <c r="F588" s="212"/>
      <c r="G588" s="212"/>
      <c r="J588" s="212"/>
      <c r="K588" s="212"/>
    </row>
    <row r="589" spans="1:11" ht="12.75" customHeight="1">
      <c r="A589" s="212"/>
      <c r="B589" s="212"/>
      <c r="C589" s="212"/>
      <c r="D589" s="212"/>
      <c r="E589" s="212"/>
      <c r="F589" s="212"/>
      <c r="G589" s="212"/>
      <c r="J589" s="212"/>
      <c r="K589" s="212"/>
    </row>
    <row r="590" spans="1:11" ht="12.75" customHeight="1">
      <c r="A590" s="212"/>
      <c r="B590" s="212"/>
      <c r="C590" s="212"/>
      <c r="D590" s="212"/>
      <c r="E590" s="212"/>
      <c r="F590" s="212"/>
      <c r="G590" s="212"/>
      <c r="J590" s="212"/>
      <c r="K590" s="212"/>
    </row>
    <row r="591" spans="1:11" ht="12.75" customHeight="1">
      <c r="A591" s="212"/>
      <c r="B591" s="212"/>
      <c r="C591" s="212"/>
      <c r="D591" s="212"/>
      <c r="E591" s="212"/>
      <c r="F591" s="212"/>
      <c r="G591" s="212"/>
      <c r="J591" s="212"/>
      <c r="K591" s="212"/>
    </row>
    <row r="592" spans="1:11" ht="12.75" customHeight="1">
      <c r="A592" s="212"/>
      <c r="B592" s="212"/>
      <c r="C592" s="212"/>
      <c r="D592" s="212"/>
      <c r="E592" s="212"/>
      <c r="F592" s="212"/>
      <c r="G592" s="212"/>
      <c r="J592" s="212"/>
      <c r="K592" s="212"/>
    </row>
    <row r="593" spans="1:11" ht="12.75" customHeight="1">
      <c r="A593" s="212"/>
      <c r="B593" s="212"/>
      <c r="C593" s="212"/>
      <c r="D593" s="212"/>
      <c r="E593" s="212"/>
      <c r="F593" s="212"/>
      <c r="G593" s="212"/>
      <c r="J593" s="212"/>
      <c r="K593" s="212"/>
    </row>
    <row r="594" spans="1:11" ht="12.75" customHeight="1">
      <c r="A594" s="212"/>
      <c r="B594" s="212"/>
      <c r="C594" s="212"/>
      <c r="D594" s="212"/>
      <c r="E594" s="212"/>
      <c r="F594" s="212"/>
      <c r="G594" s="212"/>
      <c r="J594" s="212"/>
      <c r="K594" s="212"/>
    </row>
    <row r="595" spans="1:11" ht="12.75" customHeight="1">
      <c r="A595" s="212"/>
      <c r="B595" s="212"/>
      <c r="C595" s="212"/>
      <c r="D595" s="212"/>
      <c r="E595" s="212"/>
      <c r="F595" s="212"/>
      <c r="G595" s="212"/>
      <c r="J595" s="212"/>
      <c r="K595" s="212"/>
    </row>
    <row r="596" spans="1:11" ht="12.75" customHeight="1">
      <c r="A596" s="212"/>
      <c r="B596" s="212"/>
      <c r="C596" s="212"/>
      <c r="D596" s="212"/>
      <c r="E596" s="212"/>
      <c r="F596" s="212"/>
      <c r="G596" s="212"/>
      <c r="J596" s="212"/>
      <c r="K596" s="212"/>
    </row>
    <row r="597" spans="1:11" ht="12.75" customHeight="1">
      <c r="A597" s="212"/>
      <c r="B597" s="212"/>
      <c r="C597" s="212"/>
      <c r="D597" s="212"/>
      <c r="E597" s="212"/>
      <c r="F597" s="212"/>
      <c r="G597" s="212"/>
      <c r="J597" s="212"/>
      <c r="K597" s="212"/>
    </row>
    <row r="598" spans="1:11" ht="12.75" customHeight="1">
      <c r="A598" s="212"/>
      <c r="B598" s="212"/>
      <c r="C598" s="212"/>
      <c r="D598" s="212"/>
      <c r="E598" s="212"/>
      <c r="F598" s="212"/>
      <c r="G598" s="212"/>
      <c r="J598" s="212"/>
      <c r="K598" s="212"/>
    </row>
    <row r="599" spans="1:11" ht="12.75" customHeight="1">
      <c r="A599" s="212"/>
      <c r="B599" s="212"/>
      <c r="C599" s="212"/>
      <c r="D599" s="212"/>
      <c r="E599" s="212"/>
      <c r="F599" s="212"/>
      <c r="G599" s="212"/>
      <c r="J599" s="212"/>
      <c r="K599" s="212"/>
    </row>
    <row r="600" spans="1:11" ht="12.75" customHeight="1">
      <c r="A600" s="212"/>
      <c r="B600" s="212"/>
      <c r="C600" s="212"/>
      <c r="D600" s="212"/>
      <c r="E600" s="212"/>
      <c r="F600" s="212"/>
      <c r="G600" s="212"/>
      <c r="J600" s="212"/>
      <c r="K600" s="212"/>
    </row>
    <row r="601" spans="1:11" ht="12.75" customHeight="1">
      <c r="A601" s="212"/>
      <c r="B601" s="212"/>
      <c r="C601" s="212"/>
      <c r="D601" s="212"/>
      <c r="E601" s="212"/>
      <c r="F601" s="212"/>
      <c r="G601" s="212"/>
      <c r="J601" s="212"/>
      <c r="K601" s="212"/>
    </row>
    <row r="602" spans="1:11" ht="12.75" customHeight="1">
      <c r="A602" s="212"/>
      <c r="B602" s="212"/>
      <c r="C602" s="212"/>
      <c r="D602" s="212"/>
      <c r="E602" s="212"/>
      <c r="F602" s="212"/>
      <c r="G602" s="212"/>
      <c r="J602" s="212"/>
      <c r="K602" s="212"/>
    </row>
    <row r="603" spans="1:11" ht="12.75" customHeight="1">
      <c r="A603" s="212"/>
      <c r="B603" s="212"/>
      <c r="C603" s="212"/>
      <c r="D603" s="212"/>
      <c r="E603" s="212"/>
      <c r="F603" s="212"/>
      <c r="G603" s="212"/>
      <c r="J603" s="212"/>
      <c r="K603" s="212"/>
    </row>
    <row r="604" spans="1:11" ht="12.75" customHeight="1">
      <c r="A604" s="212"/>
      <c r="B604" s="212"/>
      <c r="C604" s="212"/>
      <c r="D604" s="212"/>
      <c r="E604" s="212"/>
      <c r="F604" s="212"/>
      <c r="G604" s="212"/>
      <c r="J604" s="212"/>
      <c r="K604" s="212"/>
    </row>
    <row r="605" spans="1:11" ht="12.75" customHeight="1">
      <c r="A605" s="212"/>
      <c r="B605" s="212"/>
      <c r="C605" s="212"/>
      <c r="D605" s="212"/>
      <c r="E605" s="212"/>
      <c r="F605" s="212"/>
      <c r="G605" s="212"/>
      <c r="J605" s="212"/>
      <c r="K605" s="212"/>
    </row>
    <row r="606" spans="1:11" ht="12.75" customHeight="1">
      <c r="A606" s="212"/>
      <c r="B606" s="212"/>
      <c r="C606" s="212"/>
      <c r="D606" s="212"/>
      <c r="E606" s="212"/>
      <c r="F606" s="212"/>
      <c r="G606" s="212"/>
      <c r="J606" s="212"/>
      <c r="K606" s="212"/>
    </row>
    <row r="607" spans="1:11" ht="12.75" customHeight="1">
      <c r="A607" s="212"/>
      <c r="B607" s="212"/>
      <c r="C607" s="212"/>
      <c r="D607" s="212"/>
      <c r="E607" s="212"/>
      <c r="F607" s="212"/>
      <c r="G607" s="212"/>
      <c r="J607" s="212"/>
      <c r="K607" s="212"/>
    </row>
    <row r="608" spans="1:11" ht="12.75" customHeight="1">
      <c r="A608" s="212"/>
      <c r="B608" s="212"/>
      <c r="C608" s="212"/>
      <c r="D608" s="212"/>
      <c r="E608" s="212"/>
      <c r="F608" s="212"/>
      <c r="G608" s="212"/>
      <c r="J608" s="212"/>
      <c r="K608" s="212"/>
    </row>
    <row r="609" spans="1:11" ht="12.75" customHeight="1">
      <c r="A609" s="212"/>
      <c r="B609" s="212"/>
      <c r="C609" s="212"/>
      <c r="D609" s="212"/>
      <c r="E609" s="212"/>
      <c r="F609" s="212"/>
      <c r="G609" s="212"/>
      <c r="J609" s="212"/>
      <c r="K609" s="212"/>
    </row>
    <row r="610" spans="1:11" ht="12.75" customHeight="1">
      <c r="A610" s="212"/>
      <c r="B610" s="212"/>
      <c r="C610" s="212"/>
      <c r="D610" s="212"/>
      <c r="E610" s="212"/>
      <c r="F610" s="212"/>
      <c r="G610" s="212"/>
      <c r="J610" s="212"/>
      <c r="K610" s="212"/>
    </row>
    <row r="611" spans="1:11" ht="12.75" customHeight="1">
      <c r="A611" s="212"/>
      <c r="B611" s="212"/>
      <c r="C611" s="212"/>
      <c r="D611" s="212"/>
      <c r="E611" s="212"/>
      <c r="F611" s="212"/>
      <c r="G611" s="212"/>
      <c r="J611" s="212"/>
      <c r="K611" s="212"/>
    </row>
    <row r="612" spans="1:11" ht="12.75" customHeight="1">
      <c r="A612" s="212"/>
      <c r="B612" s="212"/>
      <c r="C612" s="212"/>
      <c r="D612" s="212"/>
      <c r="E612" s="212"/>
      <c r="F612" s="212"/>
      <c r="G612" s="212"/>
      <c r="J612" s="212"/>
      <c r="K612" s="212"/>
    </row>
    <row r="613" spans="1:11" ht="12.75" customHeight="1">
      <c r="A613" s="212"/>
      <c r="B613" s="212"/>
      <c r="C613" s="212"/>
      <c r="D613" s="212"/>
      <c r="E613" s="212"/>
      <c r="F613" s="212"/>
      <c r="G613" s="212"/>
      <c r="J613" s="212"/>
      <c r="K613" s="212"/>
    </row>
    <row r="614" spans="1:11" ht="12.75" customHeight="1">
      <c r="A614" s="212"/>
      <c r="B614" s="212"/>
      <c r="C614" s="212"/>
      <c r="D614" s="212"/>
      <c r="E614" s="212"/>
      <c r="F614" s="212"/>
      <c r="G614" s="212"/>
      <c r="J614" s="212"/>
      <c r="K614" s="212"/>
    </row>
    <row r="615" spans="1:11" ht="12.75" customHeight="1">
      <c r="A615" s="212"/>
      <c r="B615" s="212"/>
      <c r="C615" s="212"/>
      <c r="D615" s="212"/>
      <c r="E615" s="212"/>
      <c r="F615" s="212"/>
      <c r="G615" s="212"/>
      <c r="J615" s="212"/>
      <c r="K615" s="212"/>
    </row>
    <row r="616" spans="1:11" ht="12.75" customHeight="1">
      <c r="A616" s="212"/>
      <c r="B616" s="212"/>
      <c r="C616" s="212"/>
      <c r="D616" s="212"/>
      <c r="E616" s="212"/>
      <c r="F616" s="212"/>
      <c r="G616" s="212"/>
      <c r="J616" s="212"/>
      <c r="K616" s="212"/>
    </row>
    <row r="617" spans="1:11" ht="12.75" customHeight="1">
      <c r="A617" s="212"/>
      <c r="B617" s="212"/>
      <c r="C617" s="212"/>
      <c r="D617" s="212"/>
      <c r="E617" s="212"/>
      <c r="F617" s="212"/>
      <c r="G617" s="212"/>
      <c r="J617" s="212"/>
      <c r="K617" s="212"/>
    </row>
    <row r="618" spans="1:11" ht="12.75" customHeight="1">
      <c r="A618" s="212"/>
      <c r="B618" s="212"/>
      <c r="C618" s="212"/>
      <c r="D618" s="212"/>
      <c r="E618" s="212"/>
      <c r="F618" s="212"/>
      <c r="G618" s="212"/>
      <c r="J618" s="212"/>
      <c r="K618" s="212"/>
    </row>
    <row r="619" spans="1:11" ht="12.75" customHeight="1">
      <c r="A619" s="212"/>
      <c r="B619" s="212"/>
      <c r="C619" s="212"/>
      <c r="D619" s="212"/>
      <c r="E619" s="212"/>
      <c r="F619" s="212"/>
      <c r="G619" s="212"/>
      <c r="J619" s="212"/>
      <c r="K619" s="212"/>
    </row>
    <row r="620" spans="1:11" ht="12.75" customHeight="1">
      <c r="A620" s="212"/>
      <c r="B620" s="212"/>
      <c r="C620" s="212"/>
      <c r="D620" s="212"/>
      <c r="E620" s="212"/>
      <c r="F620" s="212"/>
      <c r="G620" s="212"/>
      <c r="J620" s="212"/>
      <c r="K620" s="212"/>
    </row>
    <row r="621" spans="1:11" ht="12.75" customHeight="1">
      <c r="A621" s="212"/>
      <c r="B621" s="212"/>
      <c r="C621" s="212"/>
      <c r="D621" s="212"/>
      <c r="E621" s="212"/>
      <c r="F621" s="212"/>
      <c r="G621" s="212"/>
      <c r="J621" s="212"/>
      <c r="K621" s="212"/>
    </row>
    <row r="622" spans="1:11" ht="12.75" customHeight="1">
      <c r="A622" s="212"/>
      <c r="B622" s="212"/>
      <c r="C622" s="212"/>
      <c r="D622" s="212"/>
      <c r="E622" s="212"/>
      <c r="F622" s="212"/>
      <c r="G622" s="212"/>
      <c r="J622" s="212"/>
      <c r="K622" s="212"/>
    </row>
    <row r="623" spans="1:11" ht="12.75" customHeight="1">
      <c r="A623" s="212"/>
      <c r="B623" s="212"/>
      <c r="C623" s="212"/>
      <c r="D623" s="212"/>
      <c r="E623" s="212"/>
      <c r="F623" s="212"/>
      <c r="G623" s="212"/>
      <c r="J623" s="212"/>
      <c r="K623" s="212"/>
    </row>
    <row r="624" spans="1:11" ht="12.75" customHeight="1">
      <c r="A624" s="212"/>
      <c r="B624" s="212"/>
      <c r="C624" s="212"/>
      <c r="D624" s="212"/>
      <c r="E624" s="212"/>
      <c r="F624" s="212"/>
      <c r="G624" s="212"/>
      <c r="J624" s="212"/>
      <c r="K624" s="212"/>
    </row>
    <row r="625" spans="1:11" ht="12.75" customHeight="1">
      <c r="A625" s="212"/>
      <c r="B625" s="212"/>
      <c r="C625" s="212"/>
      <c r="D625" s="212"/>
      <c r="E625" s="212"/>
      <c r="F625" s="212"/>
      <c r="G625" s="212"/>
      <c r="J625" s="212"/>
      <c r="K625" s="212"/>
    </row>
    <row r="626" spans="1:11" ht="12.75" customHeight="1">
      <c r="A626" s="212"/>
      <c r="B626" s="212"/>
      <c r="C626" s="212"/>
      <c r="D626" s="212"/>
      <c r="E626" s="212"/>
      <c r="F626" s="212"/>
      <c r="G626" s="212"/>
      <c r="J626" s="212"/>
      <c r="K626" s="212"/>
    </row>
    <row r="627" spans="1:11" ht="12.75" customHeight="1">
      <c r="A627" s="212"/>
      <c r="B627" s="212"/>
      <c r="C627" s="212"/>
      <c r="D627" s="212"/>
      <c r="E627" s="212"/>
      <c r="F627" s="212"/>
      <c r="G627" s="212"/>
      <c r="J627" s="212"/>
      <c r="K627" s="212"/>
    </row>
    <row r="628" spans="1:11" ht="12.75" customHeight="1">
      <c r="A628" s="212"/>
      <c r="B628" s="212"/>
      <c r="C628" s="212"/>
      <c r="D628" s="212"/>
      <c r="E628" s="212"/>
      <c r="F628" s="212"/>
      <c r="G628" s="212"/>
      <c r="J628" s="212"/>
      <c r="K628" s="212"/>
    </row>
    <row r="629" spans="1:11" ht="12.75" customHeight="1">
      <c r="A629" s="212"/>
      <c r="B629" s="212"/>
      <c r="C629" s="212"/>
      <c r="D629" s="212"/>
      <c r="E629" s="212"/>
      <c r="F629" s="212"/>
      <c r="G629" s="212"/>
      <c r="J629" s="212"/>
      <c r="K629" s="212"/>
    </row>
    <row r="630" spans="1:11" ht="12.75" customHeight="1">
      <c r="A630" s="212"/>
      <c r="B630" s="212"/>
      <c r="C630" s="212"/>
      <c r="D630" s="212"/>
      <c r="E630" s="212"/>
      <c r="F630" s="212"/>
      <c r="G630" s="212"/>
      <c r="J630" s="212"/>
      <c r="K630" s="212"/>
    </row>
    <row r="631" spans="1:11" ht="12.75" customHeight="1">
      <c r="A631" s="212"/>
      <c r="B631" s="212"/>
      <c r="C631" s="212"/>
      <c r="D631" s="212"/>
      <c r="E631" s="212"/>
      <c r="F631" s="212"/>
      <c r="G631" s="212"/>
      <c r="J631" s="212"/>
      <c r="K631" s="212"/>
    </row>
    <row r="632" spans="1:11" ht="12.75" customHeight="1">
      <c r="A632" s="212"/>
      <c r="B632" s="212"/>
      <c r="C632" s="212"/>
      <c r="D632" s="212"/>
      <c r="E632" s="212"/>
      <c r="F632" s="212"/>
      <c r="G632" s="212"/>
      <c r="J632" s="212"/>
      <c r="K632" s="212"/>
    </row>
    <row r="633" spans="1:11" ht="12.75" customHeight="1">
      <c r="A633" s="212"/>
      <c r="B633" s="212"/>
      <c r="C633" s="212"/>
      <c r="D633" s="212"/>
      <c r="E633" s="212"/>
      <c r="F633" s="212"/>
      <c r="G633" s="212"/>
      <c r="J633" s="212"/>
      <c r="K633" s="212"/>
    </row>
    <row r="634" spans="1:11" ht="12.75" customHeight="1">
      <c r="A634" s="212"/>
      <c r="B634" s="212"/>
      <c r="C634" s="212"/>
      <c r="D634" s="212"/>
      <c r="E634" s="212"/>
      <c r="F634" s="212"/>
      <c r="G634" s="212"/>
      <c r="J634" s="212"/>
      <c r="K634" s="212"/>
    </row>
    <row r="635" spans="1:11" ht="12.75" customHeight="1">
      <c r="A635" s="212"/>
      <c r="B635" s="212"/>
      <c r="C635" s="212"/>
      <c r="D635" s="212"/>
      <c r="E635" s="212"/>
      <c r="F635" s="212"/>
      <c r="G635" s="212"/>
      <c r="J635" s="212"/>
      <c r="K635" s="212"/>
    </row>
    <row r="636" spans="1:11" ht="12.75" customHeight="1">
      <c r="A636" s="212"/>
      <c r="B636" s="212"/>
      <c r="C636" s="212"/>
      <c r="D636" s="212"/>
      <c r="E636" s="212"/>
      <c r="F636" s="212"/>
      <c r="G636" s="212"/>
      <c r="J636" s="212"/>
      <c r="K636" s="212"/>
    </row>
    <row r="637" spans="1:11" ht="12.75" customHeight="1">
      <c r="A637" s="212"/>
      <c r="B637" s="212"/>
      <c r="C637" s="212"/>
      <c r="D637" s="212"/>
      <c r="E637" s="212"/>
      <c r="F637" s="212"/>
      <c r="G637" s="212"/>
      <c r="J637" s="212"/>
      <c r="K637" s="212"/>
    </row>
    <row r="638" spans="1:11" ht="12.75" customHeight="1">
      <c r="A638" s="212"/>
      <c r="B638" s="212"/>
      <c r="C638" s="212"/>
      <c r="D638" s="212"/>
      <c r="E638" s="212"/>
      <c r="F638" s="212"/>
      <c r="G638" s="212"/>
      <c r="J638" s="212"/>
      <c r="K638" s="212"/>
    </row>
    <row r="639" spans="1:11" ht="12.75" customHeight="1">
      <c r="A639" s="212"/>
      <c r="B639" s="212"/>
      <c r="C639" s="212"/>
      <c r="D639" s="212"/>
      <c r="E639" s="212"/>
      <c r="F639" s="212"/>
      <c r="G639" s="212"/>
      <c r="J639" s="212"/>
      <c r="K639" s="212"/>
    </row>
    <row r="640" spans="1:11" ht="12.75" customHeight="1">
      <c r="A640" s="212"/>
      <c r="B640" s="212"/>
      <c r="C640" s="212"/>
      <c r="D640" s="212"/>
      <c r="E640" s="212"/>
      <c r="F640" s="212"/>
      <c r="G640" s="212"/>
      <c r="J640" s="212"/>
      <c r="K640" s="212"/>
    </row>
    <row r="641" spans="1:11" ht="12.75" customHeight="1">
      <c r="A641" s="212"/>
      <c r="B641" s="212"/>
      <c r="C641" s="212"/>
      <c r="D641" s="212"/>
      <c r="E641" s="212"/>
      <c r="F641" s="212"/>
      <c r="G641" s="212"/>
      <c r="J641" s="212"/>
      <c r="K641" s="212"/>
    </row>
    <row r="642" spans="1:11" ht="12.75" customHeight="1">
      <c r="A642" s="212"/>
      <c r="B642" s="212"/>
      <c r="C642" s="212"/>
      <c r="D642" s="212"/>
      <c r="E642" s="212"/>
      <c r="F642" s="212"/>
      <c r="G642" s="212"/>
      <c r="J642" s="212"/>
      <c r="K642" s="212"/>
    </row>
    <row r="643" spans="1:11" ht="12.75" customHeight="1">
      <c r="A643" s="212"/>
      <c r="B643" s="212"/>
      <c r="C643" s="212"/>
      <c r="D643" s="212"/>
      <c r="E643" s="212"/>
      <c r="F643" s="212"/>
      <c r="G643" s="212"/>
      <c r="J643" s="212"/>
      <c r="K643" s="212"/>
    </row>
    <row r="644" spans="1:11" ht="12.75" customHeight="1">
      <c r="A644" s="212"/>
      <c r="B644" s="212"/>
      <c r="C644" s="212"/>
      <c r="D644" s="212"/>
      <c r="E644" s="212"/>
      <c r="F644" s="212"/>
      <c r="G644" s="212"/>
      <c r="J644" s="212"/>
      <c r="K644" s="212"/>
    </row>
    <row r="645" spans="1:11" ht="12.75" customHeight="1">
      <c r="A645" s="212"/>
      <c r="B645" s="212"/>
      <c r="C645" s="212"/>
      <c r="D645" s="212"/>
      <c r="E645" s="212"/>
      <c r="F645" s="212"/>
      <c r="G645" s="212"/>
      <c r="J645" s="212"/>
      <c r="K645" s="212"/>
    </row>
    <row r="646" spans="1:11" ht="12.75" customHeight="1">
      <c r="A646" s="212"/>
      <c r="B646" s="212"/>
      <c r="C646" s="212"/>
      <c r="D646" s="212"/>
      <c r="E646" s="212"/>
      <c r="F646" s="212"/>
      <c r="G646" s="212"/>
      <c r="J646" s="212"/>
      <c r="K646" s="212"/>
    </row>
    <row r="647" spans="1:11" ht="12.75" customHeight="1">
      <c r="A647" s="212"/>
      <c r="B647" s="212"/>
      <c r="C647" s="212"/>
      <c r="D647" s="212"/>
      <c r="E647" s="212"/>
      <c r="F647" s="212"/>
      <c r="G647" s="212"/>
      <c r="J647" s="212"/>
      <c r="K647" s="212"/>
    </row>
    <row r="648" spans="1:11" ht="12.75" customHeight="1">
      <c r="A648" s="212"/>
      <c r="B648" s="212"/>
      <c r="C648" s="212"/>
      <c r="D648" s="212"/>
      <c r="E648" s="212"/>
      <c r="F648" s="212"/>
      <c r="G648" s="212"/>
      <c r="J648" s="212"/>
      <c r="K648" s="212"/>
    </row>
    <row r="649" spans="1:11" ht="12.75" customHeight="1">
      <c r="A649" s="212"/>
      <c r="B649" s="212"/>
      <c r="C649" s="212"/>
      <c r="D649" s="212"/>
      <c r="E649" s="212"/>
      <c r="F649" s="212"/>
      <c r="G649" s="212"/>
      <c r="J649" s="212"/>
      <c r="K649" s="212"/>
    </row>
    <row r="650" spans="1:11" ht="12.75" customHeight="1">
      <c r="A650" s="212"/>
      <c r="B650" s="212"/>
      <c r="C650" s="212"/>
      <c r="D650" s="212"/>
      <c r="E650" s="212"/>
      <c r="F650" s="212"/>
      <c r="G650" s="212"/>
      <c r="J650" s="212"/>
      <c r="K650" s="212"/>
    </row>
    <row r="651" spans="1:11" ht="12.75" customHeight="1">
      <c r="A651" s="212"/>
      <c r="B651" s="212"/>
      <c r="C651" s="212"/>
      <c r="D651" s="212"/>
      <c r="E651" s="212"/>
      <c r="F651" s="212"/>
      <c r="G651" s="212"/>
      <c r="J651" s="212"/>
      <c r="K651" s="212"/>
    </row>
    <row r="652" spans="1:11" ht="12.75" customHeight="1">
      <c r="A652" s="212"/>
      <c r="B652" s="212"/>
      <c r="C652" s="212"/>
      <c r="D652" s="212"/>
      <c r="E652" s="212"/>
      <c r="F652" s="212"/>
      <c r="G652" s="212"/>
      <c r="J652" s="212"/>
      <c r="K652" s="212"/>
    </row>
    <row r="653" spans="1:11" ht="12.75" customHeight="1">
      <c r="A653" s="212"/>
      <c r="B653" s="212"/>
      <c r="C653" s="212"/>
      <c r="D653" s="212"/>
      <c r="E653" s="212"/>
      <c r="F653" s="212"/>
      <c r="G653" s="212"/>
      <c r="J653" s="212"/>
      <c r="K653" s="212"/>
    </row>
    <row r="654" spans="1:11" ht="12.75" customHeight="1">
      <c r="A654" s="212"/>
      <c r="B654" s="212"/>
      <c r="C654" s="212"/>
      <c r="D654" s="212"/>
      <c r="E654" s="212"/>
      <c r="F654" s="212"/>
      <c r="G654" s="212"/>
      <c r="J654" s="212"/>
      <c r="K654" s="212"/>
    </row>
    <row r="655" spans="1:11" ht="12.75" customHeight="1">
      <c r="A655" s="212"/>
      <c r="B655" s="212"/>
      <c r="C655" s="212"/>
      <c r="D655" s="212"/>
      <c r="E655" s="212"/>
      <c r="F655" s="212"/>
      <c r="G655" s="212"/>
      <c r="J655" s="212"/>
      <c r="K655" s="212"/>
    </row>
    <row r="656" spans="1:11" ht="12.75" customHeight="1">
      <c r="A656" s="212"/>
      <c r="B656" s="212"/>
      <c r="C656" s="212"/>
      <c r="D656" s="212"/>
      <c r="E656" s="212"/>
      <c r="F656" s="212"/>
      <c r="G656" s="212"/>
      <c r="J656" s="212"/>
      <c r="K656" s="212"/>
    </row>
    <row r="657" spans="1:11" ht="12.75" customHeight="1">
      <c r="A657" s="212"/>
      <c r="B657" s="212"/>
      <c r="C657" s="212"/>
      <c r="D657" s="212"/>
      <c r="E657" s="212"/>
      <c r="F657" s="212"/>
      <c r="G657" s="212"/>
      <c r="J657" s="212"/>
      <c r="K657" s="212"/>
    </row>
    <row r="658" spans="1:11" ht="12.75" customHeight="1">
      <c r="A658" s="212"/>
      <c r="B658" s="212"/>
      <c r="C658" s="212"/>
      <c r="D658" s="212"/>
      <c r="E658" s="212"/>
      <c r="F658" s="212"/>
      <c r="G658" s="212"/>
      <c r="J658" s="212"/>
      <c r="K658" s="212"/>
    </row>
    <row r="659" spans="1:11" ht="12.75" customHeight="1">
      <c r="A659" s="212"/>
      <c r="B659" s="212"/>
      <c r="C659" s="212"/>
      <c r="D659" s="212"/>
      <c r="E659" s="212"/>
      <c r="F659" s="212"/>
      <c r="G659" s="212"/>
      <c r="J659" s="212"/>
      <c r="K659" s="212"/>
    </row>
    <row r="660" spans="1:11" ht="12.75" customHeight="1">
      <c r="A660" s="212"/>
      <c r="B660" s="212"/>
      <c r="C660" s="212"/>
      <c r="D660" s="212"/>
      <c r="E660" s="212"/>
      <c r="F660" s="212"/>
      <c r="G660" s="212"/>
      <c r="J660" s="212"/>
      <c r="K660" s="212"/>
    </row>
    <row r="661" spans="1:11" ht="12.75" customHeight="1">
      <c r="A661" s="212"/>
      <c r="B661" s="212"/>
      <c r="C661" s="212"/>
      <c r="D661" s="212"/>
      <c r="E661" s="212"/>
      <c r="F661" s="212"/>
      <c r="G661" s="212"/>
      <c r="J661" s="212"/>
      <c r="K661" s="212"/>
    </row>
    <row r="662" spans="1:11" ht="12.75" customHeight="1">
      <c r="A662" s="212"/>
      <c r="B662" s="212"/>
      <c r="C662" s="212"/>
      <c r="D662" s="212"/>
      <c r="E662" s="212"/>
      <c r="F662" s="212"/>
      <c r="G662" s="212"/>
      <c r="J662" s="212"/>
      <c r="K662" s="212"/>
    </row>
    <row r="663" spans="1:11" ht="12.75" customHeight="1">
      <c r="A663" s="212"/>
      <c r="B663" s="212"/>
      <c r="C663" s="212"/>
      <c r="D663" s="212"/>
      <c r="E663" s="212"/>
      <c r="F663" s="212"/>
      <c r="G663" s="212"/>
      <c r="J663" s="212"/>
      <c r="K663" s="212"/>
    </row>
    <row r="664" spans="1:11" ht="12.75" customHeight="1">
      <c r="A664" s="212"/>
      <c r="B664" s="212"/>
      <c r="C664" s="212"/>
      <c r="D664" s="212"/>
      <c r="E664" s="212"/>
      <c r="F664" s="212"/>
      <c r="G664" s="212"/>
      <c r="J664" s="212"/>
      <c r="K664" s="212"/>
    </row>
    <row r="665" spans="1:11" ht="12.75" customHeight="1">
      <c r="A665" s="212"/>
      <c r="B665" s="212"/>
      <c r="C665" s="212"/>
      <c r="D665" s="212"/>
      <c r="E665" s="212"/>
      <c r="F665" s="212"/>
      <c r="G665" s="212"/>
      <c r="J665" s="212"/>
      <c r="K665" s="212"/>
    </row>
    <row r="666" spans="1:11" ht="12.75" customHeight="1">
      <c r="A666" s="212"/>
      <c r="B666" s="212"/>
      <c r="C666" s="212"/>
      <c r="D666" s="212"/>
      <c r="E666" s="212"/>
      <c r="F666" s="212"/>
      <c r="G666" s="212"/>
      <c r="J666" s="212"/>
      <c r="K666" s="212"/>
    </row>
    <row r="667" spans="1:11" ht="12.75" customHeight="1">
      <c r="A667" s="212"/>
      <c r="B667" s="212"/>
      <c r="C667" s="212"/>
      <c r="D667" s="212"/>
      <c r="E667" s="212"/>
      <c r="F667" s="212"/>
      <c r="G667" s="212"/>
      <c r="J667" s="212"/>
      <c r="K667" s="212"/>
    </row>
    <row r="668" spans="1:11" ht="12.75" customHeight="1">
      <c r="A668" s="212"/>
      <c r="B668" s="212"/>
      <c r="C668" s="212"/>
      <c r="D668" s="212"/>
      <c r="E668" s="212"/>
      <c r="F668" s="212"/>
      <c r="G668" s="212"/>
      <c r="J668" s="212"/>
      <c r="K668" s="212"/>
    </row>
    <row r="669" spans="1:11" ht="12.75" customHeight="1">
      <c r="A669" s="212"/>
      <c r="B669" s="212"/>
      <c r="C669" s="212"/>
      <c r="D669" s="212"/>
      <c r="E669" s="212"/>
      <c r="F669" s="212"/>
      <c r="G669" s="212"/>
      <c r="J669" s="212"/>
      <c r="K669" s="212"/>
    </row>
    <row r="670" spans="1:11" ht="12.75" customHeight="1">
      <c r="A670" s="212"/>
      <c r="B670" s="212"/>
      <c r="C670" s="212"/>
      <c r="D670" s="212"/>
      <c r="E670" s="212"/>
      <c r="F670" s="212"/>
      <c r="G670" s="212"/>
      <c r="J670" s="212"/>
      <c r="K670" s="212"/>
    </row>
    <row r="671" spans="1:11" ht="12.75" customHeight="1">
      <c r="A671" s="212"/>
      <c r="B671" s="212"/>
      <c r="C671" s="212"/>
      <c r="D671" s="212"/>
      <c r="E671" s="212"/>
      <c r="F671" s="212"/>
      <c r="G671" s="212"/>
      <c r="J671" s="212"/>
      <c r="K671" s="212"/>
    </row>
    <row r="672" spans="1:11" ht="12.75" customHeight="1">
      <c r="A672" s="212"/>
      <c r="B672" s="212"/>
      <c r="C672" s="212"/>
      <c r="D672" s="212"/>
      <c r="E672" s="212"/>
      <c r="F672" s="212"/>
      <c r="G672" s="212"/>
      <c r="J672" s="212"/>
      <c r="K672" s="212"/>
    </row>
    <row r="673" spans="1:11" ht="12.75" customHeight="1">
      <c r="A673" s="212"/>
      <c r="B673" s="212"/>
      <c r="C673" s="212"/>
      <c r="D673" s="212"/>
      <c r="E673" s="212"/>
      <c r="F673" s="212"/>
      <c r="G673" s="212"/>
      <c r="J673" s="212"/>
      <c r="K673" s="212"/>
    </row>
    <row r="674" spans="1:11" ht="12.75" customHeight="1">
      <c r="A674" s="212"/>
      <c r="B674" s="212"/>
      <c r="C674" s="212"/>
      <c r="D674" s="212"/>
      <c r="E674" s="212"/>
      <c r="F674" s="212"/>
      <c r="G674" s="212"/>
      <c r="J674" s="212"/>
      <c r="K674" s="212"/>
    </row>
    <row r="675" spans="1:11" ht="12.75" customHeight="1">
      <c r="A675" s="212"/>
      <c r="B675" s="212"/>
      <c r="C675" s="212"/>
      <c r="D675" s="212"/>
      <c r="E675" s="212"/>
      <c r="F675" s="212"/>
      <c r="G675" s="212"/>
      <c r="J675" s="212"/>
      <c r="K675" s="212"/>
    </row>
    <row r="676" spans="1:11" ht="12.75" customHeight="1">
      <c r="A676" s="212"/>
      <c r="B676" s="212"/>
      <c r="C676" s="212"/>
      <c r="D676" s="212"/>
      <c r="E676" s="212"/>
      <c r="F676" s="212"/>
      <c r="G676" s="212"/>
      <c r="J676" s="212"/>
      <c r="K676" s="212"/>
    </row>
    <row r="677" spans="1:11" ht="12.75" customHeight="1">
      <c r="A677" s="212"/>
      <c r="B677" s="212"/>
      <c r="C677" s="212"/>
      <c r="D677" s="212"/>
      <c r="E677" s="212"/>
      <c r="F677" s="212"/>
      <c r="G677" s="212"/>
      <c r="J677" s="212"/>
      <c r="K677" s="212"/>
    </row>
    <row r="678" spans="1:11" ht="12.75" customHeight="1">
      <c r="A678" s="212"/>
      <c r="B678" s="212"/>
      <c r="C678" s="212"/>
      <c r="D678" s="212"/>
      <c r="E678" s="212"/>
      <c r="F678" s="212"/>
      <c r="G678" s="212"/>
      <c r="J678" s="212"/>
      <c r="K678" s="212"/>
    </row>
    <row r="679" spans="1:11" ht="12.75" customHeight="1">
      <c r="A679" s="212"/>
      <c r="B679" s="212"/>
      <c r="C679" s="212"/>
      <c r="D679" s="212"/>
      <c r="E679" s="212"/>
      <c r="F679" s="212"/>
      <c r="G679" s="212"/>
      <c r="J679" s="212"/>
      <c r="K679" s="212"/>
    </row>
    <row r="680" spans="1:11" ht="12.75" customHeight="1">
      <c r="A680" s="212"/>
      <c r="B680" s="212"/>
      <c r="C680" s="212"/>
      <c r="D680" s="212"/>
      <c r="E680" s="212"/>
      <c r="F680" s="212"/>
      <c r="G680" s="212"/>
      <c r="J680" s="212"/>
      <c r="K680" s="212"/>
    </row>
    <row r="681" spans="1:11" ht="12.75" customHeight="1">
      <c r="A681" s="212"/>
      <c r="B681" s="212"/>
      <c r="C681" s="212"/>
      <c r="D681" s="212"/>
      <c r="E681" s="212"/>
      <c r="F681" s="212"/>
      <c r="G681" s="212"/>
      <c r="J681" s="212"/>
      <c r="K681" s="212"/>
    </row>
    <row r="682" spans="1:11" ht="12.75" customHeight="1">
      <c r="A682" s="212"/>
      <c r="B682" s="212"/>
      <c r="C682" s="212"/>
      <c r="D682" s="212"/>
      <c r="E682" s="212"/>
      <c r="F682" s="212"/>
      <c r="G682" s="212"/>
      <c r="J682" s="212"/>
      <c r="K682" s="212"/>
    </row>
    <row r="683" spans="1:11" ht="12.75" customHeight="1">
      <c r="A683" s="212"/>
      <c r="B683" s="212"/>
      <c r="C683" s="212"/>
      <c r="D683" s="212"/>
      <c r="E683" s="212"/>
      <c r="F683" s="212"/>
      <c r="G683" s="212"/>
      <c r="J683" s="212"/>
      <c r="K683" s="212"/>
    </row>
    <row r="684" spans="1:11" ht="12.75" customHeight="1">
      <c r="A684" s="212"/>
      <c r="B684" s="212"/>
      <c r="C684" s="212"/>
      <c r="D684" s="212"/>
      <c r="E684" s="212"/>
      <c r="F684" s="212"/>
      <c r="G684" s="212"/>
      <c r="J684" s="212"/>
      <c r="K684" s="212"/>
    </row>
    <row r="685" spans="1:11" ht="12.75" customHeight="1">
      <c r="A685" s="212"/>
      <c r="B685" s="212"/>
      <c r="C685" s="212"/>
      <c r="D685" s="212"/>
      <c r="E685" s="212"/>
      <c r="F685" s="212"/>
      <c r="G685" s="212"/>
      <c r="J685" s="212"/>
      <c r="K685" s="212"/>
    </row>
    <row r="686" spans="1:11" ht="12.75" customHeight="1">
      <c r="A686" s="212"/>
      <c r="B686" s="212"/>
      <c r="C686" s="212"/>
      <c r="D686" s="212"/>
      <c r="E686" s="212"/>
      <c r="F686" s="212"/>
      <c r="G686" s="212"/>
      <c r="J686" s="212"/>
      <c r="K686" s="212"/>
    </row>
    <row r="687" spans="1:11" ht="12.75" customHeight="1">
      <c r="A687" s="212"/>
      <c r="B687" s="212"/>
      <c r="C687" s="212"/>
      <c r="D687" s="212"/>
      <c r="E687" s="212"/>
      <c r="F687" s="212"/>
      <c r="G687" s="212"/>
      <c r="J687" s="212"/>
      <c r="K687" s="212"/>
    </row>
    <row r="688" spans="1:11" ht="12.75" customHeight="1">
      <c r="A688" s="212"/>
      <c r="B688" s="212"/>
      <c r="C688" s="212"/>
      <c r="D688" s="212"/>
      <c r="E688" s="212"/>
      <c r="F688" s="212"/>
      <c r="G688" s="212"/>
      <c r="J688" s="212"/>
      <c r="K688" s="212"/>
    </row>
    <row r="689" spans="1:11" ht="12.75" customHeight="1">
      <c r="A689" s="212"/>
      <c r="B689" s="212"/>
      <c r="C689" s="212"/>
      <c r="D689" s="212"/>
      <c r="E689" s="212"/>
      <c r="F689" s="212"/>
      <c r="G689" s="212"/>
      <c r="J689" s="212"/>
      <c r="K689" s="212"/>
    </row>
    <row r="690" spans="1:11" ht="12.75" customHeight="1">
      <c r="A690" s="212"/>
      <c r="B690" s="212"/>
      <c r="C690" s="212"/>
      <c r="D690" s="212"/>
      <c r="E690" s="212"/>
      <c r="F690" s="212"/>
      <c r="G690" s="212"/>
      <c r="J690" s="212"/>
      <c r="K690" s="212"/>
    </row>
    <row r="691" spans="1:11" ht="12.75" customHeight="1">
      <c r="A691" s="212"/>
      <c r="B691" s="212"/>
      <c r="C691" s="212"/>
      <c r="D691" s="212"/>
      <c r="E691" s="212"/>
      <c r="F691" s="212"/>
      <c r="G691" s="212"/>
      <c r="J691" s="212"/>
      <c r="K691" s="212"/>
    </row>
    <row r="692" spans="1:11" ht="12.75" customHeight="1">
      <c r="A692" s="212"/>
      <c r="B692" s="212"/>
      <c r="C692" s="212"/>
      <c r="D692" s="212"/>
      <c r="E692" s="212"/>
      <c r="F692" s="212"/>
      <c r="G692" s="212"/>
      <c r="J692" s="212"/>
      <c r="K692" s="212"/>
    </row>
    <row r="693" spans="1:11" ht="12.75" customHeight="1">
      <c r="A693" s="212"/>
      <c r="B693" s="212"/>
      <c r="C693" s="212"/>
      <c r="D693" s="212"/>
      <c r="E693" s="212"/>
      <c r="F693" s="212"/>
      <c r="G693" s="212"/>
      <c r="J693" s="212"/>
      <c r="K693" s="212"/>
    </row>
    <row r="694" spans="1:11" ht="12.75" customHeight="1">
      <c r="A694" s="212"/>
      <c r="B694" s="212"/>
      <c r="C694" s="212"/>
      <c r="D694" s="212"/>
      <c r="E694" s="212"/>
      <c r="F694" s="212"/>
      <c r="G694" s="212"/>
      <c r="J694" s="212"/>
      <c r="K694" s="212"/>
    </row>
    <row r="695" spans="1:11" ht="12.75" customHeight="1">
      <c r="A695" s="212"/>
      <c r="B695" s="212"/>
      <c r="C695" s="212"/>
      <c r="D695" s="212"/>
      <c r="E695" s="212"/>
      <c r="F695" s="212"/>
      <c r="G695" s="212"/>
      <c r="J695" s="212"/>
      <c r="K695" s="212"/>
    </row>
    <row r="696" spans="1:11" ht="12.75" customHeight="1">
      <c r="A696" s="212"/>
      <c r="B696" s="212"/>
      <c r="C696" s="212"/>
      <c r="D696" s="212"/>
      <c r="E696" s="212"/>
      <c r="F696" s="212"/>
      <c r="G696" s="212"/>
      <c r="J696" s="212"/>
      <c r="K696" s="212"/>
    </row>
    <row r="697" spans="1:11" ht="12.75" customHeight="1">
      <c r="A697" s="212"/>
      <c r="B697" s="212"/>
      <c r="C697" s="212"/>
      <c r="D697" s="212"/>
      <c r="E697" s="212"/>
      <c r="F697" s="212"/>
      <c r="G697" s="212"/>
      <c r="J697" s="212"/>
      <c r="K697" s="212"/>
    </row>
    <row r="698" spans="1:11" ht="12.75" customHeight="1">
      <c r="A698" s="212"/>
      <c r="B698" s="212"/>
      <c r="C698" s="212"/>
      <c r="D698" s="212"/>
      <c r="E698" s="212"/>
      <c r="F698" s="212"/>
      <c r="G698" s="212"/>
      <c r="J698" s="212"/>
      <c r="K698" s="212"/>
    </row>
    <row r="699" spans="1:11" ht="12.75" customHeight="1">
      <c r="A699" s="212"/>
      <c r="B699" s="212"/>
      <c r="C699" s="212"/>
      <c r="D699" s="212"/>
      <c r="E699" s="212"/>
      <c r="F699" s="212"/>
      <c r="G699" s="212"/>
      <c r="J699" s="212"/>
      <c r="K699" s="212"/>
    </row>
    <row r="700" spans="1:11" ht="12.75" customHeight="1">
      <c r="A700" s="212"/>
      <c r="B700" s="212"/>
      <c r="C700" s="212"/>
      <c r="D700" s="212"/>
      <c r="E700" s="212"/>
      <c r="F700" s="212"/>
      <c r="G700" s="212"/>
      <c r="J700" s="212"/>
      <c r="K700" s="212"/>
    </row>
    <row r="701" spans="1:11" ht="12.75" customHeight="1">
      <c r="A701" s="212"/>
      <c r="B701" s="212"/>
      <c r="C701" s="212"/>
      <c r="D701" s="212"/>
      <c r="E701" s="212"/>
      <c r="F701" s="212"/>
      <c r="G701" s="212"/>
      <c r="J701" s="212"/>
      <c r="K701" s="212"/>
    </row>
    <row r="702" spans="1:11" ht="12.75" customHeight="1">
      <c r="A702" s="212"/>
      <c r="B702" s="212"/>
      <c r="C702" s="212"/>
      <c r="D702" s="212"/>
      <c r="E702" s="212"/>
      <c r="F702" s="212"/>
      <c r="G702" s="212"/>
      <c r="J702" s="212"/>
      <c r="K702" s="212"/>
    </row>
    <row r="703" spans="1:11" ht="12.75" customHeight="1">
      <c r="A703" s="212"/>
      <c r="B703" s="212"/>
      <c r="C703" s="212"/>
      <c r="D703" s="212"/>
      <c r="E703" s="212"/>
      <c r="F703" s="212"/>
      <c r="G703" s="212"/>
      <c r="J703" s="212"/>
      <c r="K703" s="212"/>
    </row>
    <row r="704" spans="1:11" ht="12.75" customHeight="1">
      <c r="A704" s="212"/>
      <c r="B704" s="212"/>
      <c r="C704" s="212"/>
      <c r="D704" s="212"/>
      <c r="E704" s="212"/>
      <c r="F704" s="212"/>
      <c r="G704" s="212"/>
      <c r="J704" s="212"/>
      <c r="K704" s="212"/>
    </row>
    <row r="705" spans="1:11" ht="12.75" customHeight="1">
      <c r="A705" s="212"/>
      <c r="B705" s="212"/>
      <c r="C705" s="212"/>
      <c r="D705" s="212"/>
      <c r="E705" s="212"/>
      <c r="F705" s="212"/>
      <c r="G705" s="212"/>
      <c r="J705" s="212"/>
      <c r="K705" s="212"/>
    </row>
    <row r="706" spans="1:11" ht="12.75" customHeight="1">
      <c r="A706" s="212"/>
      <c r="B706" s="212"/>
      <c r="C706" s="212"/>
      <c r="D706" s="212"/>
      <c r="E706" s="212"/>
      <c r="F706" s="212"/>
      <c r="G706" s="212"/>
      <c r="J706" s="212"/>
      <c r="K706" s="212"/>
    </row>
    <row r="707" spans="1:11" ht="12.75" customHeight="1">
      <c r="A707" s="212"/>
      <c r="B707" s="212"/>
      <c r="C707" s="212"/>
      <c r="D707" s="212"/>
      <c r="E707" s="212"/>
      <c r="F707" s="212"/>
      <c r="G707" s="212"/>
      <c r="J707" s="212"/>
      <c r="K707" s="212"/>
    </row>
    <row r="708" spans="1:11" ht="12.75" customHeight="1">
      <c r="A708" s="212"/>
      <c r="B708" s="212"/>
      <c r="C708" s="212"/>
      <c r="D708" s="212"/>
      <c r="E708" s="212"/>
      <c r="F708" s="212"/>
      <c r="G708" s="212"/>
      <c r="J708" s="212"/>
      <c r="K708" s="212"/>
    </row>
    <row r="709" spans="1:11" ht="12.75" customHeight="1">
      <c r="A709" s="212"/>
      <c r="B709" s="212"/>
      <c r="C709" s="212"/>
      <c r="D709" s="212"/>
      <c r="E709" s="212"/>
      <c r="F709" s="212"/>
      <c r="G709" s="212"/>
      <c r="J709" s="212"/>
      <c r="K709" s="212"/>
    </row>
    <row r="710" spans="1:11" ht="12.75" customHeight="1">
      <c r="A710" s="212"/>
      <c r="B710" s="212"/>
      <c r="C710" s="212"/>
      <c r="D710" s="212"/>
      <c r="E710" s="212"/>
      <c r="F710" s="212"/>
      <c r="G710" s="212"/>
      <c r="J710" s="212"/>
      <c r="K710" s="212"/>
    </row>
    <row r="711" spans="1:11" ht="12.75" customHeight="1">
      <c r="A711" s="212"/>
      <c r="B711" s="212"/>
      <c r="C711" s="212"/>
      <c r="D711" s="212"/>
      <c r="E711" s="212"/>
      <c r="F711" s="212"/>
      <c r="G711" s="212"/>
      <c r="J711" s="212"/>
      <c r="K711" s="212"/>
    </row>
    <row r="712" spans="1:11" ht="12.75" customHeight="1">
      <c r="A712" s="212"/>
      <c r="B712" s="212"/>
      <c r="C712" s="212"/>
      <c r="D712" s="212"/>
      <c r="E712" s="212"/>
      <c r="F712" s="212"/>
      <c r="G712" s="212"/>
      <c r="J712" s="212"/>
      <c r="K712" s="212"/>
    </row>
    <row r="713" spans="1:11" ht="12.75" customHeight="1">
      <c r="A713" s="212"/>
      <c r="B713" s="212"/>
      <c r="C713" s="212"/>
      <c r="D713" s="212"/>
      <c r="E713" s="212"/>
      <c r="F713" s="212"/>
      <c r="G713" s="212"/>
      <c r="J713" s="212"/>
      <c r="K713" s="212"/>
    </row>
    <row r="714" spans="1:11" ht="12.75" customHeight="1">
      <c r="A714" s="212"/>
      <c r="B714" s="212"/>
      <c r="C714" s="212"/>
      <c r="D714" s="212"/>
      <c r="E714" s="212"/>
      <c r="F714" s="212"/>
      <c r="G714" s="212"/>
      <c r="J714" s="212"/>
      <c r="K714" s="212"/>
    </row>
    <row r="715" spans="1:11" ht="12.75" customHeight="1">
      <c r="A715" s="212"/>
      <c r="B715" s="212"/>
      <c r="C715" s="212"/>
      <c r="D715" s="212"/>
      <c r="E715" s="212"/>
      <c r="F715" s="212"/>
      <c r="G715" s="212"/>
      <c r="J715" s="212"/>
      <c r="K715" s="212"/>
    </row>
    <row r="716" spans="1:11" ht="12.75" customHeight="1">
      <c r="A716" s="212"/>
      <c r="B716" s="212"/>
      <c r="C716" s="212"/>
      <c r="D716" s="212"/>
      <c r="E716" s="212"/>
      <c r="F716" s="212"/>
      <c r="G716" s="212"/>
      <c r="J716" s="212"/>
      <c r="K716" s="212"/>
    </row>
    <row r="717" spans="1:11" ht="12.75" customHeight="1">
      <c r="A717" s="212"/>
      <c r="B717" s="212"/>
      <c r="C717" s="212"/>
      <c r="D717" s="212"/>
      <c r="E717" s="212"/>
      <c r="F717" s="212"/>
      <c r="G717" s="212"/>
      <c r="J717" s="212"/>
      <c r="K717" s="212"/>
    </row>
    <row r="718" spans="1:11" ht="12.75" customHeight="1">
      <c r="A718" s="212"/>
      <c r="B718" s="212"/>
      <c r="C718" s="212"/>
      <c r="D718" s="212"/>
      <c r="E718" s="212"/>
      <c r="F718" s="212"/>
      <c r="G718" s="212"/>
      <c r="J718" s="212"/>
      <c r="K718" s="212"/>
    </row>
    <row r="719" spans="1:11" ht="12.75" customHeight="1">
      <c r="A719" s="212"/>
      <c r="B719" s="212"/>
      <c r="C719" s="212"/>
      <c r="D719" s="212"/>
      <c r="E719" s="212"/>
      <c r="F719" s="212"/>
      <c r="G719" s="212"/>
      <c r="J719" s="212"/>
      <c r="K719" s="212"/>
    </row>
    <row r="720" spans="1:11" ht="12.75" customHeight="1">
      <c r="A720" s="212"/>
      <c r="B720" s="212"/>
      <c r="C720" s="212"/>
      <c r="D720" s="212"/>
      <c r="E720" s="212"/>
      <c r="F720" s="212"/>
      <c r="G720" s="212"/>
      <c r="J720" s="212"/>
      <c r="K720" s="212"/>
    </row>
    <row r="721" spans="1:11" ht="12.75" customHeight="1">
      <c r="A721" s="212"/>
      <c r="B721" s="212"/>
      <c r="C721" s="212"/>
      <c r="D721" s="212"/>
      <c r="E721" s="212"/>
      <c r="F721" s="212"/>
      <c r="G721" s="212"/>
      <c r="J721" s="212"/>
      <c r="K721" s="212"/>
    </row>
    <row r="722" spans="1:11" ht="12.75" customHeight="1">
      <c r="A722" s="212"/>
      <c r="B722" s="212"/>
      <c r="C722" s="212"/>
      <c r="D722" s="212"/>
      <c r="E722" s="212"/>
      <c r="F722" s="212"/>
      <c r="G722" s="212"/>
      <c r="J722" s="212"/>
      <c r="K722" s="212"/>
    </row>
    <row r="723" spans="1:11" ht="12.75" customHeight="1">
      <c r="A723" s="212"/>
      <c r="B723" s="212"/>
      <c r="C723" s="212"/>
      <c r="D723" s="212"/>
      <c r="E723" s="212"/>
      <c r="F723" s="212"/>
      <c r="G723" s="212"/>
      <c r="J723" s="212"/>
      <c r="K723" s="212"/>
    </row>
    <row r="724" spans="1:11" ht="12.75" customHeight="1">
      <c r="A724" s="212"/>
      <c r="B724" s="212"/>
      <c r="C724" s="212"/>
      <c r="D724" s="212"/>
      <c r="E724" s="212"/>
      <c r="F724" s="212"/>
      <c r="G724" s="212"/>
      <c r="J724" s="212"/>
      <c r="K724" s="212"/>
    </row>
    <row r="725" spans="1:11" ht="12.75" customHeight="1">
      <c r="A725" s="212"/>
      <c r="B725" s="212"/>
      <c r="C725" s="212"/>
      <c r="D725" s="212"/>
      <c r="E725" s="212"/>
      <c r="F725" s="212"/>
      <c r="G725" s="212"/>
      <c r="J725" s="212"/>
      <c r="K725" s="212"/>
    </row>
    <row r="726" spans="1:11" ht="12.75" customHeight="1">
      <c r="A726" s="212"/>
      <c r="B726" s="212"/>
      <c r="C726" s="212"/>
      <c r="D726" s="212"/>
      <c r="E726" s="212"/>
      <c r="F726" s="212"/>
      <c r="G726" s="212"/>
      <c r="J726" s="212"/>
      <c r="K726" s="212"/>
    </row>
    <row r="727" spans="1:11" ht="12.75" customHeight="1">
      <c r="A727" s="212"/>
      <c r="B727" s="212"/>
      <c r="C727" s="212"/>
      <c r="D727" s="212"/>
      <c r="E727" s="212"/>
      <c r="F727" s="212"/>
      <c r="G727" s="212"/>
      <c r="J727" s="212"/>
      <c r="K727" s="212"/>
    </row>
    <row r="728" spans="1:11" ht="12.75" customHeight="1">
      <c r="A728" s="212"/>
      <c r="B728" s="212"/>
      <c r="C728" s="212"/>
      <c r="D728" s="212"/>
      <c r="E728" s="212"/>
      <c r="F728" s="212"/>
      <c r="G728" s="212"/>
      <c r="J728" s="212"/>
      <c r="K728" s="212"/>
    </row>
    <row r="729" spans="1:11" ht="12.75" customHeight="1">
      <c r="A729" s="212"/>
      <c r="B729" s="212"/>
      <c r="C729" s="212"/>
      <c r="D729" s="212"/>
      <c r="E729" s="212"/>
      <c r="F729" s="212"/>
      <c r="G729" s="212"/>
      <c r="J729" s="212"/>
      <c r="K729" s="212"/>
    </row>
    <row r="730" spans="1:11" ht="12.75" customHeight="1">
      <c r="A730" s="212"/>
      <c r="B730" s="212"/>
      <c r="C730" s="212"/>
      <c r="D730" s="212"/>
      <c r="E730" s="212"/>
      <c r="F730" s="212"/>
      <c r="G730" s="212"/>
      <c r="J730" s="212"/>
      <c r="K730" s="212"/>
    </row>
    <row r="731" spans="1:11" ht="12.75" customHeight="1">
      <c r="A731" s="212"/>
      <c r="B731" s="212"/>
      <c r="C731" s="212"/>
      <c r="D731" s="212"/>
      <c r="E731" s="212"/>
      <c r="F731" s="212"/>
      <c r="G731" s="212"/>
      <c r="J731" s="212"/>
      <c r="K731" s="212"/>
    </row>
    <row r="732" spans="1:11" ht="12.75" customHeight="1">
      <c r="A732" s="212"/>
      <c r="B732" s="212"/>
      <c r="C732" s="212"/>
      <c r="D732" s="212"/>
      <c r="E732" s="212"/>
      <c r="F732" s="212"/>
      <c r="G732" s="212"/>
      <c r="J732" s="212"/>
      <c r="K732" s="212"/>
    </row>
    <row r="733" spans="1:11" ht="12.75" customHeight="1">
      <c r="A733" s="212"/>
      <c r="B733" s="212"/>
      <c r="C733" s="212"/>
      <c r="D733" s="212"/>
      <c r="E733" s="212"/>
      <c r="F733" s="212"/>
      <c r="G733" s="212"/>
      <c r="J733" s="212"/>
      <c r="K733" s="212"/>
    </row>
    <row r="734" spans="1:11" ht="12.75" customHeight="1">
      <c r="A734" s="212"/>
      <c r="B734" s="212"/>
      <c r="C734" s="212"/>
      <c r="D734" s="212"/>
      <c r="E734" s="212"/>
      <c r="F734" s="212"/>
      <c r="G734" s="212"/>
      <c r="J734" s="212"/>
      <c r="K734" s="212"/>
    </row>
    <row r="735" spans="1:11" ht="12.75" customHeight="1">
      <c r="A735" s="212"/>
      <c r="B735" s="212"/>
      <c r="C735" s="212"/>
      <c r="D735" s="212"/>
      <c r="E735" s="212"/>
      <c r="F735" s="212"/>
      <c r="G735" s="212"/>
      <c r="J735" s="212"/>
      <c r="K735" s="212"/>
    </row>
    <row r="736" spans="1:11" ht="12.75" customHeight="1">
      <c r="A736" s="212"/>
      <c r="B736" s="212"/>
      <c r="C736" s="212"/>
      <c r="D736" s="212"/>
      <c r="E736" s="212"/>
      <c r="F736" s="212"/>
      <c r="G736" s="212"/>
      <c r="J736" s="212"/>
      <c r="K736" s="212"/>
    </row>
    <row r="737" spans="1:11" ht="12.75" customHeight="1">
      <c r="A737" s="212"/>
      <c r="B737" s="212"/>
      <c r="C737" s="212"/>
      <c r="D737" s="212"/>
      <c r="E737" s="212"/>
      <c r="F737" s="212"/>
      <c r="G737" s="212"/>
      <c r="J737" s="212"/>
      <c r="K737" s="212"/>
    </row>
    <row r="738" spans="1:11" ht="12.75" customHeight="1">
      <c r="A738" s="212"/>
      <c r="B738" s="212"/>
      <c r="C738" s="212"/>
      <c r="D738" s="212"/>
      <c r="E738" s="212"/>
      <c r="F738" s="212"/>
      <c r="G738" s="212"/>
      <c r="J738" s="212"/>
      <c r="K738" s="212"/>
    </row>
    <row r="739" spans="1:11" ht="12.75" customHeight="1">
      <c r="A739" s="212"/>
      <c r="B739" s="212"/>
      <c r="C739" s="212"/>
      <c r="D739" s="212"/>
      <c r="E739" s="212"/>
      <c r="F739" s="212"/>
      <c r="G739" s="212"/>
      <c r="J739" s="212"/>
      <c r="K739" s="212"/>
    </row>
    <row r="740" spans="1:11" ht="12.75" customHeight="1">
      <c r="A740" s="212"/>
      <c r="B740" s="212"/>
      <c r="C740" s="212"/>
      <c r="D740" s="212"/>
      <c r="E740" s="212"/>
      <c r="F740" s="212"/>
      <c r="G740" s="212"/>
      <c r="J740" s="212"/>
      <c r="K740" s="212"/>
    </row>
    <row r="741" spans="1:11" ht="12.75" customHeight="1">
      <c r="A741" s="212"/>
      <c r="B741" s="212"/>
      <c r="C741" s="212"/>
      <c r="D741" s="212"/>
      <c r="E741" s="212"/>
      <c r="F741" s="212"/>
      <c r="G741" s="212"/>
      <c r="J741" s="212"/>
      <c r="K741" s="212"/>
    </row>
    <row r="742" spans="1:11" ht="12.75" customHeight="1">
      <c r="A742" s="212"/>
      <c r="B742" s="212"/>
      <c r="C742" s="212"/>
      <c r="D742" s="212"/>
      <c r="E742" s="212"/>
      <c r="F742" s="212"/>
      <c r="G742" s="212"/>
      <c r="J742" s="212"/>
      <c r="K742" s="212"/>
    </row>
    <row r="743" spans="1:11" ht="12.75" customHeight="1">
      <c r="A743" s="212"/>
      <c r="B743" s="212"/>
      <c r="C743" s="212"/>
      <c r="D743" s="212"/>
      <c r="E743" s="212"/>
      <c r="F743" s="212"/>
      <c r="G743" s="212"/>
      <c r="J743" s="212"/>
      <c r="K743" s="212"/>
    </row>
    <row r="744" spans="1:11" ht="12.75" customHeight="1">
      <c r="A744" s="212"/>
      <c r="B744" s="212"/>
      <c r="C744" s="212"/>
      <c r="D744" s="212"/>
      <c r="E744" s="212"/>
      <c r="F744" s="212"/>
      <c r="G744" s="212"/>
      <c r="J744" s="212"/>
      <c r="K744" s="212"/>
    </row>
    <row r="745" spans="1:11" ht="12.75" customHeight="1">
      <c r="A745" s="212"/>
      <c r="B745" s="212"/>
      <c r="C745" s="212"/>
      <c r="D745" s="212"/>
      <c r="E745" s="212"/>
      <c r="F745" s="212"/>
      <c r="G745" s="212"/>
      <c r="J745" s="212"/>
      <c r="K745" s="212"/>
    </row>
    <row r="746" spans="1:11" ht="12.75" customHeight="1">
      <c r="A746" s="212"/>
      <c r="B746" s="212"/>
      <c r="C746" s="212"/>
      <c r="D746" s="212"/>
      <c r="E746" s="212"/>
      <c r="F746" s="212"/>
      <c r="G746" s="212"/>
      <c r="J746" s="212"/>
      <c r="K746" s="212"/>
    </row>
    <row r="747" spans="1:11" ht="12.75" customHeight="1">
      <c r="A747" s="212"/>
      <c r="B747" s="212"/>
      <c r="C747" s="212"/>
      <c r="D747" s="212"/>
      <c r="E747" s="212"/>
      <c r="F747" s="212"/>
      <c r="G747" s="212"/>
      <c r="J747" s="212"/>
      <c r="K747" s="212"/>
    </row>
    <row r="748" spans="1:11" ht="12.75" customHeight="1">
      <c r="A748" s="212"/>
      <c r="B748" s="212"/>
      <c r="C748" s="212"/>
      <c r="D748" s="212"/>
      <c r="E748" s="212"/>
      <c r="F748" s="212"/>
      <c r="G748" s="212"/>
      <c r="J748" s="212"/>
      <c r="K748" s="212"/>
    </row>
    <row r="749" spans="1:11" ht="12.75" customHeight="1">
      <c r="A749" s="212"/>
      <c r="B749" s="212"/>
      <c r="C749" s="212"/>
      <c r="D749" s="212"/>
      <c r="E749" s="212"/>
      <c r="F749" s="212"/>
      <c r="G749" s="212"/>
      <c r="J749" s="212"/>
      <c r="K749" s="212"/>
    </row>
    <row r="750" spans="1:11" ht="12.75" customHeight="1">
      <c r="A750" s="212"/>
      <c r="B750" s="212"/>
      <c r="C750" s="212"/>
      <c r="D750" s="212"/>
      <c r="E750" s="212"/>
      <c r="F750" s="212"/>
      <c r="G750" s="212"/>
      <c r="J750" s="212"/>
      <c r="K750" s="212"/>
    </row>
    <row r="751" spans="1:11" ht="12.75" customHeight="1">
      <c r="A751" s="212"/>
      <c r="B751" s="212"/>
      <c r="C751" s="212"/>
      <c r="D751" s="212"/>
      <c r="E751" s="212"/>
      <c r="F751" s="212"/>
      <c r="G751" s="212"/>
      <c r="J751" s="212"/>
      <c r="K751" s="212"/>
    </row>
    <row r="752" spans="1:11" ht="12.75" customHeight="1">
      <c r="A752" s="212"/>
      <c r="B752" s="212"/>
      <c r="C752" s="212"/>
      <c r="D752" s="212"/>
      <c r="E752" s="212"/>
      <c r="F752" s="212"/>
      <c r="G752" s="212"/>
      <c r="J752" s="212"/>
      <c r="K752" s="212"/>
    </row>
    <row r="753" spans="1:11" ht="12.75" customHeight="1">
      <c r="A753" s="212"/>
      <c r="B753" s="212"/>
      <c r="C753" s="212"/>
      <c r="D753" s="212"/>
      <c r="E753" s="212"/>
      <c r="F753" s="212"/>
      <c r="G753" s="212"/>
      <c r="J753" s="212"/>
      <c r="K753" s="212"/>
    </row>
    <row r="754" spans="1:11" ht="12.75" customHeight="1">
      <c r="A754" s="212"/>
      <c r="B754" s="212"/>
      <c r="C754" s="212"/>
      <c r="D754" s="212"/>
      <c r="E754" s="212"/>
      <c r="F754" s="212"/>
      <c r="G754" s="212"/>
      <c r="J754" s="212"/>
      <c r="K754" s="212"/>
    </row>
    <row r="755" spans="1:11" ht="12.75" customHeight="1">
      <c r="A755" s="212"/>
      <c r="B755" s="212"/>
      <c r="C755" s="212"/>
      <c r="D755" s="212"/>
      <c r="E755" s="212"/>
      <c r="F755" s="212"/>
      <c r="G755" s="212"/>
      <c r="J755" s="212"/>
      <c r="K755" s="212"/>
    </row>
    <row r="756" spans="1:11" ht="12.75" customHeight="1">
      <c r="A756" s="212"/>
      <c r="B756" s="212"/>
      <c r="C756" s="212"/>
      <c r="D756" s="212"/>
      <c r="E756" s="212"/>
      <c r="F756" s="212"/>
      <c r="G756" s="212"/>
      <c r="J756" s="212"/>
      <c r="K756" s="212"/>
    </row>
    <row r="757" spans="1:11" ht="12.75" customHeight="1">
      <c r="A757" s="212"/>
      <c r="B757" s="212"/>
      <c r="C757" s="212"/>
      <c r="D757" s="212"/>
      <c r="E757" s="212"/>
      <c r="F757" s="212"/>
      <c r="G757" s="212"/>
      <c r="J757" s="212"/>
      <c r="K757" s="212"/>
    </row>
    <row r="758" spans="1:11" ht="12.75" customHeight="1">
      <c r="A758" s="212"/>
      <c r="B758" s="212"/>
      <c r="C758" s="212"/>
      <c r="D758" s="212"/>
      <c r="E758" s="212"/>
      <c r="F758" s="212"/>
      <c r="G758" s="212"/>
      <c r="J758" s="212"/>
      <c r="K758" s="212"/>
    </row>
    <row r="759" spans="1:11" ht="12.75" customHeight="1">
      <c r="A759" s="212"/>
      <c r="B759" s="212"/>
      <c r="C759" s="212"/>
      <c r="D759" s="212"/>
      <c r="E759" s="212"/>
      <c r="F759" s="212"/>
      <c r="G759" s="212"/>
      <c r="J759" s="212"/>
      <c r="K759" s="212"/>
    </row>
    <row r="760" spans="1:11" ht="12.75" customHeight="1">
      <c r="A760" s="212"/>
      <c r="B760" s="212"/>
      <c r="C760" s="212"/>
      <c r="D760" s="212"/>
      <c r="E760" s="212"/>
      <c r="F760" s="212"/>
      <c r="G760" s="212"/>
      <c r="J760" s="212"/>
      <c r="K760" s="212"/>
    </row>
    <row r="761" spans="1:11" ht="12.75" customHeight="1">
      <c r="A761" s="212"/>
      <c r="B761" s="212"/>
      <c r="C761" s="212"/>
      <c r="D761" s="212"/>
      <c r="E761" s="212"/>
      <c r="F761" s="212"/>
      <c r="G761" s="212"/>
      <c r="J761" s="212"/>
      <c r="K761" s="212"/>
    </row>
    <row r="762" spans="1:11" ht="12.75" customHeight="1">
      <c r="A762" s="212"/>
      <c r="B762" s="212"/>
      <c r="C762" s="212"/>
      <c r="D762" s="212"/>
      <c r="E762" s="212"/>
      <c r="F762" s="212"/>
      <c r="G762" s="212"/>
      <c r="J762" s="212"/>
      <c r="K762" s="212"/>
    </row>
    <row r="763" spans="1:11" ht="12.75" customHeight="1">
      <c r="A763" s="212"/>
      <c r="B763" s="212"/>
      <c r="C763" s="212"/>
      <c r="D763" s="212"/>
      <c r="E763" s="212"/>
      <c r="F763" s="212"/>
      <c r="G763" s="212"/>
      <c r="J763" s="212"/>
      <c r="K763" s="212"/>
    </row>
    <row r="764" spans="1:11" ht="12.75" customHeight="1">
      <c r="A764" s="212"/>
      <c r="B764" s="212"/>
      <c r="C764" s="212"/>
      <c r="D764" s="212"/>
      <c r="E764" s="212"/>
      <c r="F764" s="212"/>
      <c r="G764" s="212"/>
      <c r="J764" s="212"/>
      <c r="K764" s="212"/>
    </row>
    <row r="765" spans="1:11" ht="12.75" customHeight="1">
      <c r="A765" s="212"/>
      <c r="B765" s="212"/>
      <c r="C765" s="212"/>
      <c r="D765" s="212"/>
      <c r="E765" s="212"/>
      <c r="F765" s="212"/>
      <c r="G765" s="212"/>
      <c r="J765" s="212"/>
      <c r="K765" s="212"/>
    </row>
    <row r="766" spans="1:11" ht="12.75" customHeight="1">
      <c r="A766" s="212"/>
      <c r="B766" s="212"/>
      <c r="C766" s="212"/>
      <c r="D766" s="212"/>
      <c r="E766" s="212"/>
      <c r="F766" s="212"/>
      <c r="G766" s="212"/>
      <c r="J766" s="212"/>
      <c r="K766" s="212"/>
    </row>
    <row r="767" spans="1:11" ht="12.75" customHeight="1">
      <c r="A767" s="212"/>
      <c r="B767" s="212"/>
      <c r="C767" s="212"/>
      <c r="D767" s="212"/>
      <c r="E767" s="212"/>
      <c r="F767" s="212"/>
      <c r="G767" s="212"/>
      <c r="J767" s="212"/>
      <c r="K767" s="212"/>
    </row>
    <row r="768" spans="1:11" ht="12.75" customHeight="1">
      <c r="A768" s="212"/>
      <c r="B768" s="212"/>
      <c r="C768" s="212"/>
      <c r="D768" s="212"/>
      <c r="E768" s="212"/>
      <c r="F768" s="212"/>
      <c r="G768" s="212"/>
      <c r="J768" s="212"/>
      <c r="K768" s="212"/>
    </row>
    <row r="769" spans="1:11" ht="12.75" customHeight="1">
      <c r="A769" s="212"/>
      <c r="B769" s="212"/>
      <c r="C769" s="212"/>
      <c r="D769" s="212"/>
      <c r="E769" s="212"/>
      <c r="F769" s="212"/>
      <c r="G769" s="212"/>
      <c r="J769" s="212"/>
      <c r="K769" s="212"/>
    </row>
    <row r="770" spans="1:11" ht="12.75" customHeight="1">
      <c r="A770" s="212"/>
      <c r="B770" s="212"/>
      <c r="C770" s="212"/>
      <c r="D770" s="212"/>
      <c r="E770" s="212"/>
      <c r="F770" s="212"/>
      <c r="G770" s="212"/>
      <c r="J770" s="212"/>
      <c r="K770" s="212"/>
    </row>
    <row r="771" spans="1:11" ht="12.75" customHeight="1">
      <c r="A771" s="212"/>
      <c r="B771" s="212"/>
      <c r="C771" s="212"/>
      <c r="D771" s="212"/>
      <c r="E771" s="212"/>
      <c r="F771" s="212"/>
      <c r="G771" s="212"/>
      <c r="J771" s="212"/>
      <c r="K771" s="212"/>
    </row>
    <row r="772" spans="1:11" ht="12.75" customHeight="1">
      <c r="A772" s="212"/>
      <c r="B772" s="212"/>
      <c r="C772" s="212"/>
      <c r="D772" s="212"/>
      <c r="E772" s="212"/>
      <c r="F772" s="212"/>
      <c r="G772" s="212"/>
      <c r="J772" s="212"/>
      <c r="K772" s="212"/>
    </row>
    <row r="773" spans="1:11" ht="12.75" customHeight="1">
      <c r="A773" s="212"/>
      <c r="B773" s="212"/>
      <c r="C773" s="212"/>
      <c r="D773" s="212"/>
      <c r="E773" s="212"/>
      <c r="F773" s="212"/>
      <c r="G773" s="212"/>
      <c r="J773" s="212"/>
      <c r="K773" s="212"/>
    </row>
    <row r="774" spans="1:11" ht="12.75" customHeight="1">
      <c r="A774" s="212"/>
      <c r="B774" s="212"/>
      <c r="C774" s="212"/>
      <c r="D774" s="212"/>
      <c r="E774" s="212"/>
      <c r="F774" s="212"/>
      <c r="G774" s="212"/>
      <c r="J774" s="212"/>
      <c r="K774" s="212"/>
    </row>
    <row r="775" spans="1:11" ht="12.75" customHeight="1">
      <c r="A775" s="212"/>
      <c r="B775" s="212"/>
      <c r="C775" s="212"/>
      <c r="D775" s="212"/>
      <c r="E775" s="212"/>
      <c r="F775" s="212"/>
      <c r="G775" s="212"/>
      <c r="J775" s="212"/>
      <c r="K775" s="212"/>
    </row>
    <row r="776" spans="1:11" ht="12.75" customHeight="1">
      <c r="A776" s="212"/>
      <c r="B776" s="212"/>
      <c r="C776" s="212"/>
      <c r="D776" s="212"/>
      <c r="E776" s="212"/>
      <c r="F776" s="212"/>
      <c r="G776" s="212"/>
      <c r="J776" s="212"/>
      <c r="K776" s="212"/>
    </row>
    <row r="777" spans="1:11" ht="12.75" customHeight="1">
      <c r="A777" s="212"/>
      <c r="B777" s="212"/>
      <c r="C777" s="212"/>
      <c r="D777" s="212"/>
      <c r="E777" s="212"/>
      <c r="F777" s="212"/>
      <c r="G777" s="212"/>
      <c r="J777" s="212"/>
      <c r="K777" s="212"/>
    </row>
    <row r="778" spans="1:11" ht="12.75" customHeight="1">
      <c r="A778" s="212"/>
      <c r="B778" s="212"/>
      <c r="C778" s="212"/>
      <c r="D778" s="212"/>
      <c r="E778" s="212"/>
      <c r="F778" s="212"/>
      <c r="G778" s="212"/>
      <c r="J778" s="212"/>
      <c r="K778" s="212"/>
    </row>
    <row r="779" spans="1:11" ht="12.75" customHeight="1">
      <c r="A779" s="212"/>
      <c r="B779" s="212"/>
      <c r="C779" s="212"/>
      <c r="D779" s="212"/>
      <c r="E779" s="212"/>
      <c r="F779" s="212"/>
      <c r="G779" s="212"/>
      <c r="J779" s="212"/>
      <c r="K779" s="212"/>
    </row>
    <row r="780" spans="1:11" ht="12.75" customHeight="1">
      <c r="A780" s="212"/>
      <c r="B780" s="212"/>
      <c r="C780" s="212"/>
      <c r="D780" s="212"/>
      <c r="E780" s="212"/>
      <c r="F780" s="212"/>
      <c r="G780" s="212"/>
      <c r="J780" s="212"/>
      <c r="K780" s="212"/>
    </row>
    <row r="781" spans="1:11" ht="12.75" customHeight="1">
      <c r="A781" s="212"/>
      <c r="B781" s="212"/>
      <c r="C781" s="212"/>
      <c r="D781" s="212"/>
      <c r="E781" s="212"/>
      <c r="F781" s="212"/>
      <c r="G781" s="212"/>
      <c r="J781" s="212"/>
      <c r="K781" s="212"/>
    </row>
    <row r="782" spans="1:11" ht="12.75" customHeight="1">
      <c r="A782" s="212"/>
      <c r="B782" s="212"/>
      <c r="C782" s="212"/>
      <c r="D782" s="212"/>
      <c r="E782" s="212"/>
      <c r="F782" s="212"/>
      <c r="G782" s="212"/>
      <c r="J782" s="212"/>
      <c r="K782" s="212"/>
    </row>
    <row r="783" spans="1:11" ht="12.75" customHeight="1">
      <c r="A783" s="212"/>
      <c r="B783" s="212"/>
      <c r="C783" s="212"/>
      <c r="D783" s="212"/>
      <c r="E783" s="212"/>
      <c r="F783" s="212"/>
      <c r="G783" s="212"/>
      <c r="J783" s="212"/>
      <c r="K783" s="212"/>
    </row>
    <row r="784" spans="1:11" ht="12.75" customHeight="1">
      <c r="A784" s="212"/>
      <c r="B784" s="212"/>
      <c r="C784" s="212"/>
      <c r="D784" s="212"/>
      <c r="E784" s="212"/>
      <c r="F784" s="212"/>
      <c r="G784" s="212"/>
      <c r="J784" s="212"/>
      <c r="K784" s="212"/>
    </row>
    <row r="785" spans="1:11" ht="12.75" customHeight="1">
      <c r="A785" s="212"/>
      <c r="B785" s="212"/>
      <c r="C785" s="212"/>
      <c r="D785" s="212"/>
      <c r="E785" s="212"/>
      <c r="F785" s="212"/>
      <c r="G785" s="212"/>
      <c r="J785" s="212"/>
      <c r="K785" s="212"/>
    </row>
    <row r="786" spans="1:11" ht="12.75" customHeight="1">
      <c r="A786" s="212"/>
      <c r="B786" s="212"/>
      <c r="C786" s="212"/>
      <c r="D786" s="212"/>
      <c r="E786" s="212"/>
      <c r="F786" s="212"/>
      <c r="G786" s="212"/>
      <c r="J786" s="212"/>
      <c r="K786" s="212"/>
    </row>
    <row r="787" spans="1:11" ht="12.75" customHeight="1">
      <c r="A787" s="212"/>
      <c r="B787" s="212"/>
      <c r="C787" s="212"/>
      <c r="D787" s="212"/>
      <c r="E787" s="212"/>
      <c r="F787" s="212"/>
      <c r="G787" s="212"/>
      <c r="J787" s="212"/>
      <c r="K787" s="212"/>
    </row>
    <row r="788" spans="1:11" ht="12.75" customHeight="1">
      <c r="A788" s="212"/>
      <c r="B788" s="212"/>
      <c r="C788" s="212"/>
      <c r="D788" s="212"/>
      <c r="E788" s="212"/>
      <c r="F788" s="212"/>
      <c r="G788" s="212"/>
      <c r="J788" s="212"/>
      <c r="K788" s="212"/>
    </row>
    <row r="789" spans="1:11" ht="12.75" customHeight="1">
      <c r="A789" s="212"/>
      <c r="B789" s="212"/>
      <c r="C789" s="212"/>
      <c r="D789" s="212"/>
      <c r="E789" s="212"/>
      <c r="F789" s="212"/>
      <c r="G789" s="212"/>
      <c r="J789" s="212"/>
      <c r="K789" s="212"/>
    </row>
    <row r="790" spans="1:11" ht="12.75" customHeight="1">
      <c r="A790" s="212"/>
      <c r="B790" s="212"/>
      <c r="C790" s="212"/>
      <c r="D790" s="212"/>
      <c r="E790" s="212"/>
      <c r="F790" s="212"/>
      <c r="G790" s="212"/>
      <c r="J790" s="212"/>
      <c r="K790" s="212"/>
    </row>
    <row r="791" spans="1:11" ht="12.75" customHeight="1">
      <c r="A791" s="212"/>
      <c r="B791" s="212"/>
      <c r="C791" s="212"/>
      <c r="D791" s="212"/>
      <c r="E791" s="212"/>
      <c r="F791" s="212"/>
      <c r="G791" s="212"/>
      <c r="J791" s="212"/>
      <c r="K791" s="212"/>
    </row>
    <row r="792" spans="1:11" ht="12.75" customHeight="1">
      <c r="A792" s="212"/>
      <c r="B792" s="212"/>
      <c r="C792" s="212"/>
      <c r="D792" s="212"/>
      <c r="E792" s="212"/>
      <c r="F792" s="212"/>
      <c r="G792" s="212"/>
      <c r="J792" s="212"/>
      <c r="K792" s="212"/>
    </row>
    <row r="793" spans="1:11" ht="12.75" customHeight="1">
      <c r="A793" s="212"/>
      <c r="B793" s="212"/>
      <c r="C793" s="212"/>
      <c r="D793" s="212"/>
      <c r="E793" s="212"/>
      <c r="F793" s="212"/>
      <c r="G793" s="212"/>
      <c r="J793" s="212"/>
      <c r="K793" s="212"/>
    </row>
    <row r="794" spans="1:11" ht="12.75" customHeight="1">
      <c r="A794" s="212"/>
      <c r="B794" s="212"/>
      <c r="C794" s="212"/>
      <c r="D794" s="212"/>
      <c r="E794" s="212"/>
      <c r="F794" s="212"/>
      <c r="G794" s="212"/>
      <c r="J794" s="212"/>
      <c r="K794" s="212"/>
    </row>
    <row r="795" spans="1:11" ht="12.75" customHeight="1">
      <c r="A795" s="212"/>
      <c r="B795" s="212"/>
      <c r="C795" s="212"/>
      <c r="D795" s="212"/>
      <c r="E795" s="212"/>
      <c r="F795" s="212"/>
      <c r="G795" s="212"/>
      <c r="J795" s="212"/>
      <c r="K795" s="212"/>
    </row>
    <row r="796" spans="1:11" ht="12.75" customHeight="1">
      <c r="A796" s="212"/>
      <c r="B796" s="212"/>
      <c r="C796" s="212"/>
      <c r="D796" s="212"/>
      <c r="E796" s="212"/>
      <c r="F796" s="212"/>
      <c r="G796" s="212"/>
      <c r="J796" s="212"/>
      <c r="K796" s="212"/>
    </row>
    <row r="797" spans="1:11" ht="12.75" customHeight="1">
      <c r="A797" s="212"/>
      <c r="B797" s="212"/>
      <c r="C797" s="212"/>
      <c r="D797" s="212"/>
      <c r="E797" s="212"/>
      <c r="F797" s="212"/>
      <c r="G797" s="212"/>
      <c r="J797" s="212"/>
      <c r="K797" s="212"/>
    </row>
    <row r="798" spans="1:11" ht="12.75" customHeight="1">
      <c r="A798" s="212"/>
      <c r="B798" s="212"/>
      <c r="C798" s="212"/>
      <c r="D798" s="212"/>
      <c r="E798" s="212"/>
      <c r="F798" s="212"/>
      <c r="G798" s="212"/>
      <c r="J798" s="212"/>
      <c r="K798" s="212"/>
    </row>
    <row r="799" spans="1:11" ht="12.75" customHeight="1">
      <c r="A799" s="212"/>
      <c r="B799" s="212"/>
      <c r="C799" s="212"/>
      <c r="D799" s="212"/>
      <c r="E799" s="212"/>
      <c r="F799" s="212"/>
      <c r="G799" s="212"/>
      <c r="J799" s="212"/>
      <c r="K799" s="212"/>
    </row>
    <row r="800" spans="1:11" ht="12.75" customHeight="1">
      <c r="A800" s="212"/>
      <c r="B800" s="212"/>
      <c r="C800" s="212"/>
      <c r="D800" s="212"/>
      <c r="E800" s="212"/>
      <c r="F800" s="212"/>
      <c r="G800" s="212"/>
      <c r="J800" s="212"/>
      <c r="K800" s="212"/>
    </row>
    <row r="801" spans="1:11" ht="12.75" customHeight="1">
      <c r="A801" s="212"/>
      <c r="B801" s="212"/>
      <c r="C801" s="212"/>
      <c r="D801" s="212"/>
      <c r="E801" s="212"/>
      <c r="F801" s="212"/>
      <c r="G801" s="212"/>
      <c r="J801" s="212"/>
      <c r="K801" s="212"/>
    </row>
    <row r="802" spans="1:11" ht="12.75" customHeight="1">
      <c r="A802" s="212"/>
      <c r="B802" s="212"/>
      <c r="C802" s="212"/>
      <c r="D802" s="212"/>
      <c r="E802" s="212"/>
      <c r="F802" s="212"/>
      <c r="G802" s="212"/>
      <c r="J802" s="212"/>
      <c r="K802" s="212"/>
    </row>
    <row r="803" spans="1:11" ht="12.75" customHeight="1">
      <c r="A803" s="212"/>
      <c r="B803" s="212"/>
      <c r="C803" s="212"/>
      <c r="D803" s="212"/>
      <c r="E803" s="212"/>
      <c r="F803" s="212"/>
      <c r="G803" s="212"/>
      <c r="J803" s="212"/>
      <c r="K803" s="212"/>
    </row>
    <row r="804" spans="1:11" ht="12.75" customHeight="1">
      <c r="A804" s="212"/>
      <c r="B804" s="212"/>
      <c r="C804" s="212"/>
      <c r="D804" s="212"/>
      <c r="E804" s="212"/>
      <c r="F804" s="212"/>
      <c r="G804" s="212"/>
      <c r="J804" s="212"/>
      <c r="K804" s="212"/>
    </row>
    <row r="805" spans="1:11" ht="12.75" customHeight="1">
      <c r="A805" s="212"/>
      <c r="B805" s="212"/>
      <c r="C805" s="212"/>
      <c r="D805" s="212"/>
      <c r="E805" s="212"/>
      <c r="F805" s="212"/>
      <c r="G805" s="212"/>
      <c r="J805" s="212"/>
      <c r="K805" s="212"/>
    </row>
    <row r="806" spans="1:11" ht="12.75" customHeight="1">
      <c r="A806" s="212"/>
      <c r="B806" s="212"/>
      <c r="C806" s="212"/>
      <c r="D806" s="212"/>
      <c r="E806" s="212"/>
      <c r="F806" s="212"/>
      <c r="G806" s="212"/>
      <c r="J806" s="212"/>
      <c r="K806" s="212"/>
    </row>
    <row r="807" spans="1:11" ht="12.75" customHeight="1">
      <c r="A807" s="212"/>
      <c r="B807" s="212"/>
      <c r="C807" s="212"/>
      <c r="D807" s="212"/>
      <c r="E807" s="212"/>
      <c r="F807" s="212"/>
      <c r="G807" s="212"/>
      <c r="J807" s="212"/>
      <c r="K807" s="212"/>
    </row>
    <row r="808" spans="1:11" ht="12.75" customHeight="1">
      <c r="A808" s="212"/>
      <c r="B808" s="212"/>
      <c r="C808" s="212"/>
      <c r="D808" s="212"/>
      <c r="E808" s="212"/>
      <c r="F808" s="212"/>
      <c r="G808" s="212"/>
      <c r="J808" s="212"/>
      <c r="K808" s="212"/>
    </row>
    <row r="809" spans="1:11" ht="12.75" customHeight="1">
      <c r="A809" s="212"/>
      <c r="B809" s="212"/>
      <c r="C809" s="212"/>
      <c r="D809" s="212"/>
      <c r="E809" s="212"/>
      <c r="F809" s="212"/>
      <c r="G809" s="212"/>
      <c r="J809" s="212"/>
      <c r="K809" s="212"/>
    </row>
    <row r="810" spans="1:11" ht="12.75" customHeight="1">
      <c r="A810" s="212"/>
      <c r="B810" s="212"/>
      <c r="C810" s="212"/>
      <c r="D810" s="212"/>
      <c r="E810" s="212"/>
      <c r="F810" s="212"/>
      <c r="G810" s="212"/>
      <c r="J810" s="212"/>
      <c r="K810" s="212"/>
    </row>
    <row r="811" spans="1:11" ht="12.75" customHeight="1">
      <c r="A811" s="212"/>
      <c r="B811" s="212"/>
      <c r="C811" s="212"/>
      <c r="D811" s="212"/>
      <c r="E811" s="212"/>
      <c r="F811" s="212"/>
      <c r="G811" s="212"/>
      <c r="J811" s="212"/>
      <c r="K811" s="212"/>
    </row>
    <row r="812" spans="1:11" ht="12.75" customHeight="1">
      <c r="A812" s="212"/>
      <c r="B812" s="212"/>
      <c r="C812" s="212"/>
      <c r="D812" s="212"/>
      <c r="E812" s="212"/>
      <c r="F812" s="212"/>
      <c r="G812" s="212"/>
      <c r="J812" s="212"/>
      <c r="K812" s="212"/>
    </row>
    <row r="813" spans="1:11" ht="12.75" customHeight="1">
      <c r="A813" s="212"/>
      <c r="B813" s="212"/>
      <c r="C813" s="212"/>
      <c r="D813" s="212"/>
      <c r="E813" s="212"/>
      <c r="F813" s="212"/>
      <c r="G813" s="212"/>
      <c r="J813" s="212"/>
      <c r="K813" s="212"/>
    </row>
    <row r="814" spans="1:11" ht="12.75" customHeight="1">
      <c r="A814" s="212"/>
      <c r="B814" s="212"/>
      <c r="C814" s="212"/>
      <c r="D814" s="212"/>
      <c r="E814" s="212"/>
      <c r="F814" s="212"/>
      <c r="G814" s="212"/>
      <c r="J814" s="212"/>
      <c r="K814" s="212"/>
    </row>
    <row r="815" spans="1:11" ht="12.75" customHeight="1">
      <c r="A815" s="212"/>
      <c r="B815" s="212"/>
      <c r="C815" s="212"/>
      <c r="D815" s="212"/>
      <c r="E815" s="212"/>
      <c r="F815" s="212"/>
      <c r="G815" s="212"/>
      <c r="J815" s="212"/>
      <c r="K815" s="212"/>
    </row>
    <row r="816" spans="1:11" ht="12.75" customHeight="1">
      <c r="A816" s="212"/>
      <c r="B816" s="212"/>
      <c r="C816" s="212"/>
      <c r="D816" s="212"/>
      <c r="E816" s="212"/>
      <c r="F816" s="212"/>
      <c r="G816" s="212"/>
      <c r="J816" s="212"/>
      <c r="K816" s="212"/>
    </row>
    <row r="817" spans="1:11" ht="12.75" customHeight="1">
      <c r="A817" s="212"/>
      <c r="B817" s="212"/>
      <c r="C817" s="212"/>
      <c r="D817" s="212"/>
      <c r="E817" s="212"/>
      <c r="F817" s="212"/>
      <c r="G817" s="212"/>
      <c r="J817" s="212"/>
      <c r="K817" s="212"/>
    </row>
    <row r="818" spans="1:11" ht="12.75" customHeight="1">
      <c r="A818" s="212"/>
      <c r="B818" s="212"/>
      <c r="C818" s="212"/>
      <c r="D818" s="212"/>
      <c r="E818" s="212"/>
      <c r="F818" s="212"/>
      <c r="G818" s="212"/>
      <c r="J818" s="212"/>
      <c r="K818" s="212"/>
    </row>
    <row r="819" spans="1:11" ht="12.75" customHeight="1">
      <c r="A819" s="212"/>
      <c r="B819" s="212"/>
      <c r="C819" s="212"/>
      <c r="D819" s="212"/>
      <c r="E819" s="212"/>
      <c r="F819" s="212"/>
      <c r="G819" s="212"/>
      <c r="J819" s="212"/>
      <c r="K819" s="212"/>
    </row>
    <row r="820" spans="1:11" ht="12.75" customHeight="1">
      <c r="A820" s="212"/>
      <c r="B820" s="212"/>
      <c r="C820" s="212"/>
      <c r="D820" s="212"/>
      <c r="E820" s="212"/>
      <c r="F820" s="212"/>
      <c r="G820" s="212"/>
      <c r="J820" s="212"/>
      <c r="K820" s="212"/>
    </row>
    <row r="821" spans="1:11" ht="12.75" customHeight="1">
      <c r="A821" s="212"/>
      <c r="B821" s="212"/>
      <c r="C821" s="212"/>
      <c r="D821" s="212"/>
      <c r="E821" s="212"/>
      <c r="F821" s="212"/>
      <c r="G821" s="212"/>
      <c r="J821" s="212"/>
      <c r="K821" s="212"/>
    </row>
    <row r="822" spans="1:11" ht="12.75" customHeight="1">
      <c r="A822" s="212"/>
      <c r="B822" s="212"/>
      <c r="C822" s="212"/>
      <c r="D822" s="212"/>
      <c r="E822" s="212"/>
      <c r="F822" s="212"/>
      <c r="G822" s="212"/>
      <c r="J822" s="212"/>
      <c r="K822" s="212"/>
    </row>
    <row r="823" spans="1:11" ht="12.75" customHeight="1">
      <c r="A823" s="212"/>
      <c r="B823" s="212"/>
      <c r="C823" s="212"/>
      <c r="D823" s="212"/>
      <c r="E823" s="212"/>
      <c r="F823" s="212"/>
      <c r="G823" s="212"/>
      <c r="J823" s="212"/>
      <c r="K823" s="212"/>
    </row>
    <row r="824" spans="1:11" ht="12.75" customHeight="1">
      <c r="A824" s="212"/>
      <c r="B824" s="212"/>
      <c r="C824" s="212"/>
      <c r="D824" s="212"/>
      <c r="E824" s="212"/>
      <c r="F824" s="212"/>
      <c r="G824" s="212"/>
      <c r="J824" s="212"/>
      <c r="K824" s="212"/>
    </row>
    <row r="825" spans="1:11" ht="12.75" customHeight="1">
      <c r="A825" s="212"/>
      <c r="B825" s="212"/>
      <c r="C825" s="212"/>
      <c r="D825" s="212"/>
      <c r="E825" s="212"/>
      <c r="F825" s="212"/>
      <c r="G825" s="212"/>
      <c r="J825" s="212"/>
      <c r="K825" s="212"/>
    </row>
    <row r="826" spans="1:11" ht="12.75" customHeight="1">
      <c r="A826" s="212"/>
      <c r="B826" s="212"/>
      <c r="C826" s="212"/>
      <c r="D826" s="212"/>
      <c r="E826" s="212"/>
      <c r="F826" s="212"/>
      <c r="G826" s="212"/>
      <c r="J826" s="212"/>
      <c r="K826" s="212"/>
    </row>
    <row r="827" spans="1:11" ht="12.75" customHeight="1">
      <c r="A827" s="212"/>
      <c r="B827" s="212"/>
      <c r="C827" s="212"/>
      <c r="D827" s="212"/>
      <c r="E827" s="212"/>
      <c r="F827" s="212"/>
      <c r="G827" s="212"/>
      <c r="J827" s="212"/>
      <c r="K827" s="212"/>
    </row>
    <row r="828" spans="1:11" ht="12.75" customHeight="1">
      <c r="A828" s="212"/>
      <c r="B828" s="212"/>
      <c r="C828" s="212"/>
      <c r="D828" s="212"/>
      <c r="E828" s="212"/>
      <c r="F828" s="212"/>
      <c r="G828" s="212"/>
      <c r="J828" s="212"/>
      <c r="K828" s="212"/>
    </row>
    <row r="829" spans="1:11" ht="12.75" customHeight="1">
      <c r="A829" s="212"/>
      <c r="B829" s="212"/>
      <c r="C829" s="212"/>
      <c r="D829" s="212"/>
      <c r="E829" s="212"/>
      <c r="F829" s="212"/>
      <c r="G829" s="212"/>
      <c r="J829" s="212"/>
      <c r="K829" s="212"/>
    </row>
    <row r="830" spans="1:11" ht="12.75" customHeight="1">
      <c r="A830" s="212"/>
      <c r="B830" s="212"/>
      <c r="C830" s="212"/>
      <c r="D830" s="212"/>
      <c r="E830" s="212"/>
      <c r="F830" s="212"/>
      <c r="G830" s="212"/>
      <c r="J830" s="212"/>
      <c r="K830" s="212"/>
    </row>
    <row r="831" spans="1:11" ht="12.75" customHeight="1">
      <c r="A831" s="212"/>
      <c r="B831" s="212"/>
      <c r="C831" s="212"/>
      <c r="D831" s="212"/>
      <c r="E831" s="212"/>
      <c r="F831" s="212"/>
      <c r="G831" s="212"/>
      <c r="J831" s="212"/>
      <c r="K831" s="212"/>
    </row>
    <row r="832" spans="1:11" ht="12.75" customHeight="1">
      <c r="A832" s="212"/>
      <c r="B832" s="212"/>
      <c r="C832" s="212"/>
      <c r="D832" s="212"/>
      <c r="E832" s="212"/>
      <c r="F832" s="212"/>
      <c r="G832" s="212"/>
      <c r="J832" s="212"/>
      <c r="K832" s="212"/>
    </row>
    <row r="833" spans="1:11" ht="12.75" customHeight="1">
      <c r="A833" s="212"/>
      <c r="B833" s="212"/>
      <c r="C833" s="212"/>
      <c r="D833" s="212"/>
      <c r="E833" s="212"/>
      <c r="F833" s="212"/>
      <c r="G833" s="212"/>
      <c r="J833" s="212"/>
      <c r="K833" s="212"/>
    </row>
    <row r="834" spans="1:11" ht="12.75" customHeight="1">
      <c r="A834" s="212"/>
      <c r="B834" s="212"/>
      <c r="C834" s="212"/>
      <c r="D834" s="212"/>
      <c r="E834" s="212"/>
      <c r="F834" s="212"/>
      <c r="G834" s="212"/>
      <c r="J834" s="212"/>
      <c r="K834" s="212"/>
    </row>
    <row r="835" spans="1:11" ht="12.75" customHeight="1">
      <c r="A835" s="212"/>
      <c r="B835" s="212"/>
      <c r="C835" s="212"/>
      <c r="D835" s="212"/>
      <c r="E835" s="212"/>
      <c r="F835" s="212"/>
      <c r="G835" s="212"/>
      <c r="J835" s="212"/>
      <c r="K835" s="212"/>
    </row>
    <row r="836" spans="1:11" ht="12.75" customHeight="1">
      <c r="A836" s="212"/>
      <c r="B836" s="212"/>
      <c r="C836" s="212"/>
      <c r="D836" s="212"/>
      <c r="E836" s="212"/>
      <c r="F836" s="212"/>
      <c r="G836" s="212"/>
      <c r="J836" s="212"/>
      <c r="K836" s="212"/>
    </row>
    <row r="837" spans="1:11" ht="12.75" customHeight="1">
      <c r="A837" s="212"/>
      <c r="B837" s="212"/>
      <c r="C837" s="212"/>
      <c r="D837" s="212"/>
      <c r="E837" s="212"/>
      <c r="F837" s="212"/>
      <c r="G837" s="212"/>
      <c r="J837" s="212"/>
      <c r="K837" s="212"/>
    </row>
    <row r="838" spans="1:11" ht="12.75" customHeight="1">
      <c r="A838" s="212"/>
      <c r="B838" s="212"/>
      <c r="C838" s="212"/>
      <c r="D838" s="212"/>
      <c r="E838" s="212"/>
      <c r="F838" s="212"/>
      <c r="G838" s="212"/>
      <c r="J838" s="212"/>
      <c r="K838" s="212"/>
    </row>
    <row r="839" spans="1:11" ht="12.75" customHeight="1">
      <c r="A839" s="212"/>
      <c r="B839" s="212"/>
      <c r="C839" s="212"/>
      <c r="D839" s="212"/>
      <c r="E839" s="212"/>
      <c r="F839" s="212"/>
      <c r="G839" s="212"/>
      <c r="J839" s="212"/>
      <c r="K839" s="212"/>
    </row>
    <row r="840" spans="1:11" ht="12.75" customHeight="1">
      <c r="A840" s="212"/>
      <c r="B840" s="212"/>
      <c r="C840" s="212"/>
      <c r="D840" s="212"/>
      <c r="E840" s="212"/>
      <c r="F840" s="212"/>
      <c r="G840" s="212"/>
      <c r="J840" s="212"/>
      <c r="K840" s="212"/>
    </row>
    <row r="841" spans="1:11" ht="12.75" customHeight="1">
      <c r="A841" s="212"/>
      <c r="B841" s="212"/>
      <c r="C841" s="212"/>
      <c r="D841" s="212"/>
      <c r="E841" s="212"/>
      <c r="F841" s="212"/>
      <c r="G841" s="212"/>
      <c r="J841" s="212"/>
      <c r="K841" s="212"/>
    </row>
    <row r="842" spans="1:11" ht="12.75" customHeight="1">
      <c r="A842" s="212"/>
      <c r="B842" s="212"/>
      <c r="C842" s="212"/>
      <c r="D842" s="212"/>
      <c r="E842" s="212"/>
      <c r="F842" s="212"/>
      <c r="G842" s="212"/>
      <c r="J842" s="212"/>
      <c r="K842" s="212"/>
    </row>
    <row r="843" spans="1:11" ht="12.75" customHeight="1">
      <c r="A843" s="212"/>
      <c r="B843" s="212"/>
      <c r="C843" s="212"/>
      <c r="D843" s="212"/>
      <c r="E843" s="212"/>
      <c r="F843" s="212"/>
      <c r="G843" s="212"/>
      <c r="J843" s="212"/>
      <c r="K843" s="212"/>
    </row>
    <row r="844" spans="1:11" ht="12.75" customHeight="1">
      <c r="A844" s="212"/>
      <c r="B844" s="212"/>
      <c r="C844" s="212"/>
      <c r="D844" s="212"/>
      <c r="E844" s="212"/>
      <c r="F844" s="212"/>
      <c r="G844" s="212"/>
      <c r="J844" s="212"/>
      <c r="K844" s="212"/>
    </row>
    <row r="845" spans="1:11" ht="12.75" customHeight="1">
      <c r="A845" s="212"/>
      <c r="B845" s="212"/>
      <c r="C845" s="212"/>
      <c r="D845" s="212"/>
      <c r="E845" s="212"/>
      <c r="F845" s="212"/>
      <c r="G845" s="212"/>
      <c r="J845" s="212"/>
      <c r="K845" s="212"/>
    </row>
    <row r="846" spans="1:11" ht="12.75" customHeight="1">
      <c r="A846" s="212"/>
      <c r="B846" s="212"/>
      <c r="C846" s="212"/>
      <c r="D846" s="212"/>
      <c r="E846" s="212"/>
      <c r="F846" s="212"/>
      <c r="G846" s="212"/>
      <c r="J846" s="212"/>
      <c r="K846" s="212"/>
    </row>
    <row r="847" spans="1:11" ht="12.75" customHeight="1">
      <c r="A847" s="212"/>
      <c r="B847" s="212"/>
      <c r="C847" s="212"/>
      <c r="D847" s="212"/>
      <c r="E847" s="212"/>
      <c r="F847" s="212"/>
      <c r="G847" s="212"/>
      <c r="J847" s="212"/>
      <c r="K847" s="212"/>
    </row>
    <row r="848" spans="1:11" ht="12.75" customHeight="1">
      <c r="A848" s="212"/>
      <c r="B848" s="212"/>
      <c r="C848" s="212"/>
      <c r="D848" s="212"/>
      <c r="E848" s="212"/>
      <c r="F848" s="212"/>
      <c r="G848" s="212"/>
      <c r="J848" s="212"/>
      <c r="K848" s="212"/>
    </row>
    <row r="849" spans="1:11" ht="12.75" customHeight="1">
      <c r="A849" s="212"/>
      <c r="B849" s="212"/>
      <c r="C849" s="212"/>
      <c r="D849" s="212"/>
      <c r="E849" s="212"/>
      <c r="F849" s="212"/>
      <c r="G849" s="212"/>
      <c r="J849" s="212"/>
      <c r="K849" s="212"/>
    </row>
    <row r="850" spans="1:11" ht="12.75" customHeight="1">
      <c r="A850" s="212"/>
      <c r="B850" s="212"/>
      <c r="C850" s="212"/>
      <c r="D850" s="212"/>
      <c r="E850" s="212"/>
      <c r="F850" s="212"/>
      <c r="G850" s="212"/>
      <c r="J850" s="212"/>
      <c r="K850" s="212"/>
    </row>
    <row r="851" spans="1:11" ht="12.75" customHeight="1">
      <c r="A851" s="212"/>
      <c r="B851" s="212"/>
      <c r="C851" s="212"/>
      <c r="D851" s="212"/>
      <c r="E851" s="212"/>
      <c r="F851" s="212"/>
      <c r="G851" s="212"/>
      <c r="J851" s="212"/>
      <c r="K851" s="212"/>
    </row>
    <row r="852" spans="1:11" ht="12.75" customHeight="1">
      <c r="A852" s="212"/>
      <c r="B852" s="212"/>
      <c r="C852" s="212"/>
      <c r="D852" s="212"/>
      <c r="E852" s="212"/>
      <c r="F852" s="212"/>
      <c r="G852" s="212"/>
      <c r="J852" s="212"/>
      <c r="K852" s="212"/>
    </row>
    <row r="853" spans="1:11" ht="12.75" customHeight="1">
      <c r="A853" s="212"/>
      <c r="B853" s="212"/>
      <c r="C853" s="212"/>
      <c r="D853" s="212"/>
      <c r="E853" s="212"/>
      <c r="F853" s="212"/>
      <c r="G853" s="212"/>
      <c r="J853" s="212"/>
      <c r="K853" s="212"/>
    </row>
    <row r="854" spans="1:11" ht="12.75" customHeight="1">
      <c r="A854" s="212"/>
      <c r="B854" s="212"/>
      <c r="C854" s="212"/>
      <c r="D854" s="212"/>
      <c r="E854" s="212"/>
      <c r="F854" s="212"/>
      <c r="G854" s="212"/>
      <c r="J854" s="212"/>
      <c r="K854" s="212"/>
    </row>
    <row r="855" spans="1:11" ht="12.75" customHeight="1">
      <c r="A855" s="212"/>
      <c r="B855" s="212"/>
      <c r="C855" s="212"/>
      <c r="D855" s="212"/>
      <c r="E855" s="212"/>
      <c r="F855" s="212"/>
      <c r="G855" s="212"/>
      <c r="J855" s="212"/>
      <c r="K855" s="212"/>
    </row>
    <row r="856" spans="1:11" ht="12.75" customHeight="1">
      <c r="A856" s="212"/>
      <c r="B856" s="212"/>
      <c r="C856" s="212"/>
      <c r="D856" s="212"/>
      <c r="E856" s="212"/>
      <c r="F856" s="212"/>
      <c r="G856" s="212"/>
      <c r="J856" s="212"/>
      <c r="K856" s="212"/>
    </row>
    <row r="857" spans="1:11" ht="12.75" customHeight="1">
      <c r="A857" s="212"/>
      <c r="B857" s="212"/>
      <c r="C857" s="212"/>
      <c r="D857" s="212"/>
      <c r="E857" s="212"/>
      <c r="F857" s="212"/>
      <c r="G857" s="212"/>
      <c r="J857" s="212"/>
      <c r="K857" s="212"/>
    </row>
    <row r="858" spans="1:11" ht="12.75" customHeight="1">
      <c r="A858" s="212"/>
      <c r="B858" s="212"/>
      <c r="C858" s="212"/>
      <c r="D858" s="212"/>
      <c r="E858" s="212"/>
      <c r="F858" s="212"/>
      <c r="G858" s="212"/>
      <c r="J858" s="212"/>
      <c r="K858" s="212"/>
    </row>
    <row r="859" spans="1:11" ht="12.75" customHeight="1">
      <c r="A859" s="212"/>
      <c r="B859" s="212"/>
      <c r="C859" s="212"/>
      <c r="D859" s="212"/>
      <c r="E859" s="212"/>
      <c r="F859" s="212"/>
      <c r="G859" s="212"/>
      <c r="J859" s="212"/>
      <c r="K859" s="212"/>
    </row>
    <row r="860" spans="1:11" ht="12.75" customHeight="1">
      <c r="A860" s="212"/>
      <c r="B860" s="212"/>
      <c r="C860" s="212"/>
      <c r="D860" s="212"/>
      <c r="E860" s="212"/>
      <c r="F860" s="212"/>
      <c r="G860" s="212"/>
      <c r="J860" s="212"/>
      <c r="K860" s="212"/>
    </row>
    <row r="861" spans="1:11" ht="12.75" customHeight="1">
      <c r="A861" s="212"/>
      <c r="B861" s="212"/>
      <c r="C861" s="212"/>
      <c r="D861" s="212"/>
      <c r="E861" s="212"/>
      <c r="F861" s="212"/>
      <c r="G861" s="212"/>
      <c r="J861" s="212"/>
      <c r="K861" s="212"/>
    </row>
    <row r="862" spans="1:11" ht="12.75" customHeight="1">
      <c r="A862" s="212"/>
      <c r="B862" s="212"/>
      <c r="C862" s="212"/>
      <c r="D862" s="212"/>
      <c r="E862" s="212"/>
      <c r="F862" s="212"/>
      <c r="G862" s="212"/>
      <c r="J862" s="212"/>
      <c r="K862" s="212"/>
    </row>
    <row r="863" spans="1:11" ht="12.75" customHeight="1">
      <c r="A863" s="212"/>
      <c r="B863" s="212"/>
      <c r="C863" s="212"/>
      <c r="D863" s="212"/>
      <c r="E863" s="212"/>
      <c r="F863" s="212"/>
      <c r="G863" s="212"/>
      <c r="J863" s="212"/>
      <c r="K863" s="212"/>
    </row>
    <row r="864" spans="1:11" ht="12.75" customHeight="1">
      <c r="A864" s="212"/>
      <c r="B864" s="212"/>
      <c r="C864" s="212"/>
      <c r="D864" s="212"/>
      <c r="E864" s="212"/>
      <c r="F864" s="212"/>
      <c r="G864" s="212"/>
      <c r="J864" s="212"/>
      <c r="K864" s="212"/>
    </row>
    <row r="865" spans="1:11" ht="12.75" customHeight="1">
      <c r="A865" s="212"/>
      <c r="B865" s="212"/>
      <c r="C865" s="212"/>
      <c r="D865" s="212"/>
      <c r="E865" s="212"/>
      <c r="F865" s="212"/>
      <c r="G865" s="212"/>
      <c r="J865" s="212"/>
      <c r="K865" s="212"/>
    </row>
    <row r="866" spans="1:11" ht="12.75" customHeight="1">
      <c r="A866" s="212"/>
      <c r="B866" s="212"/>
      <c r="C866" s="212"/>
      <c r="D866" s="212"/>
      <c r="E866" s="212"/>
      <c r="F866" s="212"/>
      <c r="G866" s="212"/>
      <c r="J866" s="212"/>
      <c r="K866" s="212"/>
    </row>
    <row r="867" spans="1:11" ht="12.75" customHeight="1">
      <c r="A867" s="212"/>
      <c r="B867" s="212"/>
      <c r="C867" s="212"/>
      <c r="D867" s="212"/>
      <c r="E867" s="212"/>
      <c r="F867" s="212"/>
      <c r="G867" s="212"/>
      <c r="J867" s="212"/>
      <c r="K867" s="212"/>
    </row>
    <row r="868" spans="1:11" ht="12.75" customHeight="1">
      <c r="A868" s="212"/>
      <c r="B868" s="212"/>
      <c r="C868" s="212"/>
      <c r="D868" s="212"/>
      <c r="E868" s="212"/>
      <c r="F868" s="212"/>
      <c r="G868" s="212"/>
      <c r="J868" s="212"/>
      <c r="K868" s="212"/>
    </row>
    <row r="869" spans="1:11" ht="12.75" customHeight="1">
      <c r="A869" s="212"/>
      <c r="B869" s="212"/>
      <c r="C869" s="212"/>
      <c r="D869" s="212"/>
      <c r="E869" s="212"/>
      <c r="F869" s="212"/>
      <c r="G869" s="212"/>
      <c r="J869" s="212"/>
      <c r="K869" s="212"/>
    </row>
    <row r="870" spans="1:11" ht="12.75" customHeight="1">
      <c r="A870" s="212"/>
      <c r="B870" s="212"/>
      <c r="C870" s="212"/>
      <c r="D870" s="212"/>
      <c r="E870" s="212"/>
      <c r="F870" s="212"/>
      <c r="G870" s="212"/>
      <c r="J870" s="212"/>
      <c r="K870" s="212"/>
    </row>
    <row r="871" spans="1:11" ht="12.75" customHeight="1">
      <c r="A871" s="212"/>
      <c r="B871" s="212"/>
      <c r="C871" s="212"/>
      <c r="D871" s="212"/>
      <c r="E871" s="212"/>
      <c r="F871" s="212"/>
      <c r="G871" s="212"/>
      <c r="J871" s="212"/>
      <c r="K871" s="212"/>
    </row>
    <row r="872" spans="1:11" ht="12.75" customHeight="1">
      <c r="A872" s="212"/>
      <c r="B872" s="212"/>
      <c r="C872" s="212"/>
      <c r="D872" s="212"/>
      <c r="E872" s="212"/>
      <c r="F872" s="212"/>
      <c r="G872" s="212"/>
      <c r="J872" s="212"/>
      <c r="K872" s="212"/>
    </row>
    <row r="873" spans="1:11" ht="12.75" customHeight="1">
      <c r="A873" s="212"/>
      <c r="B873" s="212"/>
      <c r="C873" s="212"/>
      <c r="D873" s="212"/>
      <c r="E873" s="212"/>
      <c r="F873" s="212"/>
      <c r="G873" s="212"/>
      <c r="J873" s="212"/>
      <c r="K873" s="212"/>
    </row>
    <row r="874" spans="1:11" ht="12.75" customHeight="1">
      <c r="A874" s="212"/>
      <c r="B874" s="212"/>
      <c r="C874" s="212"/>
      <c r="D874" s="212"/>
      <c r="E874" s="212"/>
      <c r="F874" s="212"/>
      <c r="G874" s="212"/>
      <c r="J874" s="212"/>
      <c r="K874" s="212"/>
    </row>
    <row r="875" spans="1:11" ht="12.75" customHeight="1">
      <c r="A875" s="212"/>
      <c r="B875" s="212"/>
      <c r="C875" s="212"/>
      <c r="D875" s="212"/>
      <c r="E875" s="212"/>
      <c r="F875" s="212"/>
      <c r="G875" s="212"/>
      <c r="J875" s="212"/>
      <c r="K875" s="212"/>
    </row>
    <row r="876" spans="1:11" ht="12.75" customHeight="1">
      <c r="A876" s="212"/>
      <c r="B876" s="212"/>
      <c r="C876" s="212"/>
      <c r="D876" s="212"/>
      <c r="E876" s="212"/>
      <c r="F876" s="212"/>
      <c r="G876" s="212"/>
      <c r="J876" s="212"/>
      <c r="K876" s="212"/>
    </row>
    <row r="877" spans="1:11" ht="12.75" customHeight="1">
      <c r="A877" s="212"/>
      <c r="B877" s="212"/>
      <c r="C877" s="212"/>
      <c r="D877" s="212"/>
      <c r="E877" s="212"/>
      <c r="F877" s="212"/>
      <c r="G877" s="212"/>
      <c r="J877" s="212"/>
      <c r="K877" s="212"/>
    </row>
    <row r="878" spans="1:11" ht="12.75" customHeight="1">
      <c r="A878" s="212"/>
      <c r="B878" s="212"/>
      <c r="C878" s="212"/>
      <c r="D878" s="212"/>
      <c r="E878" s="212"/>
      <c r="F878" s="212"/>
      <c r="G878" s="212"/>
      <c r="J878" s="212"/>
      <c r="K878" s="212"/>
    </row>
    <row r="879" spans="1:11" ht="12.75" customHeight="1">
      <c r="A879" s="212"/>
      <c r="B879" s="212"/>
      <c r="C879" s="212"/>
      <c r="D879" s="212"/>
      <c r="E879" s="212"/>
      <c r="F879" s="212"/>
      <c r="G879" s="212"/>
      <c r="J879" s="212"/>
      <c r="K879" s="212"/>
    </row>
    <row r="880" spans="1:11" ht="12.75" customHeight="1">
      <c r="A880" s="212"/>
      <c r="B880" s="212"/>
      <c r="C880" s="212"/>
      <c r="D880" s="212"/>
      <c r="E880" s="212"/>
      <c r="F880" s="212"/>
      <c r="G880" s="212"/>
      <c r="J880" s="212"/>
      <c r="K880" s="212"/>
    </row>
    <row r="881" spans="1:11" ht="12.75" customHeight="1">
      <c r="A881" s="212"/>
      <c r="B881" s="212"/>
      <c r="C881" s="212"/>
      <c r="D881" s="212"/>
      <c r="E881" s="212"/>
      <c r="F881" s="212"/>
      <c r="G881" s="212"/>
      <c r="J881" s="212"/>
      <c r="K881" s="212"/>
    </row>
    <row r="882" spans="1:11" ht="12.75" customHeight="1">
      <c r="A882" s="212"/>
      <c r="B882" s="212"/>
      <c r="C882" s="212"/>
      <c r="D882" s="212"/>
      <c r="E882" s="212"/>
      <c r="F882" s="212"/>
      <c r="G882" s="212"/>
      <c r="J882" s="212"/>
      <c r="K882" s="212"/>
    </row>
    <row r="883" spans="1:11" ht="12.75" customHeight="1">
      <c r="A883" s="212"/>
      <c r="B883" s="212"/>
      <c r="C883" s="212"/>
      <c r="D883" s="212"/>
      <c r="E883" s="212"/>
      <c r="F883" s="212"/>
      <c r="G883" s="212"/>
      <c r="J883" s="212"/>
      <c r="K883" s="212"/>
    </row>
    <row r="884" spans="1:11" ht="12.75" customHeight="1">
      <c r="A884" s="212"/>
      <c r="B884" s="212"/>
      <c r="C884" s="212"/>
      <c r="D884" s="212"/>
      <c r="E884" s="212"/>
      <c r="F884" s="212"/>
      <c r="G884" s="212"/>
      <c r="J884" s="212"/>
      <c r="K884" s="212"/>
    </row>
    <row r="885" spans="1:11" ht="12.75" customHeight="1">
      <c r="A885" s="212"/>
      <c r="B885" s="212"/>
      <c r="C885" s="212"/>
      <c r="D885" s="212"/>
      <c r="E885" s="212"/>
      <c r="F885" s="212"/>
      <c r="G885" s="212"/>
      <c r="J885" s="212"/>
      <c r="K885" s="212"/>
    </row>
    <row r="886" spans="1:11" ht="12.75" customHeight="1">
      <c r="A886" s="212"/>
      <c r="B886" s="212"/>
      <c r="C886" s="212"/>
      <c r="D886" s="212"/>
      <c r="E886" s="212"/>
      <c r="F886" s="212"/>
      <c r="G886" s="212"/>
      <c r="J886" s="212"/>
      <c r="K886" s="212"/>
    </row>
    <row r="887" spans="1:11" ht="12.75" customHeight="1">
      <c r="A887" s="212"/>
      <c r="B887" s="212"/>
      <c r="C887" s="212"/>
      <c r="D887" s="212"/>
      <c r="E887" s="212"/>
      <c r="F887" s="212"/>
      <c r="G887" s="212"/>
      <c r="J887" s="212"/>
      <c r="K887" s="212"/>
    </row>
    <row r="888" spans="1:11" ht="12.75" customHeight="1">
      <c r="A888" s="212"/>
      <c r="B888" s="212"/>
      <c r="C888" s="212"/>
      <c r="D888" s="212"/>
      <c r="E888" s="212"/>
      <c r="F888" s="212"/>
      <c r="G888" s="212"/>
      <c r="J888" s="212"/>
      <c r="K888" s="212"/>
    </row>
    <row r="889" spans="1:11" ht="12.75" customHeight="1">
      <c r="A889" s="212"/>
      <c r="B889" s="212"/>
      <c r="C889" s="212"/>
      <c r="D889" s="212"/>
      <c r="E889" s="212"/>
      <c r="F889" s="212"/>
      <c r="G889" s="212"/>
      <c r="J889" s="212"/>
      <c r="K889" s="212"/>
    </row>
    <row r="890" spans="1:11" ht="12.75" customHeight="1">
      <c r="A890" s="212"/>
      <c r="B890" s="212"/>
      <c r="C890" s="212"/>
      <c r="D890" s="212"/>
      <c r="E890" s="212"/>
      <c r="F890" s="212"/>
      <c r="G890" s="212"/>
      <c r="J890" s="212"/>
      <c r="K890" s="212"/>
    </row>
    <row r="891" spans="1:11" ht="12.75" customHeight="1">
      <c r="A891" s="212"/>
      <c r="B891" s="212"/>
      <c r="C891" s="212"/>
      <c r="D891" s="212"/>
      <c r="E891" s="212"/>
      <c r="F891" s="212"/>
      <c r="G891" s="212"/>
      <c r="J891" s="212"/>
      <c r="K891" s="212"/>
    </row>
    <row r="892" spans="1:11" ht="12.75" customHeight="1">
      <c r="A892" s="212"/>
      <c r="B892" s="212"/>
      <c r="C892" s="212"/>
      <c r="D892" s="212"/>
      <c r="E892" s="212"/>
      <c r="F892" s="212"/>
      <c r="G892" s="212"/>
      <c r="J892" s="212"/>
      <c r="K892" s="212"/>
    </row>
    <row r="893" spans="1:11" ht="12.75" customHeight="1">
      <c r="A893" s="212"/>
      <c r="B893" s="212"/>
      <c r="C893" s="212"/>
      <c r="D893" s="212"/>
      <c r="E893" s="212"/>
      <c r="F893" s="212"/>
      <c r="G893" s="212"/>
      <c r="J893" s="212"/>
      <c r="K893" s="212"/>
    </row>
    <row r="894" spans="1:11" ht="12.75" customHeight="1">
      <c r="A894" s="212"/>
      <c r="B894" s="212"/>
      <c r="C894" s="212"/>
      <c r="D894" s="212"/>
      <c r="E894" s="212"/>
      <c r="F894" s="212"/>
      <c r="G894" s="212"/>
      <c r="J894" s="212"/>
      <c r="K894" s="212"/>
    </row>
    <row r="895" spans="1:11" ht="12.75" customHeight="1">
      <c r="A895" s="212"/>
      <c r="B895" s="212"/>
      <c r="C895" s="212"/>
      <c r="D895" s="212"/>
      <c r="E895" s="212"/>
      <c r="F895" s="212"/>
      <c r="G895" s="212"/>
      <c r="J895" s="212"/>
      <c r="K895" s="212"/>
    </row>
    <row r="896" spans="1:11" ht="12.75" customHeight="1">
      <c r="A896" s="212"/>
      <c r="B896" s="212"/>
      <c r="C896" s="212"/>
      <c r="D896" s="212"/>
      <c r="E896" s="212"/>
      <c r="F896" s="212"/>
      <c r="G896" s="212"/>
      <c r="J896" s="212"/>
      <c r="K896" s="212"/>
    </row>
    <row r="897" spans="1:11" ht="12.75" customHeight="1">
      <c r="A897" s="212"/>
      <c r="B897" s="212"/>
      <c r="C897" s="212"/>
      <c r="D897" s="212"/>
      <c r="E897" s="212"/>
      <c r="F897" s="212"/>
      <c r="G897" s="212"/>
      <c r="J897" s="212"/>
      <c r="K897" s="212"/>
    </row>
    <row r="898" spans="1:11" ht="12.75" customHeight="1">
      <c r="A898" s="212"/>
      <c r="B898" s="212"/>
      <c r="C898" s="212"/>
      <c r="D898" s="212"/>
      <c r="E898" s="212"/>
      <c r="F898" s="212"/>
      <c r="G898" s="212"/>
      <c r="J898" s="212"/>
      <c r="K898" s="212"/>
    </row>
    <row r="899" spans="1:11" ht="12.75" customHeight="1">
      <c r="A899" s="212"/>
      <c r="B899" s="212"/>
      <c r="C899" s="212"/>
      <c r="D899" s="212"/>
      <c r="E899" s="212"/>
      <c r="F899" s="212"/>
      <c r="G899" s="212"/>
      <c r="J899" s="212"/>
      <c r="K899" s="212"/>
    </row>
    <row r="900" spans="1:11" ht="12.75" customHeight="1">
      <c r="A900" s="212"/>
      <c r="B900" s="212"/>
      <c r="C900" s="212"/>
      <c r="D900" s="212"/>
      <c r="E900" s="212"/>
      <c r="F900" s="212"/>
      <c r="G900" s="212"/>
      <c r="J900" s="212"/>
      <c r="K900" s="212"/>
    </row>
    <row r="901" spans="1:11" ht="12.75" customHeight="1">
      <c r="A901" s="212"/>
      <c r="B901" s="212"/>
      <c r="C901" s="212"/>
      <c r="D901" s="212"/>
      <c r="E901" s="212"/>
      <c r="F901" s="212"/>
      <c r="G901" s="212"/>
      <c r="J901" s="212"/>
      <c r="K901" s="212"/>
    </row>
    <row r="902" spans="1:11" ht="12.75" customHeight="1">
      <c r="A902" s="212"/>
      <c r="B902" s="212"/>
      <c r="C902" s="212"/>
      <c r="D902" s="212"/>
      <c r="E902" s="212"/>
      <c r="F902" s="212"/>
      <c r="G902" s="212"/>
      <c r="J902" s="212"/>
      <c r="K902" s="212"/>
    </row>
    <row r="903" spans="1:11" ht="12.75" customHeight="1">
      <c r="A903" s="212"/>
      <c r="B903" s="212"/>
      <c r="C903" s="212"/>
      <c r="D903" s="212"/>
      <c r="E903" s="212"/>
      <c r="F903" s="212"/>
      <c r="G903" s="212"/>
      <c r="J903" s="212"/>
      <c r="K903" s="212"/>
    </row>
    <row r="904" spans="1:11" ht="12.75" customHeight="1">
      <c r="A904" s="212"/>
      <c r="B904" s="212"/>
      <c r="C904" s="212"/>
      <c r="D904" s="212"/>
      <c r="E904" s="212"/>
      <c r="F904" s="212"/>
      <c r="G904" s="212"/>
      <c r="J904" s="212"/>
      <c r="K904" s="212"/>
    </row>
    <row r="905" spans="1:11" ht="12.75" customHeight="1">
      <c r="A905" s="212"/>
      <c r="B905" s="212"/>
      <c r="C905" s="212"/>
      <c r="D905" s="212"/>
      <c r="E905" s="212"/>
      <c r="F905" s="212"/>
      <c r="G905" s="212"/>
      <c r="J905" s="212"/>
      <c r="K905" s="212"/>
    </row>
    <row r="906" spans="1:11" ht="12.75" customHeight="1">
      <c r="A906" s="212"/>
      <c r="B906" s="212"/>
      <c r="C906" s="212"/>
      <c r="D906" s="212"/>
      <c r="E906" s="212"/>
      <c r="F906" s="212"/>
      <c r="G906" s="212"/>
      <c r="J906" s="212"/>
      <c r="K906" s="212"/>
    </row>
    <row r="907" spans="1:11" ht="12.75" customHeight="1">
      <c r="A907" s="212"/>
      <c r="B907" s="212"/>
      <c r="C907" s="212"/>
      <c r="D907" s="212"/>
      <c r="E907" s="212"/>
      <c r="F907" s="212"/>
      <c r="G907" s="212"/>
      <c r="J907" s="212"/>
      <c r="K907" s="212"/>
    </row>
    <row r="908" spans="1:11" ht="12.75" customHeight="1">
      <c r="A908" s="212"/>
      <c r="B908" s="212"/>
      <c r="C908" s="212"/>
      <c r="D908" s="212"/>
      <c r="E908" s="212"/>
      <c r="F908" s="212"/>
      <c r="G908" s="212"/>
      <c r="J908" s="212"/>
      <c r="K908" s="212"/>
    </row>
    <row r="909" spans="1:11" ht="12.75" customHeight="1">
      <c r="A909" s="212"/>
      <c r="B909" s="212"/>
      <c r="C909" s="212"/>
      <c r="D909" s="212"/>
      <c r="E909" s="212"/>
      <c r="F909" s="212"/>
      <c r="G909" s="212"/>
      <c r="J909" s="212"/>
      <c r="K909" s="212"/>
    </row>
    <row r="910" spans="1:11" ht="12.75" customHeight="1">
      <c r="A910" s="212"/>
      <c r="B910" s="212"/>
      <c r="C910" s="212"/>
      <c r="D910" s="212"/>
      <c r="E910" s="212"/>
      <c r="F910" s="212"/>
      <c r="G910" s="212"/>
      <c r="J910" s="212"/>
      <c r="K910" s="212"/>
    </row>
    <row r="911" spans="1:11" ht="12.75" customHeight="1">
      <c r="A911" s="212"/>
      <c r="B911" s="212"/>
      <c r="C911" s="212"/>
      <c r="D911" s="212"/>
      <c r="E911" s="212"/>
      <c r="F911" s="212"/>
      <c r="G911" s="212"/>
      <c r="J911" s="212"/>
      <c r="K911" s="212"/>
    </row>
    <row r="912" spans="1:11" ht="12.75" customHeight="1">
      <c r="A912" s="212"/>
      <c r="B912" s="212"/>
      <c r="C912" s="212"/>
      <c r="D912" s="212"/>
      <c r="E912" s="212"/>
      <c r="F912" s="212"/>
      <c r="G912" s="212"/>
      <c r="J912" s="212"/>
      <c r="K912" s="212"/>
    </row>
    <row r="913" spans="1:11" ht="12.75" customHeight="1">
      <c r="A913" s="212"/>
      <c r="B913" s="212"/>
      <c r="C913" s="212"/>
      <c r="D913" s="212"/>
      <c r="E913" s="212"/>
      <c r="F913" s="212"/>
      <c r="G913" s="212"/>
      <c r="J913" s="212"/>
      <c r="K913" s="212"/>
    </row>
    <row r="914" spans="1:11" ht="12.75" customHeight="1">
      <c r="A914" s="212"/>
      <c r="B914" s="212"/>
      <c r="C914" s="212"/>
      <c r="D914" s="212"/>
      <c r="E914" s="212"/>
      <c r="F914" s="212"/>
      <c r="G914" s="212"/>
      <c r="J914" s="212"/>
      <c r="K914" s="212"/>
    </row>
    <row r="915" spans="1:11" ht="12.75" customHeight="1">
      <c r="A915" s="212"/>
      <c r="B915" s="212"/>
      <c r="C915" s="212"/>
      <c r="D915" s="212"/>
      <c r="E915" s="212"/>
      <c r="F915" s="212"/>
      <c r="G915" s="212"/>
      <c r="J915" s="212"/>
      <c r="K915" s="212"/>
    </row>
    <row r="916" spans="1:11" ht="12.75" customHeight="1">
      <c r="A916" s="212"/>
      <c r="B916" s="212"/>
      <c r="C916" s="212"/>
      <c r="D916" s="212"/>
      <c r="E916" s="212"/>
      <c r="F916" s="212"/>
      <c r="G916" s="212"/>
      <c r="J916" s="212"/>
      <c r="K916" s="212"/>
    </row>
    <row r="917" spans="1:11" ht="12.75" customHeight="1">
      <c r="A917" s="212"/>
      <c r="B917" s="212"/>
      <c r="C917" s="212"/>
      <c r="D917" s="212"/>
      <c r="E917" s="212"/>
      <c r="F917" s="212"/>
      <c r="G917" s="212"/>
      <c r="J917" s="212"/>
      <c r="K917" s="212"/>
    </row>
    <row r="918" spans="1:11" ht="12.75" customHeight="1">
      <c r="A918" s="212"/>
      <c r="B918" s="212"/>
      <c r="C918" s="212"/>
      <c r="D918" s="212"/>
      <c r="E918" s="212"/>
      <c r="F918" s="212"/>
      <c r="G918" s="212"/>
      <c r="J918" s="212"/>
      <c r="K918" s="212"/>
    </row>
    <row r="919" spans="1:11" ht="12.75" customHeight="1">
      <c r="A919" s="212"/>
      <c r="B919" s="212"/>
      <c r="C919" s="212"/>
      <c r="D919" s="212"/>
      <c r="E919" s="212"/>
      <c r="F919" s="212"/>
      <c r="G919" s="212"/>
      <c r="J919" s="212"/>
      <c r="K919" s="212"/>
    </row>
    <row r="920" spans="1:11" ht="12.75" customHeight="1">
      <c r="A920" s="212"/>
      <c r="B920" s="212"/>
      <c r="C920" s="212"/>
      <c r="D920" s="212"/>
      <c r="E920" s="212"/>
      <c r="F920" s="212"/>
      <c r="G920" s="212"/>
      <c r="J920" s="212"/>
      <c r="K920" s="212"/>
    </row>
    <row r="921" spans="1:11" ht="12.75" customHeight="1">
      <c r="A921" s="212"/>
      <c r="B921" s="212"/>
      <c r="C921" s="212"/>
      <c r="D921" s="212"/>
      <c r="E921" s="212"/>
      <c r="F921" s="212"/>
      <c r="G921" s="212"/>
      <c r="J921" s="212"/>
      <c r="K921" s="212"/>
    </row>
    <row r="922" spans="1:11" ht="12.75" customHeight="1">
      <c r="A922" s="212"/>
      <c r="B922" s="212"/>
      <c r="C922" s="212"/>
      <c r="D922" s="212"/>
      <c r="E922" s="212"/>
      <c r="F922" s="212"/>
      <c r="G922" s="212"/>
      <c r="J922" s="212"/>
      <c r="K922" s="212"/>
    </row>
    <row r="923" spans="1:11" ht="12.75" customHeight="1">
      <c r="A923" s="212"/>
      <c r="B923" s="212"/>
      <c r="C923" s="212"/>
      <c r="D923" s="212"/>
      <c r="E923" s="212"/>
      <c r="F923" s="212"/>
      <c r="G923" s="212"/>
      <c r="J923" s="212"/>
      <c r="K923" s="212"/>
    </row>
    <row r="924" spans="1:11" ht="12.75" customHeight="1">
      <c r="A924" s="212"/>
      <c r="B924" s="212"/>
      <c r="C924" s="212"/>
      <c r="D924" s="212"/>
      <c r="E924" s="212"/>
      <c r="F924" s="212"/>
      <c r="G924" s="212"/>
      <c r="J924" s="212"/>
      <c r="K924" s="212"/>
    </row>
    <row r="925" spans="1:11" ht="12.75" customHeight="1">
      <c r="A925" s="212"/>
      <c r="B925" s="212"/>
      <c r="C925" s="212"/>
      <c r="D925" s="212"/>
      <c r="E925" s="212"/>
      <c r="F925" s="212"/>
      <c r="G925" s="212"/>
      <c r="J925" s="212"/>
      <c r="K925" s="212"/>
    </row>
    <row r="926" spans="1:11" ht="12.75" customHeight="1">
      <c r="A926" s="212"/>
      <c r="B926" s="212"/>
      <c r="C926" s="212"/>
      <c r="D926" s="212"/>
      <c r="E926" s="212"/>
      <c r="F926" s="212"/>
      <c r="G926" s="212"/>
      <c r="J926" s="212"/>
      <c r="K926" s="212"/>
    </row>
    <row r="927" spans="1:11" ht="12.75" customHeight="1">
      <c r="A927" s="212"/>
      <c r="B927" s="212"/>
      <c r="C927" s="212"/>
      <c r="D927" s="212"/>
      <c r="E927" s="212"/>
      <c r="F927" s="212"/>
      <c r="G927" s="212"/>
      <c r="J927" s="212"/>
      <c r="K927" s="212"/>
    </row>
    <row r="928" spans="1:11" ht="12.75" customHeight="1">
      <c r="A928" s="212"/>
      <c r="B928" s="212"/>
      <c r="C928" s="212"/>
      <c r="D928" s="212"/>
      <c r="E928" s="212"/>
      <c r="F928" s="212"/>
      <c r="G928" s="212"/>
      <c r="J928" s="212"/>
      <c r="K928" s="212"/>
    </row>
    <row r="929" spans="1:11" ht="12.75" customHeight="1">
      <c r="A929" s="212"/>
      <c r="B929" s="212"/>
      <c r="C929" s="212"/>
      <c r="D929" s="212"/>
      <c r="E929" s="212"/>
      <c r="F929" s="212"/>
      <c r="G929" s="212"/>
      <c r="J929" s="212"/>
      <c r="K929" s="212"/>
    </row>
    <row r="930" spans="1:11" ht="12.75" customHeight="1">
      <c r="A930" s="212"/>
      <c r="B930" s="212"/>
      <c r="C930" s="212"/>
      <c r="D930" s="212"/>
      <c r="E930" s="212"/>
      <c r="F930" s="212"/>
      <c r="G930" s="212"/>
      <c r="J930" s="212"/>
      <c r="K930" s="212"/>
    </row>
    <row r="931" spans="1:11" ht="12.75" customHeight="1">
      <c r="A931" s="212"/>
      <c r="B931" s="212"/>
      <c r="C931" s="212"/>
      <c r="D931" s="212"/>
      <c r="E931" s="212"/>
      <c r="F931" s="212"/>
      <c r="G931" s="212"/>
      <c r="J931" s="212"/>
      <c r="K931" s="212"/>
    </row>
    <row r="932" spans="1:11" ht="12.75" customHeight="1">
      <c r="A932" s="212"/>
      <c r="B932" s="212"/>
      <c r="C932" s="212"/>
      <c r="D932" s="212"/>
      <c r="E932" s="212"/>
      <c r="F932" s="212"/>
      <c r="G932" s="212"/>
      <c r="J932" s="212"/>
      <c r="K932" s="212"/>
    </row>
    <row r="933" spans="1:11" ht="12.75" customHeight="1">
      <c r="A933" s="212"/>
      <c r="B933" s="212"/>
      <c r="C933" s="212"/>
      <c r="D933" s="212"/>
      <c r="E933" s="212"/>
      <c r="F933" s="212"/>
      <c r="G933" s="212"/>
      <c r="J933" s="212"/>
      <c r="K933" s="212"/>
    </row>
    <row r="934" spans="1:11" ht="12.75" customHeight="1">
      <c r="A934" s="212"/>
      <c r="B934" s="212"/>
      <c r="C934" s="212"/>
      <c r="D934" s="212"/>
      <c r="E934" s="212"/>
      <c r="F934" s="212"/>
      <c r="G934" s="212"/>
      <c r="J934" s="212"/>
      <c r="K934" s="212"/>
    </row>
    <row r="935" spans="1:11" ht="12.75" customHeight="1">
      <c r="A935" s="212"/>
      <c r="B935" s="212"/>
      <c r="C935" s="212"/>
      <c r="D935" s="212"/>
      <c r="E935" s="212"/>
      <c r="F935" s="212"/>
      <c r="G935" s="212"/>
      <c r="J935" s="212"/>
      <c r="K935" s="212"/>
    </row>
    <row r="936" spans="1:11" ht="12.75" customHeight="1">
      <c r="A936" s="212"/>
      <c r="B936" s="212"/>
      <c r="C936" s="212"/>
      <c r="D936" s="212"/>
      <c r="E936" s="212"/>
      <c r="F936" s="212"/>
      <c r="G936" s="212"/>
      <c r="J936" s="212"/>
      <c r="K936" s="212"/>
    </row>
    <row r="937" spans="1:11" ht="12.75" customHeight="1">
      <c r="A937" s="212"/>
      <c r="B937" s="212"/>
      <c r="C937" s="212"/>
      <c r="D937" s="212"/>
      <c r="E937" s="212"/>
      <c r="F937" s="212"/>
      <c r="G937" s="212"/>
      <c r="J937" s="212"/>
      <c r="K937" s="212"/>
    </row>
    <row r="938" spans="1:11" ht="12.75" customHeight="1">
      <c r="A938" s="212"/>
      <c r="B938" s="212"/>
      <c r="C938" s="212"/>
      <c r="D938" s="212"/>
      <c r="E938" s="212"/>
      <c r="F938" s="212"/>
      <c r="G938" s="212"/>
      <c r="J938" s="212"/>
      <c r="K938" s="212"/>
    </row>
    <row r="939" spans="1:11" ht="12.75" customHeight="1">
      <c r="A939" s="212"/>
      <c r="B939" s="212"/>
      <c r="C939" s="212"/>
      <c r="D939" s="212"/>
      <c r="E939" s="212"/>
      <c r="F939" s="212"/>
      <c r="G939" s="212"/>
      <c r="J939" s="212"/>
      <c r="K939" s="212"/>
    </row>
    <row r="940" spans="1:11" ht="12.75" customHeight="1">
      <c r="A940" s="212"/>
      <c r="B940" s="212"/>
      <c r="C940" s="212"/>
      <c r="D940" s="212"/>
      <c r="E940" s="212"/>
      <c r="F940" s="212"/>
      <c r="G940" s="212"/>
      <c r="J940" s="212"/>
      <c r="K940" s="212"/>
    </row>
    <row r="941" spans="1:11" ht="12.75" customHeight="1">
      <c r="A941" s="212"/>
      <c r="B941" s="212"/>
      <c r="C941" s="212"/>
      <c r="D941" s="212"/>
      <c r="E941" s="212"/>
      <c r="F941" s="212"/>
      <c r="G941" s="212"/>
      <c r="J941" s="212"/>
      <c r="K941" s="212"/>
    </row>
    <row r="942" spans="1:11" ht="12.75" customHeight="1">
      <c r="A942" s="212"/>
      <c r="B942" s="212"/>
      <c r="C942" s="212"/>
      <c r="D942" s="212"/>
      <c r="E942" s="212"/>
      <c r="F942" s="212"/>
      <c r="G942" s="212"/>
      <c r="J942" s="212"/>
      <c r="K942" s="212"/>
    </row>
    <row r="943" spans="1:11" ht="12.75" customHeight="1">
      <c r="A943" s="212"/>
      <c r="B943" s="212"/>
      <c r="C943" s="212"/>
      <c r="D943" s="212"/>
      <c r="E943" s="212"/>
      <c r="F943" s="212"/>
      <c r="G943" s="212"/>
      <c r="J943" s="212"/>
      <c r="K943" s="212"/>
    </row>
    <row r="944" spans="1:11" ht="12.75" customHeight="1">
      <c r="A944" s="212"/>
      <c r="B944" s="212"/>
      <c r="C944" s="212"/>
      <c r="D944" s="212"/>
      <c r="E944" s="212"/>
      <c r="F944" s="212"/>
      <c r="G944" s="212"/>
      <c r="J944" s="212"/>
      <c r="K944" s="212"/>
    </row>
    <row r="945" spans="1:11" ht="12.75" customHeight="1">
      <c r="A945" s="212"/>
      <c r="B945" s="212"/>
      <c r="C945" s="212"/>
      <c r="D945" s="212"/>
      <c r="E945" s="212"/>
      <c r="F945" s="212"/>
      <c r="G945" s="212"/>
      <c r="J945" s="212"/>
      <c r="K945" s="212"/>
    </row>
    <row r="946" spans="1:11" ht="12.75" customHeight="1">
      <c r="A946" s="212"/>
      <c r="B946" s="212"/>
      <c r="C946" s="212"/>
      <c r="D946" s="212"/>
      <c r="E946" s="212"/>
      <c r="F946" s="212"/>
      <c r="G946" s="212"/>
      <c r="J946" s="212"/>
      <c r="K946" s="212"/>
    </row>
    <row r="947" spans="1:11" ht="12.75" customHeight="1">
      <c r="A947" s="212"/>
      <c r="B947" s="212"/>
      <c r="C947" s="212"/>
      <c r="D947" s="212"/>
      <c r="E947" s="212"/>
      <c r="F947" s="212"/>
      <c r="G947" s="212"/>
      <c r="J947" s="212"/>
      <c r="K947" s="212"/>
    </row>
    <row r="948" spans="1:11" ht="12.75" customHeight="1">
      <c r="A948" s="212"/>
      <c r="B948" s="212"/>
      <c r="C948" s="212"/>
      <c r="D948" s="212"/>
      <c r="E948" s="212"/>
      <c r="F948" s="212"/>
      <c r="G948" s="212"/>
      <c r="J948" s="212"/>
      <c r="K948" s="212"/>
    </row>
    <row r="949" spans="1:11" ht="12.75" customHeight="1">
      <c r="A949" s="212"/>
      <c r="B949" s="212"/>
      <c r="C949" s="212"/>
      <c r="D949" s="212"/>
      <c r="E949" s="212"/>
      <c r="F949" s="212"/>
      <c r="G949" s="212"/>
      <c r="J949" s="212"/>
      <c r="K949" s="212"/>
    </row>
    <row r="950" spans="1:11" ht="12.75" customHeight="1">
      <c r="A950" s="212"/>
      <c r="B950" s="212"/>
      <c r="C950" s="212"/>
      <c r="D950" s="212"/>
      <c r="E950" s="212"/>
      <c r="F950" s="212"/>
      <c r="G950" s="212"/>
      <c r="J950" s="212"/>
      <c r="K950" s="212"/>
    </row>
    <row r="951" spans="1:11" ht="12.75" customHeight="1">
      <c r="A951" s="212"/>
      <c r="B951" s="212"/>
      <c r="C951" s="212"/>
      <c r="D951" s="212"/>
      <c r="E951" s="212"/>
      <c r="F951" s="212"/>
      <c r="G951" s="212"/>
      <c r="J951" s="212"/>
      <c r="K951" s="212"/>
    </row>
    <row r="952" spans="1:11" ht="12.75" customHeight="1">
      <c r="A952" s="212"/>
      <c r="B952" s="212"/>
      <c r="C952" s="212"/>
      <c r="D952" s="212"/>
      <c r="E952" s="212"/>
      <c r="F952" s="212"/>
      <c r="G952" s="212"/>
      <c r="J952" s="212"/>
      <c r="K952" s="212"/>
    </row>
    <row r="953" spans="1:11" ht="12.75" customHeight="1">
      <c r="A953" s="212"/>
      <c r="B953" s="212"/>
      <c r="C953" s="212"/>
      <c r="D953" s="212"/>
      <c r="E953" s="212"/>
      <c r="F953" s="212"/>
      <c r="G953" s="212"/>
      <c r="J953" s="212"/>
      <c r="K953" s="212"/>
    </row>
    <row r="954" spans="1:11" ht="12.75" customHeight="1">
      <c r="A954" s="212"/>
      <c r="B954" s="212"/>
      <c r="C954" s="212"/>
      <c r="D954" s="212"/>
      <c r="E954" s="212"/>
      <c r="F954" s="212"/>
      <c r="G954" s="212"/>
      <c r="J954" s="212"/>
      <c r="K954" s="212"/>
    </row>
    <row r="955" spans="1:11" ht="12.75" customHeight="1">
      <c r="A955" s="212"/>
      <c r="B955" s="212"/>
      <c r="C955" s="212"/>
      <c r="D955" s="212"/>
      <c r="E955" s="212"/>
      <c r="F955" s="212"/>
      <c r="G955" s="212"/>
      <c r="J955" s="212"/>
      <c r="K955" s="212"/>
    </row>
    <row r="956" spans="1:11" ht="12.75" customHeight="1">
      <c r="A956" s="212"/>
      <c r="B956" s="212"/>
      <c r="C956" s="212"/>
      <c r="D956" s="212"/>
      <c r="E956" s="212"/>
      <c r="F956" s="212"/>
      <c r="G956" s="212"/>
      <c r="J956" s="212"/>
      <c r="K956" s="212"/>
    </row>
    <row r="957" spans="1:11" ht="12.75" customHeight="1">
      <c r="A957" s="212"/>
      <c r="B957" s="212"/>
      <c r="C957" s="212"/>
      <c r="D957" s="212"/>
      <c r="E957" s="212"/>
      <c r="F957" s="212"/>
      <c r="G957" s="212"/>
      <c r="J957" s="212"/>
      <c r="K957" s="212"/>
    </row>
    <row r="958" spans="1:11" ht="12.75" customHeight="1">
      <c r="A958" s="212"/>
      <c r="B958" s="212"/>
      <c r="C958" s="212"/>
      <c r="D958" s="212"/>
      <c r="E958" s="212"/>
      <c r="F958" s="212"/>
      <c r="G958" s="212"/>
      <c r="J958" s="212"/>
      <c r="K958" s="212"/>
    </row>
    <row r="959" spans="1:11" ht="12.75" customHeight="1">
      <c r="A959" s="212"/>
      <c r="B959" s="212"/>
      <c r="C959" s="212"/>
      <c r="D959" s="212"/>
      <c r="E959" s="212"/>
      <c r="F959" s="212"/>
      <c r="G959" s="212"/>
      <c r="J959" s="212"/>
      <c r="K959" s="212"/>
    </row>
    <row r="960" spans="1:11" ht="12.75" customHeight="1">
      <c r="A960" s="212"/>
      <c r="B960" s="212"/>
      <c r="C960" s="212"/>
      <c r="D960" s="212"/>
      <c r="E960" s="212"/>
      <c r="F960" s="212"/>
      <c r="G960" s="212"/>
      <c r="J960" s="212"/>
      <c r="K960" s="212"/>
    </row>
    <row r="961" spans="1:11" ht="12.75" customHeight="1">
      <c r="A961" s="212"/>
      <c r="B961" s="212"/>
      <c r="C961" s="212"/>
      <c r="D961" s="212"/>
      <c r="E961" s="212"/>
      <c r="F961" s="212"/>
      <c r="G961" s="212"/>
      <c r="J961" s="212"/>
      <c r="K961" s="212"/>
    </row>
    <row r="962" spans="1:11" ht="12.75" customHeight="1">
      <c r="A962" s="212"/>
      <c r="B962" s="212"/>
      <c r="C962" s="212"/>
      <c r="D962" s="212"/>
      <c r="E962" s="212"/>
      <c r="F962" s="212"/>
      <c r="G962" s="212"/>
      <c r="J962" s="212"/>
      <c r="K962" s="212"/>
    </row>
    <row r="963" spans="1:11" ht="12.75" customHeight="1">
      <c r="A963" s="212"/>
      <c r="B963" s="212"/>
      <c r="C963" s="212"/>
      <c r="D963" s="212"/>
      <c r="E963" s="212"/>
      <c r="F963" s="212"/>
      <c r="G963" s="212"/>
      <c r="J963" s="212"/>
      <c r="K963" s="212"/>
    </row>
    <row r="964" spans="1:11" ht="12.75" customHeight="1">
      <c r="A964" s="212"/>
      <c r="B964" s="212"/>
      <c r="C964" s="212"/>
      <c r="D964" s="212"/>
      <c r="E964" s="212"/>
      <c r="F964" s="212"/>
      <c r="G964" s="212"/>
      <c r="J964" s="212"/>
      <c r="K964" s="212"/>
    </row>
  </sheetData>
  <sheetProtection password="C6F3" sheet="1" objects="1" scenarios="1"/>
  <mergeCells count="26">
    <mergeCell ref="B95:B98"/>
    <mergeCell ref="B93:B94"/>
    <mergeCell ref="A65:A75"/>
    <mergeCell ref="A61:A64"/>
    <mergeCell ref="B84:B86"/>
    <mergeCell ref="B76:B79"/>
    <mergeCell ref="B80:B83"/>
    <mergeCell ref="B87:B89"/>
    <mergeCell ref="A76:A86"/>
    <mergeCell ref="A87:A98"/>
    <mergeCell ref="B61:B64"/>
    <mergeCell ref="B90:B92"/>
    <mergeCell ref="A2:A16"/>
    <mergeCell ref="B2:B12"/>
    <mergeCell ref="B13:B15"/>
    <mergeCell ref="B65:B68"/>
    <mergeCell ref="B69:B75"/>
    <mergeCell ref="B26:B31"/>
    <mergeCell ref="B18:B25"/>
    <mergeCell ref="B32:B37"/>
    <mergeCell ref="B38:B49"/>
    <mergeCell ref="A18:A50"/>
    <mergeCell ref="A52:A59"/>
    <mergeCell ref="B52:B53"/>
    <mergeCell ref="B54:B55"/>
    <mergeCell ref="B56:B57"/>
  </mergeCells>
  <conditionalFormatting sqref="H2:H5 H13:H15 H18:H23 H26:H27 H32 H38:H49 H51:H52 H54 H56 H58 H61 H65:H67 H69:H73 H75:H78 H80:H82 H84 H86:H88 H90:H91 H93">
    <cfRule type="colorScale" priority="1">
      <colorScale>
        <cfvo type="formula" val="1"/>
        <cfvo type="formula" val="2"/>
        <cfvo type="formula" val="3"/>
        <color rgb="FFFF0000"/>
        <color rgb="FFFFFF00"/>
        <color rgb="FF00FF00"/>
      </colorScale>
    </cfRule>
  </conditionalFormatting>
  <conditionalFormatting sqref="D2:D5 K2:K11 D13:D15 K13:K14 D18:D23 K18:K20 D26:D27 K26:K30 D32 K32:K36 D38:D49 K38:K40 D52 K52 D54 K54 D56 K56 D58 K58 D60:D61 K61:K62 D64:D67 K65 D69:D73 K69 D76:D78 K76 D80:D82 K80 D84 D87:D88 K87:K88 D90:D91 K90 D93 K93 K95:K97">
    <cfRule type="containsText" dxfId="181" priority="2" operator="containsText" text="Y">
      <formula>NOT(ISERROR(SEARCH(("Y"),(D2))))</formula>
    </cfRule>
  </conditionalFormatting>
  <conditionalFormatting sqref="D2:D5 K2:K11 D13:D15 K13:K14 D18:D23 K18:K20 D26:D27 K26:K30 D32 K32:K36 D38:D49 K38:K40 D52 K52 D54 K54 D56 K56 D58 K58 D60:D61 K61:K62 D64:D67 K65 D69:D73 K69 D76:D78 K76 D80:D82 K80 D84 D87:D88 K87:K88 D90:D91 K90 D93 K93 K95:K97">
    <cfRule type="containsText" dxfId="180" priority="3" operator="containsText" text="N">
      <formula>NOT(ISERROR(SEARCH(("N"),(D2))))</formula>
    </cfRule>
  </conditionalFormatting>
  <conditionalFormatting sqref="D2:D5 K2:K11 D13:D15 K13:K14 D18:D23 K18:K20 D26:D27 K26:K30 D32 K32:K36 D38:D49 K38:K40 D52 K52 D54 K54 D56 K56 D58 K58 D60:D61 K61:K62 D64:D67 K65 D69:D73 K69 D76:D78 K76 D80:D82 K80 D84 D87:D88 K87:K88 D90:D91 K90 D93 K93 K95:K97">
    <cfRule type="containsBlanks" dxfId="179" priority="4">
      <formula>LEN(TRIM(D2))=0</formula>
    </cfRule>
  </conditionalFormatting>
  <conditionalFormatting sqref="K3:K8 K13:K14 K18:K20 K26:K30 K32:K36 K38:K40 K52 K54 K56 K58 K60:K62 K64:K65 K69 K75:K76 K80 K87:K88 K90 K93 K95:K97">
    <cfRule type="containsText" dxfId="178" priority="5" operator="containsText" text="Y">
      <formula>NOT(ISERROR(SEARCH(("Y"),(K3))))</formula>
    </cfRule>
  </conditionalFormatting>
  <conditionalFormatting sqref="K3:K8 K13:K14 K18:K20 K26:K30 K32:K36 K38:K40 K52 K54 K56 K58 K60:K62 K64:K65 K69 K75:K76 K80 K87:K88 K90 K93 K95:K97">
    <cfRule type="containsText" dxfId="177" priority="6" operator="containsText" text="N">
      <formula>NOT(ISERROR(SEARCH(("N"),(K3))))</formula>
    </cfRule>
  </conditionalFormatting>
  <conditionalFormatting sqref="K3:K8 K13:K14 K18:K20 K26:K30 K32:K36 K38:K40 K52 K54 K56 K58 K60:K62 K64:K65 K69 K75:K76 K80 K87:K88 K90 K93 K95:K97">
    <cfRule type="containsBlanks" dxfId="176" priority="7">
      <formula>LEN(TRIM(K3))=0</formula>
    </cfRule>
  </conditionalFormatting>
  <conditionalFormatting sqref="K58 K61:K62 K65 K69 K76 K80 K87:K88 K90 K93 K95:K97">
    <cfRule type="containsText" dxfId="175" priority="8" operator="containsText" text="Y">
      <formula>NOT(ISERROR(SEARCH(("Y"),(K58))))</formula>
    </cfRule>
  </conditionalFormatting>
  <conditionalFormatting sqref="K58 K61:K62 K65 K69 K76 K80 K87:K88 K90 K93 K95:K97">
    <cfRule type="containsText" dxfId="174" priority="9" operator="containsText" text="N">
      <formula>NOT(ISERROR(SEARCH(("N"),(K58))))</formula>
    </cfRule>
  </conditionalFormatting>
  <conditionalFormatting sqref="K58 K61:K62 K65 K69 K76 K80 K87:K88 K90 K93 K95:K97">
    <cfRule type="containsBlanks" dxfId="173" priority="10">
      <formula>LEN(TRIM(K58))=0</formula>
    </cfRule>
  </conditionalFormatting>
  <conditionalFormatting sqref="K86">
    <cfRule type="containsBlanks" dxfId="172" priority="11" stopIfTrue="1">
      <formula>LEN(TRIM(K86))=0</formula>
    </cfRule>
  </conditionalFormatting>
  <conditionalFormatting sqref="K93 K95:K98">
    <cfRule type="containsBlanks" dxfId="171" priority="12" stopIfTrue="1">
      <formula>LEN(TRIM(K93))=0</formula>
    </cfRule>
  </conditionalFormatting>
  <conditionalFormatting sqref="K9:K11 K13:K14 K18:K20 K26:K30 K32:K36 K38:K40 K52 K54 K56 K58 K61:K62 K65 K69 K76 K80 K87:K88 K90 K93 K95:K97">
    <cfRule type="containsBlanks" dxfId="170" priority="13" stopIfTrue="1">
      <formula>LEN(TRIM(K9))=0</formula>
    </cfRule>
  </conditionalFormatting>
  <conditionalFormatting sqref="D15 F15:G15 J15 E17 F17:G23 J17 D18:D23 D26:D27 F26:G27 D32 F32:G32 D38:D49 F38:G49 E51 F51:G52 D52 D54 F54:G54 D56 F56:G58 E57:E58 D58 D60:D61 F61:G61 D64:D67 F65:G67 D69:D73 F69:G73 D76:D78 F76:G78 D80:D82 F80:G82 D84 F84:G84 D87:D88 F87:G88 D90:D91 F90:G91 D93 F93:G93">
    <cfRule type="containsBlanks" dxfId="169" priority="14" stopIfTrue="1">
      <formula>LEN(TRIM(D15))=0</formula>
    </cfRule>
  </conditionalFormatting>
  <conditionalFormatting sqref="K14:K15 K17:K20 K26:K30 K32:K36 K38:K40 K52 K54 K56 K58 K61:K62 K65 K69 K76 K80 K87:K88 K90 K93 K95:K97">
    <cfRule type="containsBlanks" dxfId="168" priority="15" stopIfTrue="1">
      <formula>LEN(TRIM(K14))=0</formula>
    </cfRule>
  </conditionalFormatting>
  <conditionalFormatting sqref="D20:D27 F20:G23 J21:J25 C24:C25 E25 F25:G27 H25 D32 F32:G32 D38:D49 F38:G49 E51 F51:G52 D52 D54 F54:G54 D56 F56:G58 E57:E58 D58 D60:D61 F61:G61 D64:D67 F65:G67 D69:D73 F69:G73 D76:D78 F76:G78 D80:D82 F80:G82 D84 F84:G84 D87:D88 F87:G88 D90:D91 F90:G91 D93 F93:G93">
    <cfRule type="containsBlanks" dxfId="167" priority="16" stopIfTrue="1">
      <formula>LEN(TRIM(D20))=0</formula>
    </cfRule>
  </conditionalFormatting>
  <conditionalFormatting sqref="K20:K30 K32:K36 K38:K40 K52 K54 K56 K58 K61:K62 K65 K69 K76 K80 K87:K88 K90 K93 K95:K97">
    <cfRule type="containsBlanks" dxfId="166" priority="17" stopIfTrue="1">
      <formula>LEN(TRIM(K20))=0</formula>
    </cfRule>
  </conditionalFormatting>
  <conditionalFormatting sqref="K30 K32:K36 K38:K40 K52 K54 K56 K58 K61:K62 K65 K69 K76 K80 K87:K88 K90 K93 K95:K97">
    <cfRule type="containsBlanks" dxfId="165" priority="18" stopIfTrue="1">
      <formula>LEN(TRIM(K30))=0</formula>
    </cfRule>
  </conditionalFormatting>
  <conditionalFormatting sqref="K34:K36">
    <cfRule type="containsBlanks" dxfId="164" priority="19" stopIfTrue="1">
      <formula>LEN(TRIM(K34))=0</formula>
    </cfRule>
  </conditionalFormatting>
  <conditionalFormatting sqref="D43:D49 F43:G49 J43:J49 E51 F51:G52 J51 D52 D54 F54:G54 D56 F56:G58 E57:E58 D58 D60:D61 F61:G61 D64:D67 F65:G67 D69:D73 F69:G73 D76:D78 F76:G78 D80:D82 F80:G82 D84 F84:G84 D87:D88 F87:G88 D90:D91 F90:G91 D93 F93:G93">
    <cfRule type="containsBlanks" dxfId="163" priority="20" stopIfTrue="1">
      <formula>LEN(TRIM(D43))=0</formula>
    </cfRule>
  </conditionalFormatting>
  <conditionalFormatting sqref="K41:K49 K51">
    <cfRule type="containsBlanks" dxfId="162" priority="21" stopIfTrue="1">
      <formula>LEN(TRIM(K41))=0</formula>
    </cfRule>
  </conditionalFormatting>
  <conditionalFormatting sqref="H2:H5 H13:H15 H18:H23 H26:H27 H32 H38:H49 H51:H52 H54 H56 H58 H61 H65:H67 H69:H73 H75:H78 H80:H82 H84 H86:H88 H90:H91 H93">
    <cfRule type="containsBlanks" dxfId="161" priority="22">
      <formula>LEN(TRIM(H2))=0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8FF00"/>
  </sheetPr>
  <dimension ref="A1:P1014"/>
  <sheetViews>
    <sheetView showGridLines="0" workbookViewId="0">
      <pane ySplit="1" topLeftCell="A2" activePane="bottomLeft" state="frozen"/>
      <selection pane="bottomLeft" activeCell="H4" sqref="H4"/>
    </sheetView>
  </sheetViews>
  <sheetFormatPr baseColWidth="10" defaultColWidth="17.33203125" defaultRowHeight="15" customHeight="1"/>
  <cols>
    <col min="1" max="1" width="12.83203125" customWidth="1"/>
    <col min="2" max="2" width="18.33203125" customWidth="1"/>
    <col min="3" max="3" width="53.83203125" customWidth="1"/>
    <col min="4" max="4" width="5.5" customWidth="1"/>
    <col min="5" max="6" width="8.5" hidden="1" customWidth="1"/>
    <col min="7" max="7" width="5" hidden="1" customWidth="1"/>
    <col min="8" max="8" width="7.1640625" customWidth="1"/>
    <col min="9" max="9" width="7.33203125" customWidth="1"/>
    <col min="10" max="10" width="58.33203125" customWidth="1"/>
    <col min="11" max="11" width="4.5" customWidth="1"/>
    <col min="12" max="12" width="7.1640625" hidden="1" customWidth="1"/>
    <col min="13" max="13" width="5.5" hidden="1" customWidth="1"/>
    <col min="14" max="14" width="6.1640625" hidden="1" customWidth="1"/>
    <col min="15" max="15" width="5.83203125" customWidth="1"/>
    <col min="16" max="33" width="17.1640625" customWidth="1"/>
  </cols>
  <sheetData>
    <row r="1" spans="1:15" ht="24">
      <c r="A1" s="22" t="s">
        <v>19</v>
      </c>
      <c r="B1" s="70" t="s">
        <v>21</v>
      </c>
      <c r="C1" s="24" t="s">
        <v>23</v>
      </c>
      <c r="D1" s="26" t="s">
        <v>25</v>
      </c>
      <c r="E1" s="71"/>
      <c r="F1" s="71"/>
      <c r="G1" s="75" t="s">
        <v>65</v>
      </c>
      <c r="H1" s="31" t="s">
        <v>42</v>
      </c>
      <c r="I1" s="33"/>
      <c r="J1" s="35" t="s">
        <v>29</v>
      </c>
      <c r="K1" s="26" t="s">
        <v>25</v>
      </c>
      <c r="L1" s="80"/>
      <c r="M1" s="22"/>
      <c r="N1" s="3" t="s">
        <v>65</v>
      </c>
    </row>
    <row r="2" spans="1:15" ht="16.5" customHeight="1">
      <c r="A2" s="482" t="s">
        <v>46</v>
      </c>
      <c r="B2" s="471" t="s">
        <v>60</v>
      </c>
      <c r="C2" s="82" t="str">
        <f>Glossary!B61</f>
        <v>Customer Roadmap</v>
      </c>
      <c r="D2" s="402"/>
      <c r="E2" t="b">
        <f t="shared" ref="E2:E9" si="0">IF(OR(D2="y",D2="n"), G2)</f>
        <v>0</v>
      </c>
      <c r="F2" s="51" t="str">
        <f t="shared" ref="F2:F9" si="1">IF(D2 = "Y",E2, IF(D2="n",0, ""))</f>
        <v/>
      </c>
      <c r="G2" s="53">
        <v>5</v>
      </c>
      <c r="H2" s="400"/>
      <c r="I2" s="56"/>
      <c r="J2" s="83" t="str">
        <f>Glossary!B181</f>
        <v>Project efforts initial estimates</v>
      </c>
      <c r="K2" s="397"/>
      <c r="L2" t="b">
        <f t="shared" ref="L2:L7" si="2">IF(OR(K2="y",K2="n"), N2)</f>
        <v>0</v>
      </c>
      <c r="M2" s="51" t="str">
        <f t="shared" ref="M2:M7" si="3">IF(K2 = "Y",L2, IF(K2="n",0, ""))</f>
        <v/>
      </c>
      <c r="N2" s="63">
        <v>25</v>
      </c>
      <c r="O2" s="37"/>
    </row>
    <row r="3" spans="1:15" ht="16.5" customHeight="1">
      <c r="A3" s="474"/>
      <c r="B3" s="469"/>
      <c r="C3" s="82" t="str">
        <f>Glossary!B184</f>
        <v>Project Scope Document</v>
      </c>
      <c r="D3" s="402"/>
      <c r="E3" t="b">
        <f t="shared" si="0"/>
        <v>0</v>
      </c>
      <c r="F3" s="51" t="str">
        <f t="shared" si="1"/>
        <v/>
      </c>
      <c r="G3" s="53">
        <v>15</v>
      </c>
      <c r="H3" s="400"/>
      <c r="I3" s="56"/>
      <c r="J3" s="83" t="str">
        <f>Glossary!B59</f>
        <v>Contract Draft</v>
      </c>
      <c r="K3" s="397"/>
      <c r="L3" t="b">
        <f t="shared" si="2"/>
        <v>0</v>
      </c>
      <c r="M3" s="51" t="str">
        <f t="shared" si="3"/>
        <v/>
      </c>
      <c r="N3" s="63">
        <v>20</v>
      </c>
      <c r="O3" s="37"/>
    </row>
    <row r="4" spans="1:15" ht="16.5" customHeight="1">
      <c r="A4" s="474"/>
      <c r="B4" s="469"/>
      <c r="C4" s="86" t="str">
        <f>Glossary!B202</f>
        <v>ROI expectations</v>
      </c>
      <c r="D4" s="453"/>
      <c r="E4" t="b">
        <f t="shared" si="0"/>
        <v>0</v>
      </c>
      <c r="F4" s="51" t="str">
        <f t="shared" si="1"/>
        <v/>
      </c>
      <c r="G4" s="53">
        <v>10</v>
      </c>
      <c r="H4" s="400"/>
      <c r="I4" s="56"/>
      <c r="J4" s="83" t="str">
        <f>Glossary!B33</f>
        <v>Business KPIs</v>
      </c>
      <c r="K4" s="397"/>
      <c r="L4" t="b">
        <f t="shared" si="2"/>
        <v>0</v>
      </c>
      <c r="M4" s="51" t="str">
        <f t="shared" si="3"/>
        <v/>
      </c>
      <c r="N4" s="63">
        <v>15</v>
      </c>
      <c r="O4" s="37"/>
    </row>
    <row r="5" spans="1:15" ht="16.5" customHeight="1">
      <c r="A5" s="474"/>
      <c r="B5" s="469"/>
      <c r="C5" s="86" t="str">
        <f>Glossary!B86</f>
        <v>Experience Designs Requirements</v>
      </c>
      <c r="D5" s="402"/>
      <c r="E5" t="b">
        <f t="shared" si="0"/>
        <v>0</v>
      </c>
      <c r="F5" s="51" t="str">
        <f t="shared" si="1"/>
        <v/>
      </c>
      <c r="G5" s="53">
        <v>5</v>
      </c>
      <c r="H5" s="400"/>
      <c r="I5" s="56"/>
      <c r="J5" s="83" t="str">
        <f>Glossary!B166</f>
        <v>Performance KPIs</v>
      </c>
      <c r="K5" s="397"/>
      <c r="L5" t="b">
        <f t="shared" si="2"/>
        <v>0</v>
      </c>
      <c r="M5" s="51" t="str">
        <f t="shared" si="3"/>
        <v/>
      </c>
      <c r="N5" s="63">
        <v>25</v>
      </c>
      <c r="O5" s="37"/>
    </row>
    <row r="6" spans="1:15" ht="16.5" customHeight="1">
      <c r="A6" s="474"/>
      <c r="B6" s="469"/>
      <c r="C6" s="86" t="str">
        <f>Glossary!B34</f>
        <v>Business Requirements Documentation</v>
      </c>
      <c r="D6" s="402"/>
      <c r="E6" t="b">
        <f t="shared" si="0"/>
        <v>0</v>
      </c>
      <c r="F6" s="51" t="str">
        <f t="shared" si="1"/>
        <v/>
      </c>
      <c r="G6" s="53">
        <v>20</v>
      </c>
      <c r="H6" s="400"/>
      <c r="I6" s="56"/>
      <c r="J6" s="83" t="str">
        <f>Glossary!B202</f>
        <v>ROI expectations</v>
      </c>
      <c r="K6" s="397"/>
      <c r="L6" t="b">
        <f t="shared" si="2"/>
        <v>0</v>
      </c>
      <c r="M6" s="51" t="str">
        <f t="shared" si="3"/>
        <v/>
      </c>
      <c r="N6" s="91">
        <v>15</v>
      </c>
      <c r="O6" s="37"/>
    </row>
    <row r="7" spans="1:15" ht="16.5" customHeight="1">
      <c r="A7" s="474"/>
      <c r="B7" s="469"/>
      <c r="C7" s="86" t="str">
        <f>Glossary!B245</f>
        <v>Technical Requirements</v>
      </c>
      <c r="D7" s="402"/>
      <c r="E7" t="b">
        <f t="shared" si="0"/>
        <v>0</v>
      </c>
      <c r="F7" s="51" t="str">
        <f t="shared" si="1"/>
        <v/>
      </c>
      <c r="G7" s="53">
        <v>20</v>
      </c>
      <c r="H7" s="400"/>
      <c r="I7" s="56"/>
      <c r="J7" s="93" t="str">
        <f>Glossary!B233</f>
        <v>Success criteria and definition</v>
      </c>
      <c r="K7" s="397"/>
      <c r="L7" t="b">
        <f t="shared" si="2"/>
        <v>0</v>
      </c>
      <c r="M7" s="51" t="str">
        <f t="shared" si="3"/>
        <v/>
      </c>
      <c r="N7" s="91">
        <v>15</v>
      </c>
      <c r="O7" s="37"/>
    </row>
    <row r="8" spans="1:15" ht="16.5" customHeight="1">
      <c r="A8" s="474"/>
      <c r="B8" s="96"/>
      <c r="C8" s="99" t="str">
        <f>Glossary!B107</f>
        <v xml:space="preserve">Historical performance and historical performance KPIs </v>
      </c>
      <c r="D8" s="402"/>
      <c r="E8" t="b">
        <f t="shared" si="0"/>
        <v>0</v>
      </c>
      <c r="F8" s="51" t="str">
        <f t="shared" si="1"/>
        <v/>
      </c>
      <c r="G8" s="53">
        <v>10</v>
      </c>
      <c r="H8" s="400"/>
      <c r="I8" s="56"/>
      <c r="J8" s="100"/>
      <c r="K8" s="100"/>
      <c r="L8" s="102"/>
      <c r="M8" s="6"/>
      <c r="O8" s="37"/>
    </row>
    <row r="9" spans="1:15" ht="16.5" customHeight="1">
      <c r="A9" s="474"/>
      <c r="B9" s="103"/>
      <c r="C9" s="82" t="str">
        <f>Glossary!B50</f>
        <v>Customer Security Policies</v>
      </c>
      <c r="D9" s="402"/>
      <c r="E9" t="b">
        <f t="shared" si="0"/>
        <v>0</v>
      </c>
      <c r="F9" s="51" t="str">
        <f t="shared" si="1"/>
        <v/>
      </c>
      <c r="G9" s="53">
        <v>15</v>
      </c>
      <c r="H9" s="400"/>
      <c r="I9" s="56"/>
      <c r="J9" s="100"/>
      <c r="K9" s="6"/>
      <c r="L9" s="105"/>
      <c r="M9" s="106"/>
      <c r="O9" s="37"/>
    </row>
    <row r="10" spans="1:15" ht="16.5" customHeight="1">
      <c r="A10" s="474"/>
      <c r="B10" s="103"/>
      <c r="C10" s="74"/>
      <c r="D10" s="74"/>
      <c r="E10" s="74"/>
      <c r="F10" s="73"/>
      <c r="G10" s="73"/>
      <c r="H10" s="74"/>
      <c r="I10" s="74"/>
      <c r="J10" s="73"/>
      <c r="K10" s="73"/>
      <c r="L10" s="105"/>
      <c r="M10" s="106"/>
      <c r="O10" s="37"/>
    </row>
    <row r="11" spans="1:15" ht="16.5" customHeight="1">
      <c r="A11" s="474"/>
      <c r="B11" s="472" t="s">
        <v>67</v>
      </c>
      <c r="C11" s="107" t="str">
        <f>Glossary!B184</f>
        <v>Project Scope Document</v>
      </c>
      <c r="D11" s="402"/>
      <c r="E11" t="b">
        <f t="shared" ref="E11:E15" si="4">IF(OR(D11="y",D11="n"), G11)</f>
        <v>0</v>
      </c>
      <c r="F11" s="51" t="str">
        <f t="shared" ref="F11:F15" si="5">IF(D11 = "Y",E11, IF(D11="n",0, ""))</f>
        <v/>
      </c>
      <c r="G11" s="53">
        <v>20</v>
      </c>
      <c r="H11" s="400"/>
      <c r="I11" s="56"/>
      <c r="J11" s="108" t="str">
        <f>Glossary!B274</f>
        <v>Validated budget plan</v>
      </c>
      <c r="K11" s="451"/>
      <c r="L11" t="b">
        <f t="shared" ref="L11:L12" si="6">IF(OR(K11="y",K11="n"), N11)</f>
        <v>0</v>
      </c>
      <c r="M11" s="51" t="str">
        <f t="shared" ref="M11:M13" si="7">IF(K11 = "Y",L11, IF(K11="n",0, ""))</f>
        <v/>
      </c>
      <c r="N11" s="63">
        <v>20</v>
      </c>
      <c r="O11" s="37"/>
    </row>
    <row r="12" spans="1:15" ht="16.5" customHeight="1">
      <c r="A12" s="474"/>
      <c r="B12" s="469"/>
      <c r="C12" s="86" t="str">
        <f>Glossary!B104</f>
        <v>High Level Solution Design</v>
      </c>
      <c r="D12" s="402"/>
      <c r="E12" t="b">
        <f t="shared" si="4"/>
        <v>0</v>
      </c>
      <c r="F12" s="51" t="str">
        <f t="shared" si="5"/>
        <v/>
      </c>
      <c r="G12" s="53">
        <v>25</v>
      </c>
      <c r="H12" s="400"/>
      <c r="I12" s="56"/>
      <c r="J12" s="69" t="str">
        <f>Glossary!B95</f>
        <v>Finalized Contract</v>
      </c>
      <c r="K12" s="397"/>
      <c r="L12" t="b">
        <f t="shared" si="6"/>
        <v>0</v>
      </c>
      <c r="M12" s="51" t="str">
        <f t="shared" si="7"/>
        <v/>
      </c>
      <c r="N12" s="63">
        <v>45</v>
      </c>
      <c r="O12" s="37"/>
    </row>
    <row r="13" spans="1:15" ht="16.5" customHeight="1">
      <c r="A13" s="474"/>
      <c r="B13" s="469"/>
      <c r="C13" s="86" t="str">
        <f>Glossary!B101</f>
        <v>Hardware Estimates</v>
      </c>
      <c r="D13" s="402"/>
      <c r="E13" t="b">
        <f t="shared" si="4"/>
        <v>0</v>
      </c>
      <c r="F13" s="51" t="str">
        <f t="shared" si="5"/>
        <v/>
      </c>
      <c r="G13" s="53">
        <v>25</v>
      </c>
      <c r="H13" s="400"/>
      <c r="I13" s="56"/>
      <c r="J13" s="111"/>
      <c r="K13" s="111"/>
      <c r="M13" s="51" t="str">
        <f t="shared" si="7"/>
        <v/>
      </c>
      <c r="N13" s="113"/>
      <c r="O13" s="37"/>
    </row>
    <row r="14" spans="1:15" ht="16.5" customHeight="1">
      <c r="A14" s="474"/>
      <c r="B14" s="469"/>
      <c r="C14" s="58" t="str">
        <f>Glossary!B198</f>
        <v>Requirements Documentation</v>
      </c>
      <c r="D14" s="402"/>
      <c r="E14" t="b">
        <f t="shared" si="4"/>
        <v>0</v>
      </c>
      <c r="F14" s="51" t="str">
        <f t="shared" si="5"/>
        <v/>
      </c>
      <c r="G14" s="53">
        <v>30</v>
      </c>
      <c r="H14" s="400"/>
      <c r="I14" s="56"/>
      <c r="J14" s="95"/>
      <c r="K14" s="115"/>
      <c r="L14" s="6"/>
      <c r="M14" s="6"/>
      <c r="O14" s="37"/>
    </row>
    <row r="15" spans="1:15" ht="16.5" customHeight="1">
      <c r="A15" s="474"/>
      <c r="B15" s="469"/>
      <c r="C15" s="69" t="str">
        <f>Glossary!B182</f>
        <v>Project efforts final estimates</v>
      </c>
      <c r="D15" s="402"/>
      <c r="E15" t="b">
        <f t="shared" si="4"/>
        <v>0</v>
      </c>
      <c r="F15" s="51" t="str">
        <f t="shared" si="5"/>
        <v/>
      </c>
      <c r="G15" s="53">
        <v>20</v>
      </c>
      <c r="H15" s="400"/>
      <c r="I15" s="56"/>
      <c r="J15" s="95"/>
      <c r="K15" s="116"/>
      <c r="L15" s="6"/>
      <c r="M15" s="6"/>
      <c r="O15" s="37"/>
    </row>
    <row r="16" spans="1:15" ht="16.5" customHeight="1">
      <c r="A16" s="474"/>
      <c r="B16" s="469"/>
      <c r="C16" s="74"/>
      <c r="D16" s="74"/>
      <c r="E16" s="74"/>
      <c r="F16" s="73"/>
      <c r="G16" s="73"/>
      <c r="H16" s="74"/>
      <c r="I16" s="74"/>
      <c r="J16" s="37"/>
      <c r="K16" s="37"/>
      <c r="L16" s="6"/>
      <c r="M16" s="6"/>
      <c r="O16" s="37"/>
    </row>
    <row r="17" spans="1:15" ht="16.5" hidden="1" customHeight="1">
      <c r="A17" s="483"/>
      <c r="B17" s="470"/>
      <c r="D17" s="118">
        <f>COUNTA(D2:D9,D11:D15,K2:K7,K11:K13)/COUNTA(E2:E9,E11:E15,L2:L7,L11:L13)</f>
        <v>0</v>
      </c>
      <c r="E17" s="92">
        <f t="shared" ref="E17:F17" si="8">SUM(E2:E15)</f>
        <v>0</v>
      </c>
      <c r="F17" s="92">
        <f t="shared" si="8"/>
        <v>0</v>
      </c>
      <c r="G17" s="92"/>
      <c r="H17" s="94" t="str">
        <f>IFERROR(AVERAGEA(H2:H15), "")</f>
        <v/>
      </c>
      <c r="I17" s="56"/>
      <c r="J17" s="95"/>
      <c r="K17" s="84"/>
      <c r="L17" s="120">
        <f t="shared" ref="L17:M17" si="9">SUM(L2:L7,L11:L13)</f>
        <v>0</v>
      </c>
      <c r="M17" s="120">
        <f t="shared" si="9"/>
        <v>0</v>
      </c>
      <c r="O17" s="37"/>
    </row>
    <row r="18" spans="1:15" ht="16.5" customHeight="1">
      <c r="A18" s="468" t="s">
        <v>47</v>
      </c>
      <c r="B18" s="472" t="s">
        <v>70</v>
      </c>
      <c r="C18" s="82" t="str">
        <f>Glossary!B61</f>
        <v>Customer Roadmap</v>
      </c>
      <c r="D18" s="402"/>
      <c r="E18" t="b">
        <f t="shared" ref="E18:E23" si="10">IF(OR(D18="y",D18="n"), G18)</f>
        <v>0</v>
      </c>
      <c r="F18" s="51" t="str">
        <f t="shared" ref="F18:F23" si="11">IF(D18 = "Y",E18, IF(D18="n",0, ""))</f>
        <v/>
      </c>
      <c r="G18" s="53">
        <v>15</v>
      </c>
      <c r="H18" s="400"/>
      <c r="I18" s="56"/>
      <c r="J18" s="101" t="str">
        <f>Glossary!B166</f>
        <v>Performance KPIs</v>
      </c>
      <c r="K18" s="397"/>
      <c r="L18" t="b">
        <f t="shared" ref="L18:L22" si="12">IF(OR(K18="y",K18="n"), N18)</f>
        <v>0</v>
      </c>
      <c r="M18" s="51" t="str">
        <f t="shared" ref="M18:M22" si="13">IF(K18 = "Y",L18, IF(K18="n",0, ""))</f>
        <v/>
      </c>
      <c r="N18" s="53">
        <v>50</v>
      </c>
      <c r="O18" s="37"/>
    </row>
    <row r="19" spans="1:15" ht="16.5" customHeight="1">
      <c r="A19" s="469"/>
      <c r="B19" s="469"/>
      <c r="C19" s="64" t="str">
        <f>Glossary!B184</f>
        <v>Project Scope Document</v>
      </c>
      <c r="D19" s="402"/>
      <c r="E19" t="b">
        <f t="shared" si="10"/>
        <v>0</v>
      </c>
      <c r="F19" s="51" t="str">
        <f t="shared" si="11"/>
        <v/>
      </c>
      <c r="G19" s="53">
        <v>30</v>
      </c>
      <c r="H19" s="400"/>
      <c r="I19" s="56"/>
      <c r="J19" s="110" t="str">
        <f>Glossary!B268</f>
        <v>Understands scope of project and expectations</v>
      </c>
      <c r="K19" s="397"/>
      <c r="L19" t="b">
        <f t="shared" si="12"/>
        <v>0</v>
      </c>
      <c r="M19" s="51" t="str">
        <f t="shared" si="13"/>
        <v/>
      </c>
      <c r="N19" s="53">
        <v>25</v>
      </c>
      <c r="O19" s="37"/>
    </row>
    <row r="20" spans="1:15" ht="16.5" customHeight="1">
      <c r="A20" s="469"/>
      <c r="B20" s="469"/>
      <c r="C20" s="58" t="str">
        <f>Glossary!B202</f>
        <v>ROI expectations</v>
      </c>
      <c r="D20" s="402"/>
      <c r="E20" t="b">
        <f t="shared" si="10"/>
        <v>0</v>
      </c>
      <c r="F20" s="51" t="str">
        <f t="shared" si="11"/>
        <v/>
      </c>
      <c r="G20" s="53">
        <v>15</v>
      </c>
      <c r="H20" s="400"/>
      <c r="I20" s="56"/>
      <c r="J20" s="83" t="str">
        <f>Glossary!B42</f>
        <v>Communicate scope and expectations to team</v>
      </c>
      <c r="K20" s="397"/>
      <c r="L20" t="b">
        <f t="shared" si="12"/>
        <v>0</v>
      </c>
      <c r="M20" s="51" t="str">
        <f t="shared" si="13"/>
        <v/>
      </c>
      <c r="N20" s="53">
        <v>25</v>
      </c>
      <c r="O20" s="37"/>
    </row>
    <row r="21" spans="1:15" ht="16.5" customHeight="1">
      <c r="A21" s="469"/>
      <c r="B21" s="469"/>
      <c r="C21" s="64" t="str">
        <f>Glossary!B195</f>
        <v>Relevant contract terms</v>
      </c>
      <c r="D21" s="402"/>
      <c r="E21" t="b">
        <f t="shared" si="10"/>
        <v>0</v>
      </c>
      <c r="F21" s="51" t="str">
        <f t="shared" si="11"/>
        <v/>
      </c>
      <c r="G21" s="53">
        <v>20</v>
      </c>
      <c r="H21" s="400"/>
      <c r="I21" s="56"/>
      <c r="J21" s="104" t="str">
        <f>Glossary!B184</f>
        <v>Project Scope Document</v>
      </c>
      <c r="K21" s="397"/>
      <c r="L21" t="b">
        <f t="shared" si="12"/>
        <v>0</v>
      </c>
      <c r="M21" s="51" t="str">
        <f t="shared" si="13"/>
        <v/>
      </c>
      <c r="N21" s="53">
        <v>20</v>
      </c>
      <c r="O21" s="37"/>
    </row>
    <row r="22" spans="1:15" ht="16.5" customHeight="1">
      <c r="A22" s="469"/>
      <c r="B22" s="469"/>
      <c r="C22" s="58" t="str">
        <f>Glossary!B34</f>
        <v>Business Requirements Documentation</v>
      </c>
      <c r="D22" s="402"/>
      <c r="E22" t="b">
        <f t="shared" si="10"/>
        <v>0</v>
      </c>
      <c r="F22" s="51" t="str">
        <f t="shared" si="11"/>
        <v/>
      </c>
      <c r="G22" s="53">
        <v>20</v>
      </c>
      <c r="H22" s="400"/>
      <c r="I22" s="56"/>
      <c r="J22" s="45" t="str">
        <f>Glossary!B183</f>
        <v>Project Ogranization</v>
      </c>
      <c r="K22" s="397"/>
      <c r="L22" t="b">
        <f t="shared" si="12"/>
        <v>0</v>
      </c>
      <c r="M22" s="51" t="str">
        <f t="shared" si="13"/>
        <v/>
      </c>
      <c r="N22" s="53">
        <v>10</v>
      </c>
      <c r="O22" s="37"/>
    </row>
    <row r="23" spans="1:15" ht="16.5" customHeight="1">
      <c r="A23" s="469"/>
      <c r="B23" s="469"/>
      <c r="C23" s="125" t="str">
        <f>Glossary!B245</f>
        <v>Technical Requirements</v>
      </c>
      <c r="D23" s="402"/>
      <c r="E23" t="b">
        <f t="shared" si="10"/>
        <v>0</v>
      </c>
      <c r="F23" s="51" t="str">
        <f t="shared" si="11"/>
        <v/>
      </c>
      <c r="G23" s="53">
        <v>20</v>
      </c>
      <c r="H23" s="400"/>
      <c r="I23" s="56"/>
      <c r="J23" s="126"/>
      <c r="K23" s="126"/>
      <c r="M23" s="51"/>
      <c r="N23" s="127"/>
      <c r="O23" s="37"/>
    </row>
    <row r="24" spans="1:15" ht="16.5" customHeight="1">
      <c r="A24" s="469"/>
      <c r="B24" s="470"/>
      <c r="C24" s="130"/>
      <c r="D24" s="130"/>
      <c r="E24" s="130"/>
      <c r="F24" s="131"/>
      <c r="G24" s="131"/>
      <c r="H24" s="130"/>
      <c r="I24" s="74"/>
      <c r="J24" s="130"/>
      <c r="K24" s="130"/>
      <c r="L24" s="53"/>
      <c r="M24" s="51"/>
      <c r="O24" s="37"/>
    </row>
    <row r="25" spans="1:15" ht="16.5" customHeight="1">
      <c r="A25" s="469"/>
      <c r="B25" s="472" t="s">
        <v>73</v>
      </c>
      <c r="C25" s="101" t="str">
        <f>Glossary!B110</f>
        <v>Identify critical key solutions/functionalities</v>
      </c>
      <c r="D25" s="402"/>
      <c r="E25" t="b">
        <f t="shared" ref="E25:E28" si="14">IF(OR(D25="y",D25="n"), G25)</f>
        <v>0</v>
      </c>
      <c r="F25" s="51" t="str">
        <f t="shared" ref="F25:F28" si="15">IF(D25 = "Y",E25, IF(D25="n",0, ""))</f>
        <v/>
      </c>
      <c r="G25" s="133">
        <v>20</v>
      </c>
      <c r="H25" s="400"/>
      <c r="I25" s="56"/>
      <c r="J25" s="121" t="str">
        <f>Glossary!B244</f>
        <v>Technical risk factors verified</v>
      </c>
      <c r="K25" s="397"/>
      <c r="L25" t="b">
        <f t="shared" ref="L25:L27" si="16">IF(OR(K25="y",K25="n"), N25)</f>
        <v>0</v>
      </c>
      <c r="M25" s="51" t="str">
        <f t="shared" ref="M25:M27" si="17">IF(K25 = "Y",L25, IF(K25="n",0, ""))</f>
        <v/>
      </c>
      <c r="N25" s="53">
        <v>20</v>
      </c>
      <c r="O25" s="37"/>
    </row>
    <row r="26" spans="1:15" ht="28">
      <c r="A26" s="469"/>
      <c r="B26" s="469"/>
      <c r="C26" s="45" t="str">
        <f>Glossary!B14</f>
        <v>Alignment of the customer roadmap with project timeline</v>
      </c>
      <c r="D26" s="402"/>
      <c r="E26" t="b">
        <f t="shared" si="14"/>
        <v>0</v>
      </c>
      <c r="F26" s="51" t="str">
        <f t="shared" si="15"/>
        <v/>
      </c>
      <c r="G26" s="53">
        <v>15</v>
      </c>
      <c r="H26" s="400"/>
      <c r="I26" s="56"/>
      <c r="J26" s="110" t="str">
        <f>Glossary!B35</f>
        <v>Business sign off on any required adjustments to the solution or architecture identified and aligned against ROI and KPI expectations</v>
      </c>
      <c r="K26" s="397"/>
      <c r="L26" t="b">
        <f t="shared" si="16"/>
        <v>0</v>
      </c>
      <c r="M26" s="51" t="str">
        <f t="shared" si="17"/>
        <v/>
      </c>
      <c r="N26" s="133">
        <v>25</v>
      </c>
      <c r="O26" s="37"/>
    </row>
    <row r="27" spans="1:15" ht="16.5" customHeight="1">
      <c r="A27" s="469"/>
      <c r="B27" s="469"/>
      <c r="C27" s="51" t="str">
        <f>Glossary!B200</f>
        <v>Risk Assessment</v>
      </c>
      <c r="D27" s="402"/>
      <c r="E27" t="b">
        <f t="shared" si="14"/>
        <v>0</v>
      </c>
      <c r="F27" s="51" t="str">
        <f t="shared" si="15"/>
        <v/>
      </c>
      <c r="G27" s="53">
        <v>45</v>
      </c>
      <c r="H27" s="400"/>
      <c r="I27" s="56"/>
      <c r="J27" s="122" t="str">
        <f>Glossary!B201</f>
        <v>Risk Mitigation Plan</v>
      </c>
      <c r="K27" s="397"/>
      <c r="L27" t="b">
        <f t="shared" si="16"/>
        <v>0</v>
      </c>
      <c r="M27" s="51" t="str">
        <f t="shared" si="17"/>
        <v/>
      </c>
      <c r="N27" s="133">
        <v>30</v>
      </c>
      <c r="O27" s="37"/>
    </row>
    <row r="28" spans="1:15" ht="16.5" customHeight="1">
      <c r="A28" s="469"/>
      <c r="B28" s="469"/>
      <c r="C28" s="45" t="str">
        <f>Glossary!B185</f>
        <v>Proof of Concept (POC)</v>
      </c>
      <c r="D28" s="402"/>
      <c r="E28" t="b">
        <f t="shared" si="14"/>
        <v>0</v>
      </c>
      <c r="F28" s="51" t="str">
        <f t="shared" si="15"/>
        <v/>
      </c>
      <c r="G28" s="53">
        <v>20</v>
      </c>
      <c r="H28" s="400"/>
      <c r="I28" s="56"/>
      <c r="J28" s="37"/>
      <c r="K28" s="37"/>
      <c r="O28" s="37"/>
    </row>
    <row r="29" spans="1:15" ht="16.5" customHeight="1">
      <c r="A29" s="469"/>
      <c r="B29" s="470"/>
      <c r="C29" s="136"/>
      <c r="D29" s="136"/>
      <c r="E29" s="136"/>
      <c r="F29" s="136"/>
      <c r="G29" s="136"/>
      <c r="H29" s="136"/>
      <c r="I29" s="74"/>
      <c r="J29" s="130"/>
      <c r="K29" s="130"/>
      <c r="L29" s="53"/>
      <c r="M29" s="51"/>
      <c r="O29" s="37"/>
    </row>
    <row r="30" spans="1:15" ht="16.5" customHeight="1">
      <c r="A30" s="469"/>
      <c r="B30" s="481" t="s">
        <v>75</v>
      </c>
      <c r="C30" s="138" t="str">
        <f>Glossary!B229</f>
        <v>Stakeholders</v>
      </c>
      <c r="D30" s="402"/>
      <c r="E30" t="b">
        <f t="shared" ref="E30:E33" si="18">IF(OR(D30="y",D30="n"), G30)</f>
        <v>0</v>
      </c>
      <c r="F30" s="51" t="str">
        <f t="shared" ref="F30:F33" si="19">IF(D30 = "Y",E30, IF(D30="n",0, ""))</f>
        <v/>
      </c>
      <c r="G30" s="53">
        <v>20</v>
      </c>
      <c r="H30" s="400"/>
      <c r="I30" s="56"/>
      <c r="J30" s="141" t="str">
        <f>Glossary!B130</f>
        <v>Issue tracking system process is set up and integrated</v>
      </c>
      <c r="K30" s="397"/>
      <c r="L30" t="b">
        <f t="shared" ref="L30:L31" si="20">IF(OR(K30="y",K30="n"), N30)</f>
        <v>0</v>
      </c>
      <c r="M30" s="51" t="str">
        <f t="shared" ref="M30:M31" si="21">IF(K30 = "Y",L30, IF(K30="n",0, ""))</f>
        <v/>
      </c>
      <c r="N30" s="53">
        <v>50</v>
      </c>
      <c r="O30" s="37"/>
    </row>
    <row r="31" spans="1:15" ht="16.5" customHeight="1">
      <c r="A31" s="469"/>
      <c r="B31" s="469"/>
      <c r="C31" s="45" t="str">
        <f>Glossary!B129</f>
        <v>Issue tracking system and processes</v>
      </c>
      <c r="D31" s="402"/>
      <c r="E31" t="b">
        <f t="shared" si="18"/>
        <v>0</v>
      </c>
      <c r="F31" s="51" t="str">
        <f t="shared" si="19"/>
        <v/>
      </c>
      <c r="G31" s="53">
        <v>35</v>
      </c>
      <c r="H31" s="400"/>
      <c r="I31" s="56"/>
      <c r="J31" s="110" t="str">
        <f>Glossary!B180</f>
        <v>Project communication plan</v>
      </c>
      <c r="K31" s="397"/>
      <c r="L31" t="b">
        <f t="shared" si="20"/>
        <v>0</v>
      </c>
      <c r="M31" s="51" t="str">
        <f t="shared" si="21"/>
        <v/>
      </c>
      <c r="N31" s="53">
        <v>45</v>
      </c>
      <c r="O31" s="37"/>
    </row>
    <row r="32" spans="1:15" ht="16.5" customHeight="1">
      <c r="A32" s="469"/>
      <c r="B32" s="469"/>
      <c r="C32" s="45" t="str">
        <f>Glossary!B232</f>
        <v>Status Report format definition</v>
      </c>
      <c r="D32" s="402"/>
      <c r="E32" t="b">
        <f t="shared" si="18"/>
        <v>0</v>
      </c>
      <c r="F32" s="51" t="str">
        <f t="shared" si="19"/>
        <v/>
      </c>
      <c r="G32" s="53">
        <v>25</v>
      </c>
      <c r="H32" s="400"/>
      <c r="I32" s="56"/>
      <c r="J32" s="143"/>
      <c r="K32" s="137"/>
      <c r="L32" s="145"/>
      <c r="M32" s="145"/>
      <c r="O32" s="37"/>
    </row>
    <row r="33" spans="1:15" ht="16.5" customHeight="1">
      <c r="A33" s="469"/>
      <c r="B33" s="469"/>
      <c r="C33" s="101" t="str">
        <f>Glossary!B196</f>
        <v>Reporting Cadence</v>
      </c>
      <c r="D33" s="402"/>
      <c r="E33" t="b">
        <f t="shared" si="18"/>
        <v>0</v>
      </c>
      <c r="F33" s="51" t="str">
        <f t="shared" si="19"/>
        <v/>
      </c>
      <c r="G33" s="53">
        <v>20</v>
      </c>
      <c r="H33" s="400"/>
      <c r="I33" s="56"/>
      <c r="J33" s="95"/>
      <c r="K33" s="87"/>
      <c r="L33" s="147"/>
      <c r="M33" s="147"/>
      <c r="O33" s="37"/>
    </row>
    <row r="34" spans="1:15" ht="16.5" customHeight="1">
      <c r="A34" s="469"/>
      <c r="B34" s="478"/>
      <c r="C34" s="150"/>
      <c r="D34" s="151"/>
      <c r="E34" s="151"/>
      <c r="F34" s="151"/>
      <c r="G34" s="151"/>
      <c r="H34" s="151"/>
      <c r="I34" s="153"/>
      <c r="J34" s="109"/>
      <c r="K34" s="109"/>
      <c r="L34" s="145"/>
      <c r="M34" s="155"/>
      <c r="O34" s="37"/>
    </row>
    <row r="35" spans="1:15" ht="16.5" customHeight="1">
      <c r="A35" s="469"/>
      <c r="B35" s="472" t="s">
        <v>76</v>
      </c>
      <c r="C35" s="101" t="str">
        <f>Glossary!B61</f>
        <v>Customer Roadmap</v>
      </c>
      <c r="D35" s="402"/>
      <c r="E35" t="b">
        <f t="shared" ref="E35:E46" si="22">IF(OR(D35="y",D35="n"), G35)</f>
        <v>0</v>
      </c>
      <c r="F35" s="51" t="str">
        <f t="shared" ref="F35:F46" si="23">IF(D35 = "Y",E35, IF(D35="n",0, ""))</f>
        <v/>
      </c>
      <c r="G35" s="53">
        <v>5</v>
      </c>
      <c r="H35" s="400"/>
      <c r="I35" s="56"/>
      <c r="J35" s="45" t="str">
        <f>Glossary!B243</f>
        <v>Team understands project and expectations</v>
      </c>
      <c r="K35" s="397"/>
      <c r="L35" t="b">
        <f t="shared" ref="L35:L38" si="24">IF(OR(K35="y",K35="n"), N35)</f>
        <v>0</v>
      </c>
      <c r="M35" s="51" t="str">
        <f t="shared" ref="M35:M38" si="25">IF(K35 = "Y",L35, IF(K35="n",0, ""))</f>
        <v/>
      </c>
      <c r="N35" s="53">
        <v>30</v>
      </c>
      <c r="O35" s="37"/>
    </row>
    <row r="36" spans="1:15" ht="16.5" customHeight="1">
      <c r="A36" s="469"/>
      <c r="B36" s="469"/>
      <c r="C36" s="101" t="str">
        <f>Glossary!B184</f>
        <v>Project Scope Document</v>
      </c>
      <c r="D36" s="402"/>
      <c r="E36" t="b">
        <f t="shared" si="22"/>
        <v>0</v>
      </c>
      <c r="F36" s="51" t="str">
        <f t="shared" si="23"/>
        <v/>
      </c>
      <c r="G36" s="53">
        <v>10</v>
      </c>
      <c r="H36" s="400"/>
      <c r="I36" s="56"/>
      <c r="J36" s="110" t="str">
        <f>Glossary!B14</f>
        <v>Alignment of the customer roadmap with project timeline</v>
      </c>
      <c r="K36" s="397"/>
      <c r="L36" t="b">
        <f t="shared" si="24"/>
        <v>0</v>
      </c>
      <c r="M36" s="51" t="str">
        <f t="shared" si="25"/>
        <v/>
      </c>
      <c r="N36" s="53">
        <v>45</v>
      </c>
      <c r="O36" s="37"/>
    </row>
    <row r="37" spans="1:15" ht="16.5" customHeight="1">
      <c r="A37" s="469"/>
      <c r="B37" s="469"/>
      <c r="C37" s="45" t="str">
        <f>Glossary!B202</f>
        <v>ROI expectations</v>
      </c>
      <c r="D37" s="402"/>
      <c r="E37" t="b">
        <f t="shared" si="22"/>
        <v>0</v>
      </c>
      <c r="F37" s="51" t="str">
        <f t="shared" si="23"/>
        <v/>
      </c>
      <c r="G37" s="53">
        <v>5</v>
      </c>
      <c r="H37" s="400"/>
      <c r="I37" s="56"/>
      <c r="J37" s="110" t="str">
        <f>Glossary!B241</f>
        <v>Team is aware of the commmunication plan</v>
      </c>
      <c r="K37" s="397"/>
      <c r="L37" t="b">
        <f t="shared" si="24"/>
        <v>0</v>
      </c>
      <c r="M37" s="51" t="str">
        <f t="shared" si="25"/>
        <v/>
      </c>
      <c r="N37" s="53">
        <v>25</v>
      </c>
      <c r="O37" s="37"/>
    </row>
    <row r="38" spans="1:15" ht="16.5" customHeight="1">
      <c r="A38" s="469"/>
      <c r="B38" s="469"/>
      <c r="C38" s="101" t="str">
        <f>Glossary!B127</f>
        <v>Initial Experience Designs</v>
      </c>
      <c r="D38" s="402"/>
      <c r="E38" t="b">
        <f t="shared" si="22"/>
        <v>0</v>
      </c>
      <c r="F38" s="51" t="str">
        <f t="shared" si="23"/>
        <v/>
      </c>
      <c r="G38" s="53">
        <v>5</v>
      </c>
      <c r="H38" s="400"/>
      <c r="I38" s="56"/>
      <c r="J38" s="122" t="str">
        <f>Glossary!B242</f>
        <v>Team is aware of succes definitions and criteria</v>
      </c>
      <c r="K38" s="397"/>
      <c r="L38" t="b">
        <f t="shared" si="24"/>
        <v>0</v>
      </c>
      <c r="M38" s="51" t="str">
        <f t="shared" si="25"/>
        <v/>
      </c>
      <c r="N38" s="53">
        <v>15</v>
      </c>
      <c r="O38" s="37"/>
    </row>
    <row r="39" spans="1:15" ht="16.5" customHeight="1">
      <c r="A39" s="469"/>
      <c r="B39" s="469"/>
      <c r="C39" s="101" t="str">
        <f>Glossary!B198</f>
        <v>Requirements Documentation</v>
      </c>
      <c r="D39" s="402"/>
      <c r="E39" t="b">
        <f t="shared" si="22"/>
        <v>0</v>
      </c>
      <c r="F39" s="51" t="str">
        <f t="shared" si="23"/>
        <v/>
      </c>
      <c r="G39" s="53">
        <v>15</v>
      </c>
      <c r="H39" s="400"/>
      <c r="I39" s="56"/>
      <c r="J39" s="143"/>
      <c r="K39" s="137"/>
      <c r="L39" s="145"/>
      <c r="M39" s="145"/>
      <c r="O39" s="37"/>
    </row>
    <row r="40" spans="1:15" ht="16.5" customHeight="1">
      <c r="A40" s="469"/>
      <c r="B40" s="469"/>
      <c r="C40" s="101" t="str">
        <f>Glossary!B104</f>
        <v>High Level Solution Design</v>
      </c>
      <c r="D40" s="402"/>
      <c r="E40" t="b">
        <f t="shared" si="22"/>
        <v>0</v>
      </c>
      <c r="F40" s="51" t="str">
        <f t="shared" si="23"/>
        <v/>
      </c>
      <c r="G40" s="53">
        <v>10</v>
      </c>
      <c r="H40" s="400"/>
      <c r="I40" s="56"/>
      <c r="J40" s="95"/>
      <c r="K40" s="137"/>
      <c r="L40" s="145"/>
      <c r="M40" s="145"/>
      <c r="O40" s="37"/>
    </row>
    <row r="41" spans="1:15" ht="16.5" customHeight="1">
      <c r="A41" s="469"/>
      <c r="B41" s="469"/>
      <c r="C41" s="101" t="str">
        <f>Glossary!B11</f>
        <v>Architecture Draft</v>
      </c>
      <c r="D41" s="402"/>
      <c r="E41" t="b">
        <f t="shared" si="22"/>
        <v>0</v>
      </c>
      <c r="F41" s="51" t="str">
        <f t="shared" si="23"/>
        <v/>
      </c>
      <c r="G41" s="53">
        <v>10</v>
      </c>
      <c r="H41" s="400"/>
      <c r="I41" s="56"/>
      <c r="J41" s="95"/>
      <c r="K41" s="137"/>
      <c r="L41" s="145"/>
      <c r="M41" s="145"/>
      <c r="O41" s="37"/>
    </row>
    <row r="42" spans="1:15" ht="16.5" customHeight="1">
      <c r="A42" s="469"/>
      <c r="B42" s="469"/>
      <c r="C42" s="101" t="str">
        <f>Glossary!B101</f>
        <v>Hardware Estimates</v>
      </c>
      <c r="D42" s="402"/>
      <c r="E42" t="b">
        <f t="shared" si="22"/>
        <v>0</v>
      </c>
      <c r="F42" s="51" t="str">
        <f t="shared" si="23"/>
        <v/>
      </c>
      <c r="G42" s="53">
        <v>10</v>
      </c>
      <c r="H42" s="400"/>
      <c r="I42" s="56"/>
      <c r="J42" s="95"/>
      <c r="K42" s="137"/>
      <c r="L42" s="145"/>
      <c r="M42" s="145"/>
      <c r="O42" s="37"/>
    </row>
    <row r="43" spans="1:15" ht="16.5" customHeight="1">
      <c r="A43" s="469"/>
      <c r="B43" s="469"/>
      <c r="C43" s="101" t="str">
        <f>Glossary!B166</f>
        <v>Performance KPIs</v>
      </c>
      <c r="D43" s="402"/>
      <c r="E43" t="b">
        <f t="shared" si="22"/>
        <v>0</v>
      </c>
      <c r="F43" s="51" t="str">
        <f t="shared" si="23"/>
        <v/>
      </c>
      <c r="G43" s="53">
        <v>5</v>
      </c>
      <c r="H43" s="400"/>
      <c r="I43" s="56"/>
      <c r="J43" s="95"/>
      <c r="K43" s="137"/>
      <c r="L43" s="145"/>
      <c r="M43" s="145"/>
      <c r="O43" s="37"/>
    </row>
    <row r="44" spans="1:15" ht="16.5" customHeight="1">
      <c r="A44" s="469"/>
      <c r="B44" s="469"/>
      <c r="C44" s="101" t="str">
        <f>Glossary!B264</f>
        <v>Timeline and Milestones</v>
      </c>
      <c r="D44" s="402"/>
      <c r="E44" t="b">
        <f t="shared" si="22"/>
        <v>0</v>
      </c>
      <c r="F44" s="51" t="str">
        <f t="shared" si="23"/>
        <v/>
      </c>
      <c r="G44" s="53">
        <v>15</v>
      </c>
      <c r="H44" s="400"/>
      <c r="I44" s="56"/>
      <c r="J44" s="95"/>
      <c r="K44" s="137"/>
      <c r="L44" s="145"/>
      <c r="M44" s="145"/>
      <c r="O44" s="37"/>
    </row>
    <row r="45" spans="1:15" ht="16.5" customHeight="1">
      <c r="A45" s="469"/>
      <c r="B45" s="469"/>
      <c r="C45" s="161" t="str">
        <f>Glossary!B183</f>
        <v>Project Ogranization</v>
      </c>
      <c r="D45" s="402"/>
      <c r="E45" t="b">
        <f t="shared" si="22"/>
        <v>0</v>
      </c>
      <c r="F45" s="51" t="str">
        <f t="shared" si="23"/>
        <v/>
      </c>
      <c r="G45" s="53">
        <v>10</v>
      </c>
      <c r="H45" s="400"/>
      <c r="I45" s="56"/>
      <c r="J45" s="128"/>
      <c r="K45" s="137"/>
      <c r="L45" s="147"/>
      <c r="M45" s="147"/>
      <c r="O45" s="37"/>
    </row>
    <row r="46" spans="1:15" ht="18" customHeight="1">
      <c r="A46" s="469"/>
      <c r="B46" s="469"/>
      <c r="C46" s="45" t="str">
        <f>Glossary!B233</f>
        <v>Success criteria and definition</v>
      </c>
      <c r="D46" s="402"/>
      <c r="E46" t="b">
        <f t="shared" si="22"/>
        <v>0</v>
      </c>
      <c r="F46" s="51" t="str">
        <f t="shared" si="23"/>
        <v/>
      </c>
      <c r="G46" s="53">
        <v>15</v>
      </c>
      <c r="H46" s="400"/>
      <c r="I46" s="56"/>
      <c r="J46" s="95"/>
      <c r="K46" s="137"/>
      <c r="L46" s="145"/>
      <c r="M46" s="145"/>
      <c r="O46" s="37"/>
    </row>
    <row r="47" spans="1:15" ht="21.75" customHeight="1">
      <c r="A47" s="470"/>
      <c r="B47" s="470"/>
      <c r="C47" s="163"/>
      <c r="D47" s="164"/>
      <c r="E47" s="164"/>
      <c r="F47" s="164"/>
      <c r="G47" s="164"/>
      <c r="H47" s="164"/>
      <c r="I47" s="165"/>
      <c r="J47" s="117"/>
      <c r="K47" s="117"/>
      <c r="L47" s="145"/>
      <c r="M47" s="145"/>
      <c r="O47" s="37"/>
    </row>
    <row r="48" spans="1:15" ht="16.5" hidden="1" customHeight="1">
      <c r="A48" s="88"/>
      <c r="B48" s="103"/>
      <c r="C48" s="166"/>
      <c r="D48" s="169">
        <f>COUNTA(D18:D46,K18:K20,K25:K31,K35:K37)/COUNTA(F18:F46,M18:M20,M25:M31,M35:M37)</f>
        <v>0</v>
      </c>
      <c r="E48" s="92">
        <f t="shared" ref="E48:F48" si="26">SUM(E18:E46)</f>
        <v>0</v>
      </c>
      <c r="F48" s="92">
        <f t="shared" si="26"/>
        <v>0</v>
      </c>
      <c r="G48" s="92"/>
      <c r="H48" t="str">
        <f>IFERROR(AVERAGEA(H18:H46), "")</f>
        <v/>
      </c>
      <c r="I48" s="37"/>
      <c r="J48" s="95"/>
      <c r="K48" s="137"/>
      <c r="L48" s="145">
        <f t="shared" ref="L48:M48" si="27">SUM(L18:L21,L25:L31,L35:L38)</f>
        <v>0</v>
      </c>
      <c r="M48" s="145">
        <f t="shared" si="27"/>
        <v>0</v>
      </c>
      <c r="O48" s="37"/>
    </row>
    <row r="49" spans="1:15" ht="21" customHeight="1">
      <c r="A49" s="477" t="s">
        <v>81</v>
      </c>
      <c r="B49" s="472" t="s">
        <v>85</v>
      </c>
      <c r="C49" s="101" t="str">
        <f>Glossary!B15</f>
        <v>AEM technical trainings</v>
      </c>
      <c r="D49" s="402"/>
      <c r="E49" t="b">
        <f>IF(OR(D49="y",D49="n"), G49)</f>
        <v>0</v>
      </c>
      <c r="F49" s="51" t="str">
        <f>IF(D49 = "Y",E49, IF(D49="n",0, ""))</f>
        <v/>
      </c>
      <c r="G49" s="53">
        <v>100</v>
      </c>
      <c r="H49" s="400"/>
      <c r="I49" s="56"/>
      <c r="J49" s="45" t="str">
        <f>Glossary!B22</f>
        <v>Appropriately trained staff</v>
      </c>
      <c r="K49" s="397"/>
      <c r="L49" t="b">
        <f>IF(OR(K49="y",K49="n"), N49)</f>
        <v>0</v>
      </c>
      <c r="M49" s="51" t="str">
        <f>IF(K49 = "Y",L49, IF(K49="n",0, ""))</f>
        <v/>
      </c>
      <c r="N49" s="53">
        <v>50</v>
      </c>
      <c r="O49" s="37"/>
    </row>
    <row r="50" spans="1:15" ht="18.75" customHeight="1">
      <c r="A50" s="469"/>
      <c r="B50" s="470"/>
      <c r="C50" s="176"/>
      <c r="D50" s="177"/>
      <c r="E50" s="177"/>
      <c r="F50" s="177"/>
      <c r="G50" s="177"/>
      <c r="H50" s="177"/>
      <c r="I50" s="153"/>
      <c r="J50" s="177"/>
      <c r="K50" s="177"/>
      <c r="L50" s="53"/>
      <c r="M50" s="51"/>
      <c r="O50" s="37"/>
    </row>
    <row r="51" spans="1:15" ht="15" customHeight="1">
      <c r="A51" s="469"/>
      <c r="B51" s="472" t="s">
        <v>86</v>
      </c>
      <c r="C51" s="101" t="str">
        <f>Glossary!B33</f>
        <v>Business KPIs</v>
      </c>
      <c r="D51" s="402"/>
      <c r="E51" t="b">
        <f t="shared" ref="E51:E52" si="28">IF(OR(D51="y",D51="n"), G51)</f>
        <v>0</v>
      </c>
      <c r="F51" s="51" t="str">
        <f t="shared" ref="F51:F52" si="29">IF(D51 = "Y",E51, IF(D51="n",0, ""))</f>
        <v/>
      </c>
      <c r="G51" s="53">
        <v>20</v>
      </c>
      <c r="H51" s="400"/>
      <c r="I51" s="56"/>
      <c r="J51" s="45" t="s">
        <v>87</v>
      </c>
      <c r="K51" s="397"/>
      <c r="L51" t="b">
        <f>IF(OR(K51="y",K51="n"), N51)</f>
        <v>0</v>
      </c>
      <c r="M51" s="51" t="str">
        <f>IF(K51 = "Y",L51, IF(K51="n",0, ""))</f>
        <v/>
      </c>
      <c r="N51" s="53">
        <v>25</v>
      </c>
      <c r="O51" s="37"/>
    </row>
    <row r="52" spans="1:15" ht="15" customHeight="1">
      <c r="A52" s="469"/>
      <c r="B52" s="469"/>
      <c r="C52" s="45" t="str">
        <f>Glossary!B57</f>
        <v>Content Architecture Document</v>
      </c>
      <c r="D52" s="402"/>
      <c r="E52" t="b">
        <f t="shared" si="28"/>
        <v>0</v>
      </c>
      <c r="F52" s="51" t="str">
        <f t="shared" si="29"/>
        <v/>
      </c>
      <c r="G52" s="53">
        <v>50</v>
      </c>
      <c r="H52" s="400"/>
      <c r="I52" s="56"/>
      <c r="J52" s="176"/>
      <c r="K52" s="176"/>
      <c r="L52" s="155"/>
      <c r="M52" s="90"/>
      <c r="O52" s="37"/>
    </row>
    <row r="53" spans="1:15" ht="18.75" customHeight="1">
      <c r="A53" s="469"/>
      <c r="B53" s="470"/>
      <c r="C53" s="141"/>
      <c r="D53" s="126"/>
      <c r="E53" s="126"/>
      <c r="F53" s="126"/>
      <c r="G53" s="126"/>
      <c r="H53" s="182"/>
      <c r="I53" s="165"/>
      <c r="J53" s="126"/>
      <c r="K53" s="183"/>
      <c r="L53" s="155"/>
      <c r="M53" s="155"/>
      <c r="O53" s="37"/>
    </row>
    <row r="54" spans="1:15" ht="18" customHeight="1">
      <c r="A54" s="469"/>
      <c r="B54" s="481" t="s">
        <v>89</v>
      </c>
      <c r="C54" s="101" t="str">
        <f>Glossary!B198</f>
        <v>Requirements Documentation</v>
      </c>
      <c r="D54" s="402"/>
      <c r="E54" t="b">
        <f t="shared" ref="E54:E58" si="30">IF(OR(D54="y",D54="n"), G54)</f>
        <v>0</v>
      </c>
      <c r="F54" s="51" t="str">
        <f t="shared" ref="F54:F58" si="31">IF(D54 = "Y",E54, IF(D54="n",0, ""))</f>
        <v/>
      </c>
      <c r="G54" s="53">
        <v>10</v>
      </c>
      <c r="H54" s="400"/>
      <c r="I54" s="56"/>
      <c r="J54" s="184" t="str">
        <f>Glossary!B70</f>
        <v>Deployment / Release Policies and Processes</v>
      </c>
      <c r="K54" s="397"/>
      <c r="L54" t="b">
        <f t="shared" ref="L54:L55" si="32">IF(OR(K54="y",K54="n"), N54)</f>
        <v>0</v>
      </c>
      <c r="M54" s="51" t="str">
        <f t="shared" ref="M54:M55" si="33">IF(K54 = "Y",L54, IF(K54="n",0, ""))</f>
        <v/>
      </c>
      <c r="N54" s="53">
        <v>30</v>
      </c>
      <c r="O54" s="37"/>
    </row>
    <row r="55" spans="1:15" ht="18.75" customHeight="1">
      <c r="A55" s="469"/>
      <c r="B55" s="469"/>
      <c r="C55" s="101" t="str">
        <f>Glossary!B104</f>
        <v>High Level Solution Design</v>
      </c>
      <c r="D55" s="402"/>
      <c r="E55" t="b">
        <f t="shared" si="30"/>
        <v>0</v>
      </c>
      <c r="F55" s="51" t="str">
        <f t="shared" si="31"/>
        <v/>
      </c>
      <c r="G55" s="53">
        <v>10</v>
      </c>
      <c r="H55" s="400"/>
      <c r="I55" s="56"/>
      <c r="J55" s="110" t="str">
        <f>Glossary!B13</f>
        <v xml:space="preserve">Align Business and Performance KPIs </v>
      </c>
      <c r="K55" s="397"/>
      <c r="L55" t="b">
        <f t="shared" si="32"/>
        <v>0</v>
      </c>
      <c r="M55" s="51" t="str">
        <f t="shared" si="33"/>
        <v/>
      </c>
      <c r="N55" s="53">
        <v>20</v>
      </c>
      <c r="O55" s="37"/>
    </row>
    <row r="56" spans="1:15" ht="16.5" customHeight="1">
      <c r="A56" s="469"/>
      <c r="B56" s="469"/>
      <c r="C56" s="45" t="str">
        <f>Glossary!B254</f>
        <v>Testing Strategy</v>
      </c>
      <c r="D56" s="402"/>
      <c r="E56" t="b">
        <f t="shared" si="30"/>
        <v>0</v>
      </c>
      <c r="F56" s="51" t="str">
        <f t="shared" si="31"/>
        <v/>
      </c>
      <c r="G56" s="53">
        <v>10</v>
      </c>
      <c r="H56" s="400"/>
      <c r="I56" s="56"/>
      <c r="J56" s="176"/>
      <c r="K56" s="137"/>
      <c r="L56" s="155"/>
      <c r="M56" s="90"/>
      <c r="O56" s="37"/>
    </row>
    <row r="57" spans="1:15" ht="16.5" customHeight="1">
      <c r="A57" s="469"/>
      <c r="B57" s="469"/>
      <c r="C57" s="101" t="str">
        <f>Glossary!B166</f>
        <v>Performance KPIs</v>
      </c>
      <c r="D57" s="402"/>
      <c r="E57" t="b">
        <f t="shared" si="30"/>
        <v>0</v>
      </c>
      <c r="F57" s="51" t="str">
        <f t="shared" si="31"/>
        <v/>
      </c>
      <c r="G57" s="53">
        <v>10</v>
      </c>
      <c r="H57" s="400"/>
      <c r="I57" s="56"/>
      <c r="J57" s="176"/>
      <c r="K57" s="137"/>
      <c r="L57" s="145"/>
      <c r="M57" s="145"/>
      <c r="O57" s="37"/>
    </row>
    <row r="58" spans="1:15" ht="15" customHeight="1">
      <c r="A58" s="469"/>
      <c r="B58" s="469"/>
      <c r="C58" s="185" t="str">
        <f>Glossary!B47</f>
        <v xml:space="preserve">Customer Deployment/Release policies </v>
      </c>
      <c r="D58" s="402"/>
      <c r="E58" t="b">
        <f t="shared" si="30"/>
        <v>0</v>
      </c>
      <c r="F58" s="51" t="str">
        <f t="shared" si="31"/>
        <v/>
      </c>
      <c r="G58" s="53">
        <v>10</v>
      </c>
      <c r="H58" s="400"/>
      <c r="I58" s="56"/>
      <c r="J58" s="95"/>
      <c r="K58" s="87"/>
      <c r="L58" s="145"/>
      <c r="M58" s="145"/>
      <c r="O58" s="37"/>
    </row>
    <row r="59" spans="1:15" ht="18" customHeight="1">
      <c r="A59" s="469"/>
      <c r="B59" s="478"/>
      <c r="C59" s="186"/>
      <c r="D59" s="182"/>
      <c r="E59" s="182"/>
      <c r="F59" s="182"/>
      <c r="G59" s="182"/>
      <c r="H59" s="182"/>
      <c r="I59" s="165"/>
      <c r="J59" s="165"/>
      <c r="K59" s="117"/>
      <c r="L59" s="145"/>
      <c r="M59" s="155"/>
      <c r="O59" s="37"/>
    </row>
    <row r="60" spans="1:15" ht="16.5" customHeight="1">
      <c r="A60" s="469"/>
      <c r="B60" s="472" t="s">
        <v>92</v>
      </c>
      <c r="C60" s="101" t="str">
        <f>Glossary!B198</f>
        <v>Requirements Documentation</v>
      </c>
      <c r="D60" s="402"/>
      <c r="E60" t="b">
        <f t="shared" ref="E60:E66" si="34">IF(OR(D60="y",D60="n"), G60)</f>
        <v>0</v>
      </c>
      <c r="F60" s="51" t="str">
        <f t="shared" ref="F60:F66" si="35">IF(D60 = "Y",E60, IF(D60="n",0, ""))</f>
        <v/>
      </c>
      <c r="G60" s="190">
        <v>25</v>
      </c>
      <c r="H60" s="400"/>
      <c r="I60" s="56"/>
      <c r="J60" s="110" t="str">
        <f>Glossary!B219</f>
        <v>Solution Review Board established and meeting cadence set</v>
      </c>
      <c r="K60" s="397"/>
      <c r="L60" t="b">
        <f t="shared" ref="L60:L63" si="36">IF(OR(K60="y",K60="n"), N60)</f>
        <v>0</v>
      </c>
      <c r="M60" s="51" t="str">
        <f t="shared" ref="M60:M63" si="37">IF(K60 = "Y",L60, IF(K60="n",0, ""))</f>
        <v/>
      </c>
      <c r="N60" s="168">
        <v>25</v>
      </c>
      <c r="O60" s="37"/>
    </row>
    <row r="61" spans="1:15" ht="21" customHeight="1">
      <c r="A61" s="469"/>
      <c r="B61" s="469"/>
      <c r="C61" s="101" t="str">
        <f>Glossary!B104</f>
        <v>High Level Solution Design</v>
      </c>
      <c r="D61" s="402"/>
      <c r="E61" t="b">
        <f t="shared" si="34"/>
        <v>0</v>
      </c>
      <c r="F61" s="51" t="str">
        <f t="shared" si="35"/>
        <v/>
      </c>
      <c r="G61" s="190">
        <v>20</v>
      </c>
      <c r="H61" s="400"/>
      <c r="I61" s="56"/>
      <c r="J61" s="110" t="str">
        <f>Glossary!B221</f>
        <v>Solution sign off and accpetance process</v>
      </c>
      <c r="K61" s="397"/>
      <c r="L61" t="b">
        <f t="shared" si="36"/>
        <v>0</v>
      </c>
      <c r="M61" s="51" t="str">
        <f t="shared" si="37"/>
        <v/>
      </c>
      <c r="N61" s="168">
        <v>30</v>
      </c>
      <c r="O61" s="37"/>
    </row>
    <row r="62" spans="1:15" ht="21" customHeight="1">
      <c r="A62" s="469"/>
      <c r="B62" s="469"/>
      <c r="C62" s="101" t="str">
        <f>Glossary!B11</f>
        <v>Architecture Draft</v>
      </c>
      <c r="D62" s="402"/>
      <c r="E62" t="b">
        <f t="shared" si="34"/>
        <v>0</v>
      </c>
      <c r="F62" s="51" t="str">
        <f t="shared" si="35"/>
        <v/>
      </c>
      <c r="G62" s="190">
        <v>10</v>
      </c>
      <c r="H62" s="400"/>
      <c r="I62" s="56"/>
      <c r="J62" s="110" t="str">
        <f>Glossary!B13</f>
        <v xml:space="preserve">Align Business and Performance KPIs </v>
      </c>
      <c r="K62" s="397"/>
      <c r="L62" t="b">
        <f t="shared" si="36"/>
        <v>0</v>
      </c>
      <c r="M62" s="51" t="str">
        <f t="shared" si="37"/>
        <v/>
      </c>
      <c r="N62" s="168">
        <v>20</v>
      </c>
      <c r="O62" s="37"/>
    </row>
    <row r="63" spans="1:15" ht="16.5" customHeight="1">
      <c r="A63" s="469"/>
      <c r="B63" s="469"/>
      <c r="C63" s="101" t="str">
        <f>Glossary!B101</f>
        <v>Hardware Estimates</v>
      </c>
      <c r="D63" s="402"/>
      <c r="E63" t="b">
        <f t="shared" si="34"/>
        <v>0</v>
      </c>
      <c r="F63" s="51" t="str">
        <f t="shared" si="35"/>
        <v/>
      </c>
      <c r="G63" s="190">
        <v>10</v>
      </c>
      <c r="H63" s="400"/>
      <c r="I63" s="56"/>
      <c r="J63" s="45" t="str">
        <f>Glossary!B200</f>
        <v>Risk Assessment</v>
      </c>
      <c r="K63" s="397"/>
      <c r="L63" t="b">
        <f t="shared" si="36"/>
        <v>0</v>
      </c>
      <c r="M63" s="51" t="str">
        <f t="shared" si="37"/>
        <v/>
      </c>
      <c r="N63" s="168">
        <v>30</v>
      </c>
      <c r="O63" s="37"/>
    </row>
    <row r="64" spans="1:15" ht="18.75" customHeight="1">
      <c r="A64" s="469"/>
      <c r="B64" s="469"/>
      <c r="C64" s="101" t="str">
        <f>Glossary!B166</f>
        <v>Performance KPIs</v>
      </c>
      <c r="D64" s="402"/>
      <c r="E64" t="b">
        <f t="shared" si="34"/>
        <v>0</v>
      </c>
      <c r="F64" s="51" t="str">
        <f t="shared" si="35"/>
        <v/>
      </c>
      <c r="G64" s="197">
        <v>20</v>
      </c>
      <c r="H64" s="400"/>
      <c r="I64" s="56"/>
      <c r="J64" s="176"/>
      <c r="K64" s="6"/>
      <c r="L64" s="145"/>
      <c r="M64" s="90"/>
      <c r="O64" s="37"/>
    </row>
    <row r="65" spans="1:15" ht="15.75" customHeight="1">
      <c r="A65" s="469"/>
      <c r="B65" s="469"/>
      <c r="C65" s="161" t="str">
        <f>Glossary!B203</f>
        <v>Roles and Rights Concept</v>
      </c>
      <c r="D65" s="402"/>
      <c r="E65" t="b">
        <f t="shared" si="34"/>
        <v>0</v>
      </c>
      <c r="F65" s="51" t="str">
        <f t="shared" si="35"/>
        <v/>
      </c>
      <c r="G65" s="197">
        <v>10</v>
      </c>
      <c r="H65" s="400"/>
      <c r="I65" s="56"/>
      <c r="J65" s="200"/>
      <c r="K65" s="201"/>
      <c r="L65" s="145"/>
      <c r="M65" s="145"/>
      <c r="O65" s="37"/>
    </row>
    <row r="66" spans="1:15" ht="18.75" customHeight="1">
      <c r="A66" s="469"/>
      <c r="B66" s="469"/>
      <c r="C66" s="101" t="str">
        <f>Glossary!B223</f>
        <v>Special functionality concept</v>
      </c>
      <c r="D66" s="402"/>
      <c r="E66" t="b">
        <f t="shared" si="34"/>
        <v>0</v>
      </c>
      <c r="F66" s="51" t="str">
        <f t="shared" si="35"/>
        <v/>
      </c>
      <c r="G66" s="202">
        <v>10</v>
      </c>
      <c r="H66" s="400"/>
      <c r="I66" s="56"/>
      <c r="J66" s="203"/>
      <c r="K66" s="201"/>
      <c r="L66" s="145"/>
      <c r="M66" s="145"/>
      <c r="O66" s="37"/>
    </row>
    <row r="67" spans="1:15" ht="16.5" customHeight="1">
      <c r="A67" s="469"/>
      <c r="B67" s="469"/>
      <c r="C67" s="204"/>
      <c r="D67" s="152"/>
      <c r="H67" s="56"/>
      <c r="I67" s="56"/>
      <c r="J67" s="207"/>
      <c r="K67" s="208"/>
      <c r="L67" s="145"/>
      <c r="M67" s="145"/>
      <c r="O67" s="37"/>
    </row>
    <row r="68" spans="1:15" ht="17.25" customHeight="1">
      <c r="A68" s="469"/>
      <c r="B68" s="470"/>
      <c r="C68" s="204"/>
      <c r="D68" s="152"/>
      <c r="E68" s="152"/>
      <c r="F68" s="152"/>
      <c r="G68" s="152"/>
      <c r="H68" s="195"/>
      <c r="I68" s="153"/>
      <c r="J68" s="109"/>
      <c r="K68" s="109"/>
      <c r="L68" s="145"/>
      <c r="M68" s="155"/>
      <c r="O68" s="37"/>
    </row>
    <row r="69" spans="1:15" ht="16.5" customHeight="1">
      <c r="A69" s="469"/>
      <c r="B69" s="481" t="s">
        <v>98</v>
      </c>
      <c r="C69" s="45" t="str">
        <f>Glossary!B261</f>
        <v>Third party system for integration</v>
      </c>
      <c r="D69" s="402"/>
      <c r="E69" t="b">
        <f t="shared" ref="E69:E71" si="38">IF(OR(D69="y",D69="n"), G69)</f>
        <v>0</v>
      </c>
      <c r="F69" s="51" t="str">
        <f t="shared" ref="F69:F71" si="39">IF(D69 = "Y",E69, IF(D69="n",0, ""))</f>
        <v/>
      </c>
      <c r="G69" s="190">
        <v>10</v>
      </c>
      <c r="H69" s="400"/>
      <c r="I69" s="56"/>
      <c r="J69" s="45" t="str">
        <f>Glossary!B200</f>
        <v>Risk Assessment</v>
      </c>
      <c r="K69" s="397"/>
      <c r="L69" t="b">
        <f t="shared" ref="L69:L71" si="40">IF(OR(K69="y",K69="n"), N69)</f>
        <v>0</v>
      </c>
      <c r="M69" s="51" t="str">
        <f t="shared" ref="M69:M71" si="41">IF(K69 = "Y",L69, IF(K69="n",0, ""))</f>
        <v/>
      </c>
      <c r="N69" s="215">
        <v>30</v>
      </c>
      <c r="O69" s="37"/>
    </row>
    <row r="70" spans="1:15" ht="16.5" customHeight="1">
      <c r="A70" s="469"/>
      <c r="B70" s="469"/>
      <c r="C70" s="216" t="str">
        <f>Glossary!B229</f>
        <v>Stakeholders</v>
      </c>
      <c r="D70" s="402"/>
      <c r="E70" t="b">
        <f t="shared" si="38"/>
        <v>0</v>
      </c>
      <c r="F70" s="51" t="str">
        <f t="shared" si="39"/>
        <v/>
      </c>
      <c r="G70" s="190">
        <v>20</v>
      </c>
      <c r="H70" s="400"/>
      <c r="I70" s="56"/>
      <c r="J70" s="101" t="str">
        <f>Glossary!B216</f>
        <v>SLAs for third party systems</v>
      </c>
      <c r="K70" s="397"/>
      <c r="L70" t="b">
        <f t="shared" si="40"/>
        <v>0</v>
      </c>
      <c r="M70" s="51" t="str">
        <f t="shared" si="41"/>
        <v/>
      </c>
      <c r="N70" s="168">
        <v>20</v>
      </c>
      <c r="O70" s="37"/>
    </row>
    <row r="71" spans="1:15" ht="16.5" customHeight="1">
      <c r="A71" s="469"/>
      <c r="B71" s="469"/>
      <c r="C71" s="45" t="str">
        <f>Glossary!B216</f>
        <v>SLAs for third party systems</v>
      </c>
      <c r="D71" s="402"/>
      <c r="E71" t="b">
        <f t="shared" si="38"/>
        <v>0</v>
      </c>
      <c r="F71" s="51" t="str">
        <f t="shared" si="39"/>
        <v/>
      </c>
      <c r="G71" s="190">
        <v>20</v>
      </c>
      <c r="H71" s="400"/>
      <c r="I71" s="56"/>
      <c r="J71" s="112" t="str">
        <f>Glossary!B257</f>
        <v>Third party systems access enabled</v>
      </c>
      <c r="K71" s="397"/>
      <c r="L71" t="b">
        <f t="shared" si="40"/>
        <v>0</v>
      </c>
      <c r="M71" s="51" t="str">
        <f t="shared" si="41"/>
        <v/>
      </c>
      <c r="N71" s="218">
        <v>20</v>
      </c>
      <c r="O71" s="37"/>
    </row>
    <row r="72" spans="1:15" ht="16.5" customHeight="1">
      <c r="A72" s="469"/>
      <c r="B72" s="478"/>
      <c r="C72" s="204"/>
      <c r="D72" s="152"/>
      <c r="E72" s="152"/>
      <c r="F72" s="152"/>
      <c r="G72" s="152"/>
      <c r="H72" s="195"/>
      <c r="I72" s="153"/>
      <c r="J72" s="195"/>
      <c r="K72" s="219"/>
      <c r="L72" s="168"/>
      <c r="M72" s="51"/>
      <c r="O72" s="37"/>
    </row>
    <row r="73" spans="1:15" ht="16.5" customHeight="1">
      <c r="A73" s="469"/>
      <c r="B73" s="472" t="s">
        <v>99</v>
      </c>
      <c r="C73" s="101" t="str">
        <f>Glossary!B127</f>
        <v>Initial Experience Designs</v>
      </c>
      <c r="D73" s="402"/>
      <c r="E73" t="b">
        <f t="shared" ref="E73:E76" si="42">IF(OR(D73="y",D73="n"), G73)</f>
        <v>0</v>
      </c>
      <c r="F73" s="51" t="str">
        <f t="shared" ref="F73:F76" si="43">IF(D73 = "Y",E73, IF(D73="n",0, ""))</f>
        <v/>
      </c>
      <c r="G73" s="190">
        <v>10</v>
      </c>
      <c r="H73" s="400"/>
      <c r="I73" s="56"/>
      <c r="J73" s="45" t="str">
        <f>Glossary!B254</f>
        <v>Testing Strategy</v>
      </c>
      <c r="K73" s="397"/>
      <c r="L73" t="b">
        <f t="shared" ref="L73:L74" si="44">IF(OR(K73="y",K73="n"), N73)</f>
        <v>0</v>
      </c>
      <c r="M73" s="51" t="str">
        <f t="shared" ref="M73:M74" si="45">IF(K73 = "Y",L73, IF(K73="n",0, ""))</f>
        <v/>
      </c>
      <c r="N73" s="215">
        <v>25</v>
      </c>
      <c r="O73" s="37"/>
    </row>
    <row r="74" spans="1:15" ht="16.5" customHeight="1">
      <c r="A74" s="469"/>
      <c r="B74" s="469"/>
      <c r="C74" s="101" t="str">
        <f>Glossary!B198</f>
        <v>Requirements Documentation</v>
      </c>
      <c r="D74" s="402"/>
      <c r="E74" t="b">
        <f t="shared" si="42"/>
        <v>0</v>
      </c>
      <c r="F74" s="51" t="str">
        <f t="shared" si="43"/>
        <v/>
      </c>
      <c r="G74" s="190">
        <v>25</v>
      </c>
      <c r="H74" s="400"/>
      <c r="I74" s="56"/>
      <c r="J74" s="110" t="str">
        <f>Glossary!B251</f>
        <v>Testing Plans</v>
      </c>
      <c r="K74" s="397"/>
      <c r="L74" t="b">
        <f t="shared" si="44"/>
        <v>0</v>
      </c>
      <c r="M74" s="51" t="str">
        <f t="shared" si="45"/>
        <v/>
      </c>
      <c r="N74" s="168">
        <v>20</v>
      </c>
      <c r="O74" s="37"/>
    </row>
    <row r="75" spans="1:15" ht="16.5" customHeight="1">
      <c r="A75" s="469"/>
      <c r="B75" s="469"/>
      <c r="C75" s="101" t="str">
        <f>Glossary!B104</f>
        <v>High Level Solution Design</v>
      </c>
      <c r="D75" s="402"/>
      <c r="E75" t="b">
        <f t="shared" si="42"/>
        <v>0</v>
      </c>
      <c r="F75" s="51" t="str">
        <f t="shared" si="43"/>
        <v/>
      </c>
      <c r="G75" s="190">
        <v>20</v>
      </c>
      <c r="H75" s="400"/>
      <c r="I75" s="56"/>
      <c r="J75" s="176"/>
      <c r="K75" s="176"/>
      <c r="L75" s="145"/>
      <c r="M75" s="90"/>
      <c r="O75" s="37"/>
    </row>
    <row r="76" spans="1:15" ht="18.75" customHeight="1">
      <c r="A76" s="469"/>
      <c r="B76" s="469"/>
      <c r="C76" s="45" t="str">
        <f>Glossary!B270</f>
        <v>Use cases</v>
      </c>
      <c r="D76" s="402"/>
      <c r="E76" t="b">
        <f t="shared" si="42"/>
        <v>0</v>
      </c>
      <c r="F76" s="51" t="str">
        <f t="shared" si="43"/>
        <v/>
      </c>
      <c r="G76" s="190">
        <v>25</v>
      </c>
      <c r="H76" s="400"/>
      <c r="I76" s="56"/>
      <c r="J76" s="176"/>
      <c r="K76" s="176"/>
      <c r="L76" s="145"/>
      <c r="M76" s="90"/>
      <c r="O76" s="37"/>
    </row>
    <row r="77" spans="1:15" ht="18.75" customHeight="1">
      <c r="A77" s="469"/>
      <c r="B77" s="470"/>
      <c r="C77" s="163"/>
      <c r="D77" s="220"/>
      <c r="E77" s="220"/>
      <c r="F77" s="220"/>
      <c r="G77" s="220"/>
      <c r="H77" s="164"/>
      <c r="I77" s="165"/>
      <c r="J77" s="220"/>
      <c r="K77" s="190"/>
      <c r="L77" s="145"/>
      <c r="M77" s="155"/>
      <c r="O77" s="37"/>
    </row>
    <row r="78" spans="1:15" ht="16.5" customHeight="1">
      <c r="A78" s="469"/>
      <c r="B78" s="472" t="s">
        <v>82</v>
      </c>
      <c r="C78" s="101" t="str">
        <f>Glossary!B215</f>
        <v>Setup Support processes</v>
      </c>
      <c r="D78" s="402"/>
      <c r="E78" t="b">
        <f t="shared" ref="E78:E81" si="46">IF(OR(D78="y",D78="n"), G78)</f>
        <v>0</v>
      </c>
      <c r="F78" s="51" t="str">
        <f t="shared" ref="F78:F81" si="47">IF(D78 = "Y",E78, IF(D78="n",0, ""))</f>
        <v/>
      </c>
      <c r="G78" s="190">
        <v>15</v>
      </c>
      <c r="H78" s="400"/>
      <c r="I78" s="56"/>
      <c r="J78" s="45" t="str">
        <f>Glossary!B234</f>
        <v>Support processes and access to Adobe Support Portal</v>
      </c>
      <c r="K78" s="397"/>
      <c r="L78" t="b">
        <f t="shared" ref="L78:L80" si="48">IF(OR(K78="y",K78="n"), N78)</f>
        <v>0</v>
      </c>
      <c r="M78" s="51" t="str">
        <f t="shared" ref="M78:M80" si="49">IF(K78 = "Y",L78, IF(K78="n",0, ""))</f>
        <v/>
      </c>
      <c r="N78" s="215">
        <v>10</v>
      </c>
      <c r="O78" s="37"/>
    </row>
    <row r="79" spans="1:15" ht="16.5" customHeight="1">
      <c r="A79" s="469"/>
      <c r="B79" s="469"/>
      <c r="C79" s="101" t="str">
        <f>Glossary!B138</f>
        <v>List of users that require access to Adobe Support Portal</v>
      </c>
      <c r="D79" s="402"/>
      <c r="E79" t="b">
        <f t="shared" si="46"/>
        <v>0</v>
      </c>
      <c r="F79" s="51" t="str">
        <f t="shared" si="47"/>
        <v/>
      </c>
      <c r="G79" s="190">
        <v>10</v>
      </c>
      <c r="H79" s="400"/>
      <c r="I79" s="56"/>
      <c r="J79" s="110" t="str">
        <f>Glossary!B83</f>
        <v>Escalation Processes</v>
      </c>
      <c r="K79" s="397"/>
      <c r="L79" t="b">
        <f t="shared" si="48"/>
        <v>0</v>
      </c>
      <c r="M79" s="51" t="str">
        <f t="shared" si="49"/>
        <v/>
      </c>
      <c r="N79" s="168">
        <v>20</v>
      </c>
      <c r="O79" s="37"/>
    </row>
    <row r="80" spans="1:15" ht="16.5" customHeight="1">
      <c r="A80" s="469"/>
      <c r="B80" s="469"/>
      <c r="C80" s="101" t="s">
        <v>100</v>
      </c>
      <c r="D80" s="402"/>
      <c r="E80" t="b">
        <f t="shared" si="46"/>
        <v>0</v>
      </c>
      <c r="F80" s="51" t="str">
        <f t="shared" si="47"/>
        <v/>
      </c>
      <c r="G80" s="190">
        <v>10</v>
      </c>
      <c r="H80" s="400"/>
      <c r="I80" s="56"/>
      <c r="J80" s="45" t="str">
        <f>Glossary!B8</f>
        <v>Adobe Support Portal project set up</v>
      </c>
      <c r="K80" s="397"/>
      <c r="L80" t="b">
        <f t="shared" si="48"/>
        <v>0</v>
      </c>
      <c r="M80" s="51" t="str">
        <f t="shared" si="49"/>
        <v/>
      </c>
      <c r="N80" s="218">
        <v>10</v>
      </c>
      <c r="O80" s="37"/>
    </row>
    <row r="81" spans="1:16" ht="16.5" customHeight="1">
      <c r="A81" s="469"/>
      <c r="B81" s="469"/>
      <c r="C81" s="45" t="str">
        <f>Glossary!B83</f>
        <v>Escalation Processes</v>
      </c>
      <c r="D81" s="402"/>
      <c r="E81" t="b">
        <f t="shared" si="46"/>
        <v>0</v>
      </c>
      <c r="F81" s="51" t="str">
        <f t="shared" si="47"/>
        <v/>
      </c>
      <c r="G81" s="190">
        <v>10</v>
      </c>
      <c r="H81" s="400"/>
      <c r="I81" s="56"/>
      <c r="J81" s="37"/>
      <c r="K81" s="37"/>
      <c r="O81" s="37"/>
      <c r="P81" s="3"/>
    </row>
    <row r="82" spans="1:16" ht="16.5" customHeight="1">
      <c r="A82" s="469"/>
      <c r="B82" s="469"/>
      <c r="C82" s="166"/>
      <c r="D82" s="166"/>
      <c r="E82" s="166"/>
      <c r="F82" s="166"/>
      <c r="G82" s="166"/>
      <c r="H82" s="166"/>
      <c r="I82" s="37"/>
      <c r="J82" s="37"/>
      <c r="K82" s="37"/>
      <c r="O82" s="37"/>
    </row>
    <row r="83" spans="1:16" ht="16.5" customHeight="1">
      <c r="A83" s="88"/>
      <c r="B83" s="470"/>
      <c r="C83" s="150"/>
      <c r="D83" s="227"/>
      <c r="E83" s="227"/>
      <c r="F83" s="227"/>
      <c r="G83" s="227"/>
      <c r="H83" s="227"/>
      <c r="I83" s="153"/>
      <c r="J83" s="227"/>
      <c r="K83" s="228"/>
      <c r="L83" s="168"/>
      <c r="M83" s="51"/>
      <c r="O83" s="37"/>
    </row>
    <row r="84" spans="1:16" ht="16.5" hidden="1" customHeight="1">
      <c r="A84" s="88"/>
      <c r="B84" s="103"/>
      <c r="C84" s="166"/>
      <c r="D84" s="229">
        <f>COUNTA(D49,D51:D82,K49:K51,K54:K55,K60:K63,K69:K74,K78:K82)/COUNTA(F49,F51:F82,M49:M51,M54:M55,M60:M63,M69:M74,M78:M82)</f>
        <v>0</v>
      </c>
      <c r="E84" s="152">
        <f t="shared" ref="E84:F84" si="50">SUM(E51:E82)</f>
        <v>0</v>
      </c>
      <c r="F84" s="152">
        <f t="shared" si="50"/>
        <v>0</v>
      </c>
      <c r="G84" s="152"/>
      <c r="H84" t="str">
        <f>IFERROR(AVERAGE(H51:H81), "")</f>
        <v/>
      </c>
      <c r="I84" s="37"/>
      <c r="J84" s="204"/>
      <c r="L84" s="145">
        <f>SUM(L60:L63,L69:L74,L78:L81)</f>
        <v>0</v>
      </c>
      <c r="M84" s="90">
        <f>SUM(M60:M63,M69:M74,M78:M82)</f>
        <v>0</v>
      </c>
      <c r="O84" s="37"/>
    </row>
    <row r="85" spans="1:16" ht="16.5" customHeight="1">
      <c r="A85" s="468" t="s">
        <v>49</v>
      </c>
      <c r="B85" s="472" t="s">
        <v>77</v>
      </c>
      <c r="C85" s="101" t="str">
        <f>Glossary!B203</f>
        <v>Roles and Rights Concept</v>
      </c>
      <c r="D85" s="402"/>
      <c r="E85" t="b">
        <f>IF(OR(D85="y",D85="n"), G85)</f>
        <v>0</v>
      </c>
      <c r="F85" s="51" t="str">
        <f>IF(D85 = "Y",E85, IF(D85="n",0, ""))</f>
        <v/>
      </c>
      <c r="G85" s="152">
        <v>20</v>
      </c>
      <c r="H85" s="400"/>
      <c r="I85" s="56"/>
      <c r="J85" s="101" t="str">
        <f>Glossary!B205</f>
        <v>Roles and Rights Concept meets security guidelines</v>
      </c>
      <c r="K85" s="397"/>
      <c r="L85" t="b">
        <f>IF(OR(K85="y",K85="n"), N85)</f>
        <v>0</v>
      </c>
      <c r="M85" s="51" t="str">
        <f>IF(K85 = "Y",L85, IF(K85="n",0, ""))</f>
        <v/>
      </c>
      <c r="N85" s="145">
        <v>30</v>
      </c>
      <c r="O85" s="37"/>
    </row>
    <row r="86" spans="1:16" ht="16.5" customHeight="1">
      <c r="A86" s="469"/>
      <c r="B86" s="470"/>
      <c r="C86" s="176"/>
      <c r="D86" s="177"/>
      <c r="E86" s="177"/>
      <c r="F86" s="177"/>
      <c r="G86" s="177"/>
      <c r="H86" s="233"/>
      <c r="I86" s="153"/>
      <c r="J86" s="177"/>
      <c r="K86" s="209"/>
      <c r="L86" s="145"/>
      <c r="M86" s="155"/>
      <c r="O86" s="37"/>
    </row>
    <row r="87" spans="1:16" ht="16.5" customHeight="1">
      <c r="A87" s="469"/>
      <c r="B87" s="472" t="s">
        <v>78</v>
      </c>
      <c r="C87" s="101" t="str">
        <f>Glossary!B154</f>
        <v>Monitoring Concept</v>
      </c>
      <c r="D87" s="402"/>
      <c r="E87" t="b">
        <f>IF(OR(D87="y",D87="n"), G87)</f>
        <v>0</v>
      </c>
      <c r="F87" s="51" t="str">
        <f>IF(D87 = "Y",E87, IF(D87="n",0, ""))</f>
        <v/>
      </c>
      <c r="G87" s="152">
        <v>25</v>
      </c>
      <c r="H87" s="400"/>
      <c r="I87" s="56"/>
      <c r="J87" s="101" t="str">
        <f>Glossary!B155</f>
        <v>Monitoring Policy communicated to System Engineer</v>
      </c>
      <c r="K87" s="397"/>
      <c r="L87" t="b">
        <f t="shared" ref="L87:L88" si="51">IF(OR(K87="y",K87="n"), N87)</f>
        <v>0</v>
      </c>
      <c r="M87" s="51" t="str">
        <f t="shared" ref="M87:M88" si="52">IF(K87 = "Y",L87, IF(K87="n",0, ""))</f>
        <v/>
      </c>
      <c r="N87" s="145">
        <v>20</v>
      </c>
      <c r="O87" s="37"/>
    </row>
    <row r="88" spans="1:16" ht="16.5" customHeight="1">
      <c r="A88" s="469"/>
      <c r="B88" s="469"/>
      <c r="C88" s="166"/>
      <c r="D88" s="229"/>
      <c r="E88" s="229"/>
      <c r="F88" s="229"/>
      <c r="G88" s="229"/>
      <c r="H88" s="229"/>
      <c r="I88" s="37"/>
      <c r="J88" s="101" t="str">
        <f>Glossary!B157</f>
        <v>Monitoring Reports structure in place</v>
      </c>
      <c r="K88" s="397"/>
      <c r="L88" t="b">
        <f t="shared" si="51"/>
        <v>0</v>
      </c>
      <c r="M88" s="51" t="str">
        <f t="shared" si="52"/>
        <v/>
      </c>
      <c r="N88" s="145">
        <v>15</v>
      </c>
      <c r="O88" s="37"/>
    </row>
    <row r="89" spans="1:16" ht="16.5" customHeight="1">
      <c r="A89" s="469"/>
      <c r="B89" s="470"/>
      <c r="C89" s="204"/>
      <c r="D89" s="152"/>
      <c r="E89" s="152"/>
      <c r="F89" s="152"/>
      <c r="G89" s="152"/>
      <c r="H89" s="152"/>
      <c r="I89" s="153"/>
      <c r="J89" s="152"/>
      <c r="K89" s="238"/>
      <c r="L89" s="145"/>
      <c r="M89" s="155"/>
      <c r="O89" s="37"/>
    </row>
    <row r="90" spans="1:16" ht="16.5" customHeight="1">
      <c r="A90" s="469"/>
      <c r="B90" s="472" t="s">
        <v>80</v>
      </c>
      <c r="C90" s="101" t="str">
        <f>Glossary!B44</f>
        <v>Customer Backup and restore policy</v>
      </c>
      <c r="D90" s="402"/>
      <c r="E90" t="b">
        <f t="shared" ref="E90:E92" si="53">IF(OR(D90="y",D90="n"), G90)</f>
        <v>0</v>
      </c>
      <c r="F90" s="51" t="str">
        <f t="shared" ref="F90:F92" si="54">IF(D90 = "Y",E90, IF(D90="n",0, ""))</f>
        <v/>
      </c>
      <c r="G90" s="152">
        <v>20</v>
      </c>
      <c r="H90" s="400"/>
      <c r="I90" s="56"/>
      <c r="J90" s="101" t="str">
        <f>Glossary!B31</f>
        <v>Back up and Restore tested</v>
      </c>
      <c r="K90" s="397"/>
      <c r="L90" t="b">
        <f>IF(OR(K90="y",K90="n"), N90)</f>
        <v>0</v>
      </c>
      <c r="M90" s="51" t="str">
        <f>IF(K90 = "Y",L90, IF(K90="n",0, ""))</f>
        <v/>
      </c>
      <c r="N90" s="145">
        <v>20</v>
      </c>
      <c r="O90" s="37"/>
    </row>
    <row r="91" spans="1:16" ht="16.5" customHeight="1">
      <c r="A91" s="469"/>
      <c r="B91" s="469"/>
      <c r="C91" s="101" t="str">
        <f>Glossary!B30</f>
        <v>Back up and Restore Concept</v>
      </c>
      <c r="D91" s="402"/>
      <c r="E91" t="b">
        <f t="shared" si="53"/>
        <v>0</v>
      </c>
      <c r="F91" s="51" t="str">
        <f t="shared" si="54"/>
        <v/>
      </c>
      <c r="G91" s="152">
        <v>15</v>
      </c>
      <c r="H91" s="400"/>
      <c r="I91" s="56"/>
      <c r="J91" s="101"/>
      <c r="K91" s="238"/>
      <c r="M91" s="51"/>
      <c r="N91" s="145"/>
      <c r="O91" s="37"/>
    </row>
    <row r="92" spans="1:16" ht="16.5" customHeight="1">
      <c r="A92" s="469"/>
      <c r="B92" s="469"/>
      <c r="C92" s="101" t="str">
        <f>Glossary!B161</f>
        <v>Operations Manual</v>
      </c>
      <c r="D92" s="402"/>
      <c r="E92" t="b">
        <f t="shared" si="53"/>
        <v>0</v>
      </c>
      <c r="F92" s="51" t="str">
        <f t="shared" si="54"/>
        <v/>
      </c>
      <c r="G92" s="152">
        <v>20</v>
      </c>
      <c r="H92" s="400"/>
      <c r="I92" s="56"/>
      <c r="J92" s="152"/>
      <c r="K92" s="238"/>
      <c r="M92" s="51"/>
      <c r="N92" s="155"/>
      <c r="O92" s="37"/>
    </row>
    <row r="93" spans="1:16" ht="16.5" customHeight="1">
      <c r="A93" s="469"/>
      <c r="B93" s="469"/>
      <c r="C93" s="204"/>
      <c r="D93" s="152"/>
      <c r="E93" s="152"/>
      <c r="F93" s="152"/>
      <c r="G93" s="152"/>
      <c r="H93" s="109"/>
      <c r="I93" s="153"/>
      <c r="J93" s="152"/>
      <c r="K93" s="238"/>
      <c r="L93" s="145"/>
      <c r="M93" s="155"/>
      <c r="O93" s="37"/>
    </row>
    <row r="94" spans="1:16" ht="16.5" hidden="1" customHeight="1">
      <c r="A94" s="470"/>
      <c r="B94" s="470"/>
      <c r="C94" s="166"/>
      <c r="D94" s="229">
        <f>COUNTA(D85:D87,D90:D92,K85:K91)/COUNTA(F85:F87,F90:F92,M85:M91)</f>
        <v>0</v>
      </c>
      <c r="E94" s="152">
        <f t="shared" ref="E94:F94" si="55">SUM(E85:E87,E90:E92)</f>
        <v>0</v>
      </c>
      <c r="F94" s="152">
        <f t="shared" si="55"/>
        <v>0</v>
      </c>
      <c r="G94" s="152"/>
      <c r="H94" t="str">
        <f>IFERROR(AVERAGE(H85:H87,H90:H91), "")</f>
        <v/>
      </c>
      <c r="I94" s="37"/>
      <c r="J94" s="204"/>
      <c r="K94" s="204"/>
      <c r="L94" s="145">
        <f t="shared" ref="L94:M94" si="56">SUM(L85:L91)</f>
        <v>0</v>
      </c>
      <c r="M94" s="155">
        <f t="shared" si="56"/>
        <v>0</v>
      </c>
      <c r="O94" s="37"/>
    </row>
    <row r="95" spans="1:16" ht="16.5" customHeight="1">
      <c r="A95" s="468" t="s">
        <v>50</v>
      </c>
      <c r="B95" s="472" t="s">
        <v>104</v>
      </c>
      <c r="C95" s="101" t="str">
        <f>Glossary!B137</f>
        <v>List of standard development tools to be used in the project</v>
      </c>
      <c r="D95" s="402"/>
      <c r="E95" t="b">
        <f t="shared" ref="E95:E97" si="57">IF(OR(D95="y",D95="n"), G95)</f>
        <v>0</v>
      </c>
      <c r="F95" s="51" t="str">
        <f t="shared" ref="F95:F97" si="58">IF(D95 = "Y",E95, IF(D95="n",0, ""))</f>
        <v/>
      </c>
      <c r="G95" s="220">
        <v>10</v>
      </c>
      <c r="H95" s="400"/>
      <c r="I95" s="56"/>
      <c r="J95" s="45" t="str">
        <f>Glossary!B75</f>
        <v>Document development environment set up</v>
      </c>
      <c r="K95" s="397"/>
      <c r="L95" t="b">
        <f t="shared" ref="L95:L96" si="59">IF(OR(K95="y",K95="n"), N95)</f>
        <v>0</v>
      </c>
      <c r="M95" s="51" t="str">
        <f t="shared" ref="M95:M96" si="60">IF(K95 = "Y",L95, IF(K95="n",0, ""))</f>
        <v/>
      </c>
      <c r="N95" s="215">
        <v>10</v>
      </c>
      <c r="O95" s="37"/>
    </row>
    <row r="96" spans="1:16" ht="16.5" customHeight="1">
      <c r="A96" s="469"/>
      <c r="B96" s="469"/>
      <c r="C96" s="138" t="str">
        <f>Glossary!B104</f>
        <v>High Level Solution Design</v>
      </c>
      <c r="D96" s="402"/>
      <c r="E96" t="b">
        <f t="shared" si="57"/>
        <v>0</v>
      </c>
      <c r="F96" s="51" t="str">
        <f t="shared" si="58"/>
        <v/>
      </c>
      <c r="G96" s="190">
        <v>20</v>
      </c>
      <c r="H96" s="400"/>
      <c r="I96" s="56"/>
      <c r="J96" s="141" t="str">
        <f>Glossary!B73</f>
        <v>Devolpment environment ready</v>
      </c>
      <c r="K96" s="397"/>
      <c r="L96" t="b">
        <f t="shared" si="59"/>
        <v>0</v>
      </c>
      <c r="M96" s="51" t="str">
        <f t="shared" si="60"/>
        <v/>
      </c>
      <c r="N96" s="168">
        <v>10</v>
      </c>
      <c r="O96" s="37"/>
    </row>
    <row r="97" spans="1:15" ht="16.5" customHeight="1">
      <c r="A97" s="469"/>
      <c r="B97" s="469"/>
      <c r="C97" s="101" t="str">
        <f>Glossary!B11</f>
        <v>Architecture Draft</v>
      </c>
      <c r="D97" s="402"/>
      <c r="E97" t="b">
        <f t="shared" si="57"/>
        <v>0</v>
      </c>
      <c r="F97" s="51" t="str">
        <f t="shared" si="58"/>
        <v/>
      </c>
      <c r="G97" s="127">
        <v>20</v>
      </c>
      <c r="H97" s="400"/>
      <c r="I97" s="56"/>
      <c r="J97" s="143"/>
      <c r="K97" s="137"/>
      <c r="L97" s="147"/>
      <c r="M97" s="147"/>
      <c r="O97" s="37"/>
    </row>
    <row r="98" spans="1:15" ht="16.5" customHeight="1">
      <c r="A98" s="469"/>
      <c r="B98" s="470"/>
      <c r="C98" s="204"/>
      <c r="D98" s="152"/>
      <c r="E98" s="152"/>
      <c r="F98" s="152"/>
      <c r="G98" s="152"/>
      <c r="H98" s="109"/>
      <c r="I98" s="153"/>
      <c r="J98" s="152"/>
      <c r="K98" s="6"/>
      <c r="L98" s="145"/>
      <c r="M98" s="155"/>
      <c r="O98" s="37"/>
    </row>
    <row r="99" spans="1:15" ht="16.5" customHeight="1">
      <c r="A99" s="469"/>
      <c r="B99" s="472" t="s">
        <v>106</v>
      </c>
      <c r="C99" s="101" t="str">
        <f>Glossary!B104</f>
        <v>High Level Solution Design</v>
      </c>
      <c r="D99" s="402"/>
      <c r="E99" t="b">
        <f t="shared" ref="E99:E100" si="61">IF(OR(D99="y",D99="n"), G99)</f>
        <v>0</v>
      </c>
      <c r="F99" s="51" t="str">
        <f t="shared" ref="F99:F100" si="62">IF(D99 = "Y",E99, IF(D99="n",0, ""))</f>
        <v/>
      </c>
      <c r="G99" s="220">
        <v>20</v>
      </c>
      <c r="H99" s="400"/>
      <c r="I99" s="56"/>
      <c r="J99" s="122" t="str">
        <f>Glossary!B77</f>
        <v>Document test environment set up</v>
      </c>
      <c r="K99" s="397"/>
      <c r="L99" t="b">
        <f t="shared" ref="L99:L101" si="63">IF(OR(K99="y",K99="n"), N99)</f>
        <v>0</v>
      </c>
      <c r="M99" s="51" t="str">
        <f t="shared" ref="M99:M101" si="64">IF(K99 = "Y",L99, IF(K99="n",0, ""))</f>
        <v/>
      </c>
      <c r="N99" s="215">
        <v>10</v>
      </c>
      <c r="O99" s="37"/>
    </row>
    <row r="100" spans="1:15" ht="16.5" customHeight="1">
      <c r="A100" s="469"/>
      <c r="B100" s="469"/>
      <c r="C100" s="101" t="str">
        <f>Glossary!B11</f>
        <v>Architecture Draft</v>
      </c>
      <c r="D100" s="402"/>
      <c r="E100" t="b">
        <f t="shared" si="61"/>
        <v>0</v>
      </c>
      <c r="F100" s="51" t="str">
        <f t="shared" si="62"/>
        <v/>
      </c>
      <c r="G100" s="220">
        <v>20</v>
      </c>
      <c r="H100" s="400"/>
      <c r="I100" s="56"/>
      <c r="J100" s="141" t="str">
        <f>Glossary!B252</f>
        <v>Test environment ready</v>
      </c>
      <c r="K100" s="397"/>
      <c r="L100" t="b">
        <f t="shared" si="63"/>
        <v>0</v>
      </c>
      <c r="M100" s="51" t="str">
        <f t="shared" si="64"/>
        <v/>
      </c>
      <c r="N100" s="168">
        <v>10</v>
      </c>
      <c r="O100" s="37"/>
    </row>
    <row r="101" spans="1:15" ht="16.5" customHeight="1">
      <c r="A101" s="469"/>
      <c r="B101" s="469"/>
      <c r="C101" s="152"/>
      <c r="D101" s="178"/>
      <c r="E101" s="178"/>
      <c r="F101" s="178"/>
      <c r="G101" s="178"/>
      <c r="H101" s="178"/>
      <c r="I101" s="37"/>
      <c r="J101" s="141" t="str">
        <f>Glossary!B6</f>
        <v>Access to test system coordinated</v>
      </c>
      <c r="K101" s="397"/>
      <c r="L101" t="b">
        <f t="shared" si="63"/>
        <v>0</v>
      </c>
      <c r="M101" s="51" t="str">
        <f t="shared" si="64"/>
        <v/>
      </c>
      <c r="N101" s="168">
        <v>10</v>
      </c>
      <c r="O101" s="37"/>
    </row>
    <row r="102" spans="1:15" ht="16.5" customHeight="1">
      <c r="A102" s="469"/>
      <c r="B102" s="470"/>
      <c r="C102" s="152"/>
      <c r="D102" s="152"/>
      <c r="E102" s="152"/>
      <c r="F102" s="152"/>
      <c r="G102" s="152"/>
      <c r="H102" s="152"/>
      <c r="I102" s="153"/>
      <c r="J102" s="152"/>
      <c r="K102" s="152"/>
      <c r="L102" s="168"/>
      <c r="M102" s="51"/>
      <c r="O102" s="37"/>
    </row>
    <row r="103" spans="1:15" ht="16.5" customHeight="1">
      <c r="A103" s="469"/>
      <c r="B103" s="472" t="s">
        <v>102</v>
      </c>
      <c r="C103" s="101" t="str">
        <f>Glossary!B236</f>
        <v>System Architecture Definition</v>
      </c>
      <c r="D103" s="402"/>
      <c r="E103" t="b">
        <f t="shared" ref="E103:E104" si="65">IF(OR(D103="y",D103="n"), G103)</f>
        <v>0</v>
      </c>
      <c r="F103" s="51" t="str">
        <f t="shared" ref="F103:F104" si="66">IF(D103 = "Y",E103, IF(D103="n",0, ""))</f>
        <v/>
      </c>
      <c r="G103" s="190">
        <v>20</v>
      </c>
      <c r="H103" s="400"/>
      <c r="I103" s="56"/>
      <c r="J103" s="45" t="str">
        <f>Glossary!B76</f>
        <v>Document Production environment set up</v>
      </c>
      <c r="K103" s="397"/>
      <c r="L103" t="b">
        <f t="shared" ref="L103:L105" si="67">IF(OR(K103="y",K103="n"), N103)</f>
        <v>0</v>
      </c>
      <c r="M103" s="51" t="str">
        <f t="shared" ref="M103:M105" si="68">IF(K103 = "Y",L103, IF(K103="n",0, ""))</f>
        <v/>
      </c>
      <c r="N103" s="215">
        <v>20</v>
      </c>
      <c r="O103" s="37"/>
    </row>
    <row r="104" spans="1:15" ht="16.5" customHeight="1">
      <c r="A104" s="469"/>
      <c r="B104" s="469"/>
      <c r="C104" s="45" t="str">
        <f>Glossary!B256</f>
        <v>Test Reports</v>
      </c>
      <c r="D104" s="402"/>
      <c r="E104" t="b">
        <f t="shared" si="65"/>
        <v>0</v>
      </c>
      <c r="F104" s="51" t="str">
        <f t="shared" si="66"/>
        <v/>
      </c>
      <c r="G104" s="190">
        <v>15</v>
      </c>
      <c r="H104" s="400"/>
      <c r="I104" s="56"/>
      <c r="J104" s="141" t="str">
        <f>Glossary!B176</f>
        <v>Production environment ready</v>
      </c>
      <c r="K104" s="397"/>
      <c r="L104" t="b">
        <f t="shared" si="67"/>
        <v>0</v>
      </c>
      <c r="M104" s="51" t="str">
        <f t="shared" si="68"/>
        <v/>
      </c>
      <c r="N104" s="168">
        <v>10</v>
      </c>
      <c r="O104" s="37"/>
    </row>
    <row r="105" spans="1:15" ht="16.5" customHeight="1">
      <c r="A105" s="469"/>
      <c r="B105" s="469"/>
      <c r="C105" s="229"/>
      <c r="D105" s="229"/>
      <c r="E105" s="229"/>
      <c r="F105" s="229"/>
      <c r="G105" s="229"/>
      <c r="H105" s="229"/>
      <c r="I105" s="37"/>
      <c r="J105" s="110" t="str">
        <f>Glossary!B13</f>
        <v xml:space="preserve">Align Business and Performance KPIs </v>
      </c>
      <c r="K105" s="397"/>
      <c r="L105" t="b">
        <f t="shared" si="67"/>
        <v>0</v>
      </c>
      <c r="M105" s="51" t="str">
        <f t="shared" si="68"/>
        <v/>
      </c>
      <c r="N105" s="168">
        <v>15</v>
      </c>
      <c r="O105" s="37"/>
    </row>
    <row r="106" spans="1:15" ht="16.5" customHeight="1">
      <c r="A106" s="469"/>
      <c r="B106" s="470"/>
      <c r="C106" s="245"/>
      <c r="D106" s="246"/>
      <c r="E106" s="246"/>
      <c r="F106" s="246"/>
      <c r="G106" s="246"/>
      <c r="H106" s="246"/>
      <c r="I106" s="247"/>
      <c r="J106" s="246"/>
      <c r="K106" s="248"/>
      <c r="L106" s="168"/>
      <c r="M106" s="51"/>
      <c r="O106" s="37"/>
    </row>
    <row r="107" spans="1:15" ht="16.5" customHeight="1">
      <c r="A107" s="469"/>
      <c r="B107" s="479" t="s">
        <v>79</v>
      </c>
      <c r="C107" s="45" t="str">
        <f>Glossary!B60</f>
        <v>Current Content Structure and Format</v>
      </c>
      <c r="D107" s="402"/>
      <c r="E107" t="b">
        <f t="shared" ref="E107:E109" si="69">IF(OR(D107="y",D107="n"), G107)</f>
        <v>0</v>
      </c>
      <c r="F107" s="51" t="str">
        <f t="shared" ref="F107:F109" si="70">IF(D107 = "Y",E107, IF(D107="n",0, ""))</f>
        <v/>
      </c>
      <c r="G107" s="190">
        <v>25</v>
      </c>
      <c r="H107" s="400"/>
      <c r="I107" s="56"/>
      <c r="J107" s="45" t="s">
        <v>107</v>
      </c>
      <c r="K107" s="397"/>
      <c r="L107" t="b">
        <f>IF(OR(K107="y",K107="n"), N107)</f>
        <v>0</v>
      </c>
      <c r="M107" s="51" t="str">
        <f>IF(K107 = "Y",L107, IF(K107="n",0, ""))</f>
        <v/>
      </c>
      <c r="N107" s="215">
        <v>25</v>
      </c>
      <c r="O107" s="37"/>
    </row>
    <row r="108" spans="1:15" ht="16.5" customHeight="1">
      <c r="A108" s="469"/>
      <c r="B108" s="480"/>
      <c r="C108" s="45" t="str">
        <f>Glossary!B136</f>
        <v>Legacy System</v>
      </c>
      <c r="D108" s="402"/>
      <c r="E108" t="b">
        <f t="shared" si="69"/>
        <v>0</v>
      </c>
      <c r="F108" s="51" t="str">
        <f t="shared" si="70"/>
        <v/>
      </c>
      <c r="G108" s="127">
        <v>10</v>
      </c>
      <c r="H108" s="400"/>
      <c r="I108" s="56"/>
      <c r="J108" s="137"/>
      <c r="K108" s="137"/>
      <c r="M108" s="51"/>
      <c r="N108" s="218"/>
      <c r="O108" s="37"/>
    </row>
    <row r="109" spans="1:15" ht="16.5" customHeight="1">
      <c r="A109" s="469"/>
      <c r="B109" s="480"/>
      <c r="C109" s="45" t="str">
        <f>Glossary!B142</f>
        <v>Migration Strategy</v>
      </c>
      <c r="D109" s="402"/>
      <c r="E109" t="b">
        <f t="shared" si="69"/>
        <v>0</v>
      </c>
      <c r="F109" s="51" t="str">
        <f t="shared" si="70"/>
        <v/>
      </c>
      <c r="G109" s="127">
        <v>20</v>
      </c>
      <c r="H109" s="400"/>
      <c r="I109" s="56"/>
      <c r="J109" s="137"/>
      <c r="K109" s="137"/>
      <c r="L109" s="145"/>
      <c r="M109" s="145"/>
      <c r="O109" s="37"/>
    </row>
    <row r="110" spans="1:15" ht="16.5" customHeight="1">
      <c r="A110" s="469"/>
      <c r="B110" s="480"/>
      <c r="C110" s="130"/>
      <c r="D110" s="130"/>
      <c r="E110" s="130"/>
      <c r="F110" s="130"/>
      <c r="G110" s="130"/>
      <c r="H110" s="74"/>
      <c r="I110" s="74"/>
      <c r="J110" s="74"/>
      <c r="K110" s="74"/>
      <c r="L110" s="145"/>
      <c r="M110" s="155"/>
      <c r="O110" s="37"/>
    </row>
    <row r="111" spans="1:15" ht="16.5" customHeight="1">
      <c r="A111" s="469"/>
      <c r="B111" s="472" t="s">
        <v>108</v>
      </c>
      <c r="C111" s="121" t="str">
        <f>Glossary!B63</f>
        <v>Customizations that affect upgrades documented and hotfixes documented</v>
      </c>
      <c r="D111" s="402"/>
      <c r="E111" t="b">
        <f t="shared" ref="E111:E113" si="71">IF(OR(D111="y",D111="n"), G111)</f>
        <v>0</v>
      </c>
      <c r="F111" s="51" t="str">
        <f t="shared" ref="F111:F113" si="72">IF(D111 = "Y",E111, IF(D111="n",0, ""))</f>
        <v/>
      </c>
      <c r="G111" s="190">
        <v>15</v>
      </c>
      <c r="H111" s="400"/>
      <c r="I111" s="56"/>
      <c r="J111" s="45" t="str">
        <f>Glossary!B39</f>
        <v>Communicate Operations Manual</v>
      </c>
      <c r="K111" s="397"/>
      <c r="L111" t="b">
        <f t="shared" ref="L111:L112" si="73">IF(OR(K111="y",K111="n"), N111)</f>
        <v>0</v>
      </c>
      <c r="M111" s="51" t="str">
        <f t="shared" ref="M111:M112" si="74">IF(K111 = "Y",L111, IF(K111="n",0, ""))</f>
        <v/>
      </c>
      <c r="N111" s="249">
        <v>15</v>
      </c>
      <c r="O111" s="37"/>
    </row>
    <row r="112" spans="1:15" ht="16.5" customHeight="1">
      <c r="A112" s="469"/>
      <c r="B112" s="469"/>
      <c r="C112" s="45" t="str">
        <f>Glossary!B162</f>
        <v>Operational tasks documentation</v>
      </c>
      <c r="D112" s="402"/>
      <c r="E112" t="b">
        <f t="shared" si="71"/>
        <v>0</v>
      </c>
      <c r="F112" s="51" t="str">
        <f t="shared" si="72"/>
        <v/>
      </c>
      <c r="G112" s="127">
        <v>20</v>
      </c>
      <c r="H112" s="400"/>
      <c r="I112" s="56"/>
      <c r="J112" s="69" t="str">
        <f>Glossary!B41</f>
        <v>Communicate Release Notes</v>
      </c>
      <c r="K112" s="397"/>
      <c r="L112" t="b">
        <f t="shared" si="73"/>
        <v>0</v>
      </c>
      <c r="M112" s="51" t="str">
        <f t="shared" si="74"/>
        <v/>
      </c>
      <c r="N112" s="250">
        <v>20</v>
      </c>
      <c r="O112" s="37"/>
    </row>
    <row r="113" spans="1:15" ht="16.5" customHeight="1">
      <c r="A113" s="469"/>
      <c r="B113" s="469"/>
      <c r="C113" s="101" t="str">
        <f>Glossary!B193</f>
        <v>Release Notes</v>
      </c>
      <c r="D113" s="402"/>
      <c r="E113" t="b">
        <f t="shared" si="71"/>
        <v>0</v>
      </c>
      <c r="F113" s="51" t="str">
        <f t="shared" si="72"/>
        <v/>
      </c>
      <c r="G113" s="127">
        <v>15</v>
      </c>
      <c r="H113" s="400"/>
      <c r="I113" s="56"/>
      <c r="J113" s="128"/>
      <c r="K113" s="137"/>
      <c r="L113" s="251"/>
      <c r="M113" s="251"/>
      <c r="O113" s="37"/>
    </row>
    <row r="114" spans="1:15" ht="16.5" customHeight="1">
      <c r="A114" s="470"/>
      <c r="B114" s="470"/>
      <c r="C114" s="204"/>
      <c r="D114" s="152"/>
      <c r="E114" s="152"/>
      <c r="F114" s="152"/>
      <c r="G114" s="152"/>
      <c r="H114" s="109"/>
      <c r="I114" s="109"/>
      <c r="J114" s="37"/>
      <c r="K114" s="6"/>
      <c r="L114" s="252"/>
      <c r="M114" s="252"/>
      <c r="O114" s="37"/>
    </row>
    <row r="115" spans="1:15" ht="16.5" hidden="1" customHeight="1">
      <c r="A115" s="88"/>
      <c r="B115" s="103"/>
      <c r="C115" s="166"/>
      <c r="D115" s="94">
        <f>COUNTA(D95:D100,D103:D104,D107:D113,K95:K96,K99:K105,K107:K108,K111:K112)/COUNTA(F95:F100,F103:F104,F107:F113,M95:M96,M99:M105,M107:M108,M111:M112)</f>
        <v>0</v>
      </c>
      <c r="E115" s="92">
        <f t="shared" ref="E115:F115" si="75">SUM(E95:E100,E103:E104,E107:E113)</f>
        <v>0</v>
      </c>
      <c r="F115" s="92">
        <f t="shared" si="75"/>
        <v>0</v>
      </c>
      <c r="G115" s="92"/>
      <c r="H115" s="94" t="str">
        <f>IFERROR(AVERAGE(H95:H100,H103:H104,H107:H113),"")</f>
        <v/>
      </c>
      <c r="I115" s="56"/>
      <c r="J115" s="95"/>
      <c r="K115" s="137"/>
      <c r="L115" s="252">
        <f t="shared" ref="L115:M115" si="76">SUM(L95:L96,L99:L105,L107:L108,L111:L112)</f>
        <v>0</v>
      </c>
      <c r="M115" s="252">
        <f t="shared" si="76"/>
        <v>0</v>
      </c>
      <c r="O115" s="37"/>
    </row>
    <row r="116" spans="1:15" ht="16.5" customHeight="1">
      <c r="A116" s="468" t="s">
        <v>51</v>
      </c>
      <c r="B116" s="471" t="s">
        <v>83</v>
      </c>
      <c r="C116" s="101" t="str">
        <f>Glossary!B192</f>
        <v>Release running on production environment</v>
      </c>
      <c r="D116" s="402"/>
      <c r="E116" t="b">
        <f t="shared" ref="E116:E118" si="77">IF(OR(D116="y",D116="n"), G116)</f>
        <v>0</v>
      </c>
      <c r="F116" s="51" t="str">
        <f t="shared" ref="F116:F118" si="78">IF(D116 = "Y",E116, IF(D116="n",0, ""))</f>
        <v/>
      </c>
      <c r="G116" s="190">
        <v>25</v>
      </c>
      <c r="H116" s="400"/>
      <c r="I116" s="56"/>
      <c r="J116" s="101" t="str">
        <f>Glossary!B96</f>
        <v>Functionality of the solution are accepted by stakeholders</v>
      </c>
      <c r="K116" s="397"/>
      <c r="L116" t="b">
        <f t="shared" ref="L116:L117" si="79">IF(OR(K116="y",K116="n"), N116)</f>
        <v>0</v>
      </c>
      <c r="M116" s="51" t="str">
        <f t="shared" ref="M116:M117" si="80">IF(K116 = "Y",L116, IF(K116="n",0, ""))</f>
        <v/>
      </c>
      <c r="N116" s="215">
        <v>30</v>
      </c>
      <c r="O116" s="37"/>
    </row>
    <row r="117" spans="1:15" ht="20.25" customHeight="1">
      <c r="A117" s="469"/>
      <c r="B117" s="469"/>
      <c r="C117" s="45" t="str">
        <f>Glossary!B4</f>
        <v>Acceptance test</v>
      </c>
      <c r="D117" s="402"/>
      <c r="E117" t="b">
        <f t="shared" si="77"/>
        <v>0</v>
      </c>
      <c r="F117" s="51" t="str">
        <f t="shared" si="78"/>
        <v/>
      </c>
      <c r="G117" s="190">
        <v>20</v>
      </c>
      <c r="H117" s="400"/>
      <c r="I117" s="56"/>
      <c r="J117" s="45" t="str">
        <f>Glossary!B67</f>
        <v xml:space="preserve">Daily UAT Report </v>
      </c>
      <c r="K117" s="397"/>
      <c r="L117" t="b">
        <f t="shared" si="79"/>
        <v>0</v>
      </c>
      <c r="M117" s="51" t="str">
        <f t="shared" si="80"/>
        <v/>
      </c>
      <c r="N117" s="218">
        <v>15</v>
      </c>
      <c r="O117" s="37"/>
    </row>
    <row r="118" spans="1:15" ht="20.25" customHeight="1">
      <c r="A118" s="469"/>
      <c r="B118" s="469"/>
      <c r="C118" s="45" t="str">
        <f>Glossary!B233</f>
        <v>Success criteria and definition</v>
      </c>
      <c r="D118" s="402"/>
      <c r="E118" t="b">
        <f t="shared" si="77"/>
        <v>0</v>
      </c>
      <c r="F118" s="51" t="str">
        <f t="shared" si="78"/>
        <v/>
      </c>
      <c r="G118" s="190">
        <v>15</v>
      </c>
      <c r="H118" s="400"/>
      <c r="I118" s="56"/>
      <c r="J118" s="163"/>
      <c r="K118" s="163"/>
      <c r="L118" s="168"/>
      <c r="M118" s="51"/>
      <c r="O118" s="37"/>
    </row>
    <row r="119" spans="1:15" ht="20.25" customHeight="1">
      <c r="A119" s="469"/>
      <c r="B119" s="470"/>
      <c r="C119" s="163"/>
      <c r="D119" s="220"/>
      <c r="E119" s="220"/>
      <c r="F119" s="220"/>
      <c r="G119" s="220"/>
      <c r="H119" s="117"/>
      <c r="I119" s="165"/>
      <c r="J119" s="220"/>
      <c r="K119" s="190"/>
      <c r="L119" s="168"/>
      <c r="M119" s="51"/>
      <c r="O119" s="37"/>
    </row>
    <row r="120" spans="1:15" ht="16.5" customHeight="1">
      <c r="A120" s="469"/>
      <c r="B120" s="471" t="s">
        <v>84</v>
      </c>
      <c r="C120" s="45" t="str">
        <f>Glossary!B166</f>
        <v>Performance KPIs</v>
      </c>
      <c r="D120" s="402"/>
      <c r="E120" t="b">
        <f t="shared" ref="E120:E124" si="81">IF(OR(D120="y",D120="n"), G120)</f>
        <v>0</v>
      </c>
      <c r="F120" s="51" t="str">
        <f t="shared" ref="F120:F124" si="82">IF(D120 = "Y",E120, IF(D120="n",0, ""))</f>
        <v/>
      </c>
      <c r="G120" s="190">
        <v>20</v>
      </c>
      <c r="H120" s="400"/>
      <c r="I120" s="56"/>
      <c r="J120" s="101" t="str">
        <f>Glossary!B250</f>
        <v>Test Content</v>
      </c>
      <c r="K120" s="397"/>
      <c r="L120" t="b">
        <f t="shared" ref="L120:L122" si="83">IF(OR(K120="y",K120="n"), N120)</f>
        <v>0</v>
      </c>
      <c r="M120" s="51" t="str">
        <f t="shared" ref="M120:M122" si="84">IF(K120 = "Y",L120, IF(K120="n",0, ""))</f>
        <v/>
      </c>
      <c r="N120" s="215">
        <v>20</v>
      </c>
      <c r="O120" s="37"/>
    </row>
    <row r="121" spans="1:15" ht="16.5" customHeight="1">
      <c r="A121" s="469"/>
      <c r="B121" s="469"/>
      <c r="C121" s="45" t="str">
        <f>Glossary!B270</f>
        <v>Use cases</v>
      </c>
      <c r="D121" s="402"/>
      <c r="E121" t="b">
        <f t="shared" si="81"/>
        <v>0</v>
      </c>
      <c r="F121" s="51" t="str">
        <f t="shared" si="82"/>
        <v/>
      </c>
      <c r="G121" s="220">
        <v>15</v>
      </c>
      <c r="H121" s="400"/>
      <c r="I121" s="56"/>
      <c r="J121" s="112" t="str">
        <f>Glossary!B40</f>
        <v>Communicate Preformance Test Report</v>
      </c>
      <c r="K121" s="397"/>
      <c r="L121" t="b">
        <f t="shared" si="83"/>
        <v>0</v>
      </c>
      <c r="M121" s="51" t="str">
        <f t="shared" si="84"/>
        <v/>
      </c>
      <c r="N121" s="168">
        <v>10</v>
      </c>
      <c r="O121" s="37"/>
    </row>
    <row r="122" spans="1:15" ht="15.75" customHeight="1">
      <c r="A122" s="469"/>
      <c r="B122" s="469"/>
      <c r="C122" s="45" t="str">
        <f>Glossary!B249</f>
        <v>Testing Concept</v>
      </c>
      <c r="D122" s="402"/>
      <c r="E122" t="b">
        <f t="shared" si="81"/>
        <v>0</v>
      </c>
      <c r="F122" s="51" t="str">
        <f t="shared" si="82"/>
        <v/>
      </c>
      <c r="G122" s="190">
        <v>10</v>
      </c>
      <c r="H122" s="400"/>
      <c r="I122" s="56"/>
      <c r="J122" s="101" t="str">
        <f>Glossary!B5</f>
        <v>Acceptance from Business Stakeholders</v>
      </c>
      <c r="K122" s="397"/>
      <c r="L122" t="b">
        <f t="shared" si="83"/>
        <v>0</v>
      </c>
      <c r="M122" s="51" t="str">
        <f t="shared" si="84"/>
        <v/>
      </c>
      <c r="N122" s="168">
        <v>30</v>
      </c>
      <c r="O122" s="37"/>
    </row>
    <row r="123" spans="1:15" ht="19.5" customHeight="1">
      <c r="A123" s="469"/>
      <c r="B123" s="469"/>
      <c r="C123" s="45" t="str">
        <f>Glossary!B165</f>
        <v>Performance Benchmark</v>
      </c>
      <c r="D123" s="402"/>
      <c r="E123" t="b">
        <f t="shared" si="81"/>
        <v>0</v>
      </c>
      <c r="F123" s="51" t="str">
        <f t="shared" si="82"/>
        <v/>
      </c>
      <c r="G123" s="190">
        <v>25</v>
      </c>
      <c r="H123" s="400"/>
      <c r="I123" s="56"/>
      <c r="J123" s="176"/>
      <c r="K123" s="176"/>
      <c r="L123" s="145"/>
      <c r="M123" s="90"/>
      <c r="O123" s="37"/>
    </row>
    <row r="124" spans="1:15" ht="17.25" customHeight="1">
      <c r="A124" s="469"/>
      <c r="B124" s="469"/>
      <c r="C124" s="45" t="str">
        <f>Glossary!B168</f>
        <v>Performance Test Report</v>
      </c>
      <c r="D124" s="402"/>
      <c r="E124" t="b">
        <f t="shared" si="81"/>
        <v>0</v>
      </c>
      <c r="F124" s="51" t="str">
        <f t="shared" si="82"/>
        <v/>
      </c>
      <c r="G124" s="220">
        <v>20</v>
      </c>
      <c r="H124" s="400"/>
      <c r="I124" s="56"/>
      <c r="J124" s="152"/>
      <c r="K124" s="152"/>
      <c r="L124" s="145"/>
      <c r="M124" s="90"/>
      <c r="O124" s="37"/>
    </row>
    <row r="125" spans="1:15" ht="17.25" customHeight="1">
      <c r="A125" s="470"/>
      <c r="B125" s="470"/>
      <c r="C125" s="163"/>
      <c r="D125" s="220"/>
      <c r="E125" s="220"/>
      <c r="F125" s="220"/>
      <c r="G125" s="220"/>
      <c r="H125" s="117"/>
      <c r="I125" s="165"/>
      <c r="J125" s="220"/>
      <c r="K125" s="190"/>
      <c r="L125" s="145"/>
      <c r="M125" s="145"/>
      <c r="O125" s="37"/>
    </row>
    <row r="126" spans="1:15" ht="17.25" hidden="1" customHeight="1">
      <c r="A126" s="88"/>
      <c r="B126" s="96"/>
      <c r="C126" s="216"/>
      <c r="D126" s="94">
        <f>COUNTA(D116:D124,K116:K122)/COUNTA(F116:F124,M116:M122)</f>
        <v>0</v>
      </c>
      <c r="E126" s="152">
        <f t="shared" ref="E126:F126" si="85">SUM(E116:E124)</f>
        <v>0</v>
      </c>
      <c r="F126" s="152">
        <f t="shared" si="85"/>
        <v>0</v>
      </c>
      <c r="G126" s="152"/>
      <c r="H126" t="str">
        <f>IFERROR(AVERAGE(H116:H124), "")</f>
        <v/>
      </c>
      <c r="I126" s="37"/>
      <c r="J126" s="152"/>
      <c r="L126" s="145">
        <f t="shared" ref="L126:M126" si="86">SUM(L116:L122)</f>
        <v>0</v>
      </c>
      <c r="M126" s="145">
        <f t="shared" si="86"/>
        <v>0</v>
      </c>
      <c r="O126" s="37"/>
    </row>
    <row r="127" spans="1:15" ht="16.5" customHeight="1">
      <c r="A127" s="468" t="s">
        <v>52</v>
      </c>
      <c r="B127" s="472" t="s">
        <v>110</v>
      </c>
      <c r="C127" s="101" t="str">
        <f>Glossary!B16</f>
        <v>AEM Admin trainings</v>
      </c>
      <c r="D127" s="402"/>
      <c r="E127" t="b">
        <f t="shared" ref="E127:E130" si="87">IF(OR(D127="y",D127="n"), G127)</f>
        <v>0</v>
      </c>
      <c r="F127" s="51" t="str">
        <f t="shared" ref="F127:F130" si="88">IF(D127 = "Y",E127, IF(D127="n",0, ""))</f>
        <v/>
      </c>
      <c r="G127" s="190">
        <v>10</v>
      </c>
      <c r="H127" s="400"/>
      <c r="I127" s="56"/>
      <c r="J127" s="45" t="str">
        <f>Glossary!B43</f>
        <v>Communicate training materials and user guides</v>
      </c>
      <c r="K127" s="397"/>
      <c r="L127" t="b">
        <f t="shared" ref="L127:L128" si="89">IF(OR(K127="y",K127="n"), N127)</f>
        <v>0</v>
      </c>
      <c r="M127" s="51" t="str">
        <f t="shared" ref="M127:M128" si="90">IF(K127 = "Y",L127, IF(K127="n",0, ""))</f>
        <v/>
      </c>
      <c r="N127" s="263">
        <v>10</v>
      </c>
      <c r="O127" s="37"/>
    </row>
    <row r="128" spans="1:15" ht="16.5" customHeight="1">
      <c r="A128" s="469"/>
      <c r="B128" s="469"/>
      <c r="C128" s="138" t="str">
        <f>Glossary!B266</f>
        <v xml:space="preserve">Training Materials </v>
      </c>
      <c r="D128" s="402"/>
      <c r="E128" t="b">
        <f t="shared" si="87"/>
        <v>0</v>
      </c>
      <c r="F128" s="51" t="str">
        <f t="shared" si="88"/>
        <v/>
      </c>
      <c r="G128" s="190">
        <v>20</v>
      </c>
      <c r="H128" s="400"/>
      <c r="I128" s="56"/>
      <c r="J128" s="45" t="str">
        <f>Glossary!B22</f>
        <v>Appropriately trained staff</v>
      </c>
      <c r="K128" s="397"/>
      <c r="L128" t="b">
        <f t="shared" si="89"/>
        <v>0</v>
      </c>
      <c r="M128" s="51" t="str">
        <f t="shared" si="90"/>
        <v/>
      </c>
      <c r="N128" s="215">
        <v>10</v>
      </c>
      <c r="O128" s="37"/>
    </row>
    <row r="129" spans="1:15" ht="16.5" customHeight="1">
      <c r="A129" s="469"/>
      <c r="B129" s="469"/>
      <c r="C129" s="138" t="str">
        <f>Glossary!B272</f>
        <v>User Guides</v>
      </c>
      <c r="D129" s="402"/>
      <c r="E129" t="b">
        <f t="shared" si="87"/>
        <v>0</v>
      </c>
      <c r="F129" s="51" t="str">
        <f t="shared" si="88"/>
        <v/>
      </c>
      <c r="G129" s="190">
        <v>20</v>
      </c>
      <c r="H129" s="400"/>
      <c r="I129" s="56"/>
      <c r="J129" s="56"/>
      <c r="K129" s="56"/>
      <c r="M129" s="51"/>
      <c r="N129" s="215"/>
      <c r="O129" s="37"/>
    </row>
    <row r="130" spans="1:15" ht="16.5" customHeight="1">
      <c r="A130" s="469"/>
      <c r="B130" s="469"/>
      <c r="C130" s="121" t="str">
        <f>Glossary!B17</f>
        <v>AEM Author trainings</v>
      </c>
      <c r="D130" s="402"/>
      <c r="E130" t="b">
        <f t="shared" si="87"/>
        <v>0</v>
      </c>
      <c r="F130" s="51" t="str">
        <f t="shared" si="88"/>
        <v/>
      </c>
      <c r="G130" s="190">
        <v>15</v>
      </c>
      <c r="H130" s="400"/>
      <c r="I130" s="56"/>
      <c r="J130" s="37"/>
      <c r="K130" s="37"/>
      <c r="O130" s="37"/>
    </row>
    <row r="131" spans="1:15" ht="16.5" customHeight="1">
      <c r="A131" s="469"/>
      <c r="B131" s="469"/>
      <c r="C131" s="101"/>
      <c r="D131" s="227"/>
      <c r="F131" s="51"/>
      <c r="G131" s="190"/>
      <c r="H131" s="56"/>
      <c r="I131" s="56"/>
      <c r="J131" s="267"/>
      <c r="K131" s="267"/>
      <c r="L131" s="147"/>
      <c r="M131" s="268"/>
      <c r="O131" s="37"/>
    </row>
    <row r="132" spans="1:15" ht="16.5" customHeight="1">
      <c r="A132" s="469"/>
      <c r="B132" s="470"/>
      <c r="C132" s="150"/>
      <c r="D132" s="227"/>
      <c r="E132" s="227"/>
      <c r="F132" s="227"/>
      <c r="G132" s="227"/>
      <c r="H132" s="153"/>
      <c r="I132" s="153"/>
      <c r="J132" s="227"/>
      <c r="K132" s="228"/>
      <c r="L132" s="145"/>
      <c r="M132" s="155"/>
      <c r="O132" s="37"/>
    </row>
    <row r="133" spans="1:15" ht="28">
      <c r="A133" s="469"/>
      <c r="B133" s="472" t="s">
        <v>109</v>
      </c>
      <c r="C133" s="45" t="str">
        <f>Glossary!B50</f>
        <v>Customer Security Policies</v>
      </c>
      <c r="D133" s="402"/>
      <c r="E133" t="b">
        <f t="shared" ref="E133:E134" si="91">IF(OR(D133="y",D133="n"), G133)</f>
        <v>0</v>
      </c>
      <c r="F133" s="51" t="str">
        <f t="shared" ref="F133:F134" si="92">IF(D133 = "Y",E133, IF(D133="n",0, ""))</f>
        <v/>
      </c>
      <c r="G133" s="190">
        <v>25</v>
      </c>
      <c r="H133" s="400"/>
      <c r="I133" s="56"/>
      <c r="J133" s="83" t="str">
        <f>Glossary!B35</f>
        <v>Business sign off on any required adjustments to the solution or architecture identified and aligned against ROI and KPI expectations</v>
      </c>
      <c r="K133" s="397"/>
      <c r="L133" t="b">
        <f t="shared" ref="L133:L134" si="93">IF(OR(K133="y",K133="n"), N133)</f>
        <v>0</v>
      </c>
      <c r="M133" s="51" t="str">
        <f t="shared" ref="M133:M134" si="94">IF(K133 = "Y",L133, IF(K133="n",0, ""))</f>
        <v/>
      </c>
      <c r="N133" s="168">
        <v>20</v>
      </c>
      <c r="O133" s="37"/>
    </row>
    <row r="134" spans="1:15" ht="16.5" customHeight="1">
      <c r="A134" s="469"/>
      <c r="B134" s="469"/>
      <c r="C134" s="45" t="str">
        <f>Glossary!B213</f>
        <v xml:space="preserve">Security issues listed and assesed </v>
      </c>
      <c r="D134" s="402"/>
      <c r="E134" t="b">
        <f t="shared" si="91"/>
        <v>0</v>
      </c>
      <c r="F134" s="51" t="str">
        <f t="shared" si="92"/>
        <v/>
      </c>
      <c r="G134" s="127">
        <v>25</v>
      </c>
      <c r="H134" s="400"/>
      <c r="I134" s="56"/>
      <c r="J134" s="69" t="str">
        <f>Glossary!B214</f>
        <v>Security sign off from business stakeholders</v>
      </c>
      <c r="K134" s="397"/>
      <c r="L134" t="b">
        <f t="shared" si="93"/>
        <v>0</v>
      </c>
      <c r="M134" s="51" t="str">
        <f t="shared" si="94"/>
        <v/>
      </c>
      <c r="N134" s="218">
        <v>25</v>
      </c>
      <c r="O134" s="37"/>
    </row>
    <row r="135" spans="1:15" ht="16.5" customHeight="1">
      <c r="A135" s="470"/>
      <c r="B135" s="470"/>
      <c r="C135" s="131"/>
      <c r="D135" s="131"/>
      <c r="E135" s="131"/>
      <c r="F135" s="131"/>
      <c r="G135" s="131"/>
      <c r="H135" s="131"/>
      <c r="I135" s="73"/>
      <c r="J135" s="73"/>
      <c r="K135" s="73"/>
      <c r="L135" s="168"/>
      <c r="M135" s="51"/>
      <c r="O135" s="37"/>
    </row>
    <row r="136" spans="1:15" ht="16.5" hidden="1" customHeight="1">
      <c r="A136" s="88"/>
      <c r="B136" s="274"/>
      <c r="C136" s="138"/>
      <c r="D136" s="94">
        <f>COUNTA(D127:D134,K127:K130,K133:K134)/COUNTA(F127:F134,M127:M130,M133:M134)</f>
        <v>0</v>
      </c>
      <c r="E136" s="92">
        <f t="shared" ref="E136:F136" si="95">SUM(E127:E134)</f>
        <v>0</v>
      </c>
      <c r="F136" s="92">
        <f t="shared" si="95"/>
        <v>0</v>
      </c>
      <c r="G136" s="92"/>
      <c r="H136" t="str">
        <f>IFERROR(AVERAGE(H127:H134), "")</f>
        <v/>
      </c>
      <c r="I136" s="37"/>
      <c r="J136" s="104"/>
      <c r="K136" s="137"/>
      <c r="L136" s="145">
        <f t="shared" ref="L136:M136" si="96">SUM(L127:L130,L133:L134)</f>
        <v>0</v>
      </c>
      <c r="M136" s="145">
        <f t="shared" si="96"/>
        <v>0</v>
      </c>
      <c r="O136" s="37"/>
    </row>
    <row r="137" spans="1:15" ht="16.5" customHeight="1">
      <c r="A137" s="468" t="s">
        <v>93</v>
      </c>
      <c r="B137" s="471" t="s">
        <v>94</v>
      </c>
      <c r="C137" s="121" t="str">
        <f>Glossary!B210</f>
        <v xml:space="preserve">Security Checklist </v>
      </c>
      <c r="D137" s="402"/>
      <c r="E137" t="b">
        <f t="shared" ref="E137:E139" si="97">IF(OR(D137="y",D137="n"), G137)</f>
        <v>0</v>
      </c>
      <c r="F137" s="51" t="str">
        <f t="shared" ref="F137:F139" si="98">IF(D137 = "Y",E137, IF(D137="n",0, ""))</f>
        <v/>
      </c>
      <c r="G137" s="190">
        <v>30</v>
      </c>
      <c r="H137" s="400"/>
      <c r="I137" s="56"/>
      <c r="J137" s="101" t="str">
        <f>Glossary!B68</f>
        <v>Default security enabled</v>
      </c>
      <c r="K137" s="397"/>
      <c r="L137" t="b">
        <f t="shared" ref="L137:L139" si="99">IF(OR(K137="y",K137="n"), N137)</f>
        <v>0</v>
      </c>
      <c r="M137" s="51" t="str">
        <f t="shared" ref="M137:M139" si="100">IF(K137 = "Y",L137, IF(K137="n",0, ""))</f>
        <v/>
      </c>
      <c r="N137" s="215">
        <v>20</v>
      </c>
      <c r="O137" s="37"/>
    </row>
    <row r="138" spans="1:15" ht="16.5" customHeight="1">
      <c r="A138" s="469"/>
      <c r="B138" s="469"/>
      <c r="C138" s="101" t="str">
        <f>Glossary!B213</f>
        <v xml:space="preserve">Security issues listed and assesed </v>
      </c>
      <c r="D138" s="402"/>
      <c r="E138" t="b">
        <f t="shared" si="97"/>
        <v>0</v>
      </c>
      <c r="F138" s="51" t="str">
        <f t="shared" si="98"/>
        <v/>
      </c>
      <c r="G138" s="220">
        <v>20</v>
      </c>
      <c r="H138" s="400"/>
      <c r="I138" s="56"/>
      <c r="J138" s="176" t="str">
        <f>Glossary!B171</f>
        <v>Penetration Test Results</v>
      </c>
      <c r="K138" s="397"/>
      <c r="L138" t="b">
        <f t="shared" si="99"/>
        <v>0</v>
      </c>
      <c r="M138" s="51" t="str">
        <f t="shared" si="100"/>
        <v/>
      </c>
      <c r="N138" s="168">
        <v>30</v>
      </c>
      <c r="O138" s="37"/>
    </row>
    <row r="139" spans="1:15" ht="16.5" customHeight="1">
      <c r="A139" s="469"/>
      <c r="B139" s="469"/>
      <c r="C139" s="101" t="str">
        <f>Glossary!B170</f>
        <v>Penetration Test</v>
      </c>
      <c r="D139" s="402"/>
      <c r="E139" t="b">
        <f t="shared" si="97"/>
        <v>0</v>
      </c>
      <c r="F139" s="51" t="str">
        <f t="shared" si="98"/>
        <v/>
      </c>
      <c r="G139" s="220">
        <v>20</v>
      </c>
      <c r="H139" s="400"/>
      <c r="I139" s="56"/>
      <c r="J139" s="176" t="str">
        <f>Glossary!B172</f>
        <v>Penetration Test passed</v>
      </c>
      <c r="K139" s="397"/>
      <c r="L139" t="b">
        <f t="shared" si="99"/>
        <v>0</v>
      </c>
      <c r="M139" s="51" t="str">
        <f t="shared" si="100"/>
        <v/>
      </c>
      <c r="N139" s="168">
        <v>35</v>
      </c>
      <c r="O139" s="37"/>
    </row>
    <row r="140" spans="1:15" ht="16.5" customHeight="1">
      <c r="A140" s="469"/>
      <c r="B140" s="470"/>
      <c r="C140" s="176"/>
      <c r="D140" s="177"/>
      <c r="E140" s="177"/>
      <c r="F140" s="177"/>
      <c r="G140" s="177"/>
      <c r="H140" s="275"/>
      <c r="I140" s="153"/>
      <c r="J140" s="177"/>
      <c r="K140" s="209"/>
      <c r="L140" s="168"/>
      <c r="M140" s="51"/>
      <c r="O140" s="37"/>
    </row>
    <row r="141" spans="1:15" ht="16.5" customHeight="1">
      <c r="A141" s="469"/>
      <c r="B141" s="471" t="s">
        <v>95</v>
      </c>
      <c r="C141" s="101" t="str">
        <f>Glossary!B92</f>
        <v>Fallback system and procedure</v>
      </c>
      <c r="D141" s="402"/>
      <c r="E141" t="b">
        <f t="shared" ref="E141:E142" si="101">IF(OR(D141="y",D141="n"), G141)</f>
        <v>0</v>
      </c>
      <c r="F141" s="51" t="str">
        <f t="shared" ref="F141:F142" si="102">IF(D141 = "Y",E141, IF(D141="n",0, ""))</f>
        <v/>
      </c>
      <c r="G141" s="220">
        <v>30</v>
      </c>
      <c r="H141" s="400"/>
      <c r="I141" s="56"/>
      <c r="J141" s="176" t="str">
        <f>Glossary!B93</f>
        <v>Fallback system sign off from business stakeholders</v>
      </c>
      <c r="K141" s="397"/>
      <c r="L141" t="b">
        <f>IF(OR(K141="y",K141="n"), N141)</f>
        <v>0</v>
      </c>
      <c r="M141" s="51" t="str">
        <f>IF(K141 = "Y",L141, IF(K141="n",0, ""))</f>
        <v/>
      </c>
      <c r="N141" s="168">
        <v>20</v>
      </c>
      <c r="O141" s="37"/>
    </row>
    <row r="142" spans="1:15" ht="16.5" customHeight="1">
      <c r="A142" s="469"/>
      <c r="B142" s="469"/>
      <c r="C142" s="101" t="str">
        <f>Glossary!B91</f>
        <v>Fallback system and procedure tested</v>
      </c>
      <c r="D142" s="402"/>
      <c r="E142" t="b">
        <f t="shared" si="101"/>
        <v>0</v>
      </c>
      <c r="F142" s="51" t="str">
        <f t="shared" si="102"/>
        <v/>
      </c>
      <c r="G142" s="220">
        <v>20</v>
      </c>
      <c r="H142" s="400"/>
      <c r="I142" s="56"/>
      <c r="J142" s="278"/>
      <c r="K142" s="253"/>
      <c r="O142" s="37"/>
    </row>
    <row r="143" spans="1:15" ht="16.5" customHeight="1">
      <c r="A143" s="469"/>
      <c r="B143" s="470"/>
      <c r="C143" s="279"/>
      <c r="D143" s="278"/>
      <c r="E143" s="278"/>
      <c r="F143" s="278"/>
      <c r="G143" s="278"/>
      <c r="H143" s="189"/>
      <c r="I143" s="153"/>
      <c r="J143" s="278"/>
      <c r="K143" s="253"/>
      <c r="L143" s="168"/>
      <c r="M143" s="51"/>
      <c r="O143" s="37"/>
    </row>
    <row r="144" spans="1:15" ht="16.5" customHeight="1">
      <c r="A144" s="469"/>
      <c r="B144" s="471" t="s">
        <v>96</v>
      </c>
      <c r="C144" s="45" t="str">
        <f>Glossary!B98</f>
        <v>Go live Schedule</v>
      </c>
      <c r="D144" s="402"/>
      <c r="E144" t="b">
        <f>IF(OR(D144="y",D144="n"), G144)</f>
        <v>0</v>
      </c>
      <c r="F144" s="51" t="str">
        <f>IF(D144 = "Y",E144, IF(D144="n",0, ""))</f>
        <v/>
      </c>
      <c r="G144" s="127">
        <v>15</v>
      </c>
      <c r="H144" s="400"/>
      <c r="I144" s="56"/>
      <c r="J144" s="206" t="str">
        <f>Glossary!B199</f>
        <v>Resources available to support go live</v>
      </c>
      <c r="K144" s="397"/>
      <c r="L144" t="b">
        <f t="shared" ref="L144:L145" si="103">IF(OR(K144="y",K144="n"), N144)</f>
        <v>0</v>
      </c>
      <c r="M144" s="51" t="str">
        <f t="shared" ref="M144:M145" si="104">IF(K144 = "Y",L144, IF(K144="n",0, ""))</f>
        <v/>
      </c>
      <c r="N144" s="168">
        <v>20</v>
      </c>
      <c r="O144" s="37"/>
    </row>
    <row r="145" spans="1:15" ht="16.5" customHeight="1">
      <c r="A145" s="469"/>
      <c r="B145" s="469"/>
      <c r="C145" s="280"/>
      <c r="D145" s="281"/>
      <c r="E145" s="281"/>
      <c r="F145" s="281"/>
      <c r="G145" s="281"/>
      <c r="H145" s="117"/>
      <c r="I145" s="117"/>
      <c r="J145" s="45" t="str">
        <f>Glossary!B111</f>
        <v>Inform Adobe Support about the Go live Schedule</v>
      </c>
      <c r="K145" s="397"/>
      <c r="L145" t="b">
        <f t="shared" si="103"/>
        <v>0</v>
      </c>
      <c r="M145" s="51" t="str">
        <f t="shared" si="104"/>
        <v/>
      </c>
      <c r="N145" s="168">
        <v>10</v>
      </c>
      <c r="O145" s="37"/>
    </row>
    <row r="146" spans="1:15" ht="16.5" customHeight="1">
      <c r="A146" s="469"/>
      <c r="B146" s="478"/>
      <c r="C146" s="280"/>
      <c r="D146" s="281"/>
      <c r="E146" s="220"/>
      <c r="F146" s="220"/>
      <c r="G146" s="220"/>
      <c r="H146" s="117"/>
      <c r="I146" s="165"/>
      <c r="J146" s="281"/>
      <c r="K146" s="282"/>
      <c r="L146" s="167"/>
      <c r="M146" s="51"/>
      <c r="O146" s="37"/>
    </row>
    <row r="147" spans="1:15" ht="16.5" customHeight="1">
      <c r="A147" s="469"/>
      <c r="B147" s="471" t="s">
        <v>97</v>
      </c>
      <c r="C147" s="45" t="str">
        <f>Glossary!B70</f>
        <v>Deployment / Release Policies and Processes</v>
      </c>
      <c r="D147" s="402"/>
      <c r="E147" t="b">
        <f t="shared" ref="E147:E148" si="105">IF(OR(D147="y",D147="n"), G147)</f>
        <v>0</v>
      </c>
      <c r="F147" s="51" t="str">
        <f t="shared" ref="F147:F148" si="106">IF(D147 = "Y",E147, IF(D147="n",0, ""))</f>
        <v/>
      </c>
      <c r="G147" s="127">
        <v>20</v>
      </c>
      <c r="H147" s="400"/>
      <c r="I147" s="56"/>
      <c r="J147" s="396" t="str">
        <f>Glossary!B179</f>
        <v>Production Sign off from business stakeholders</v>
      </c>
      <c r="K147" s="452"/>
      <c r="L147" t="b">
        <f t="shared" ref="L147:L148" si="107">IF(OR(K147="y",K147="n"), N147)</f>
        <v>0</v>
      </c>
      <c r="M147" s="51" t="str">
        <f t="shared" ref="M147:M148" si="108">IF(K147 = "Y",L147, IF(K147="n",0, ""))</f>
        <v/>
      </c>
      <c r="N147" s="168">
        <v>25</v>
      </c>
      <c r="O147" s="37"/>
    </row>
    <row r="148" spans="1:15" ht="16.5" customHeight="1">
      <c r="A148" s="470"/>
      <c r="B148" s="470"/>
      <c r="C148" s="45" t="str">
        <f>Glossary!B178</f>
        <v>Production Sign off Process and Policy</v>
      </c>
      <c r="D148" s="402"/>
      <c r="E148" t="b">
        <f t="shared" si="105"/>
        <v>0</v>
      </c>
      <c r="F148" s="51" t="str">
        <f t="shared" si="106"/>
        <v/>
      </c>
      <c r="G148" s="127">
        <v>25</v>
      </c>
      <c r="H148" s="400"/>
      <c r="I148" s="56"/>
      <c r="J148" s="310" t="str">
        <f>Glossary!B194</f>
        <v>Release Coordinated</v>
      </c>
      <c r="K148" s="397"/>
      <c r="L148" t="b">
        <f t="shared" si="107"/>
        <v>0</v>
      </c>
      <c r="M148" s="51" t="str">
        <f t="shared" si="108"/>
        <v/>
      </c>
      <c r="N148" s="168">
        <v>10</v>
      </c>
      <c r="O148" s="37"/>
    </row>
    <row r="149" spans="1:15" ht="16.5" hidden="1" customHeight="1">
      <c r="A149" s="88"/>
      <c r="B149" s="283"/>
      <c r="D149" s="236">
        <f>COUNTA(D137:D148,K137:K148)/COUNTA(F137:F148,M137:M148)</f>
        <v>0</v>
      </c>
      <c r="E149" s="92">
        <f t="shared" ref="E149:F149" si="109">SUM(E137:E148)</f>
        <v>0</v>
      </c>
      <c r="F149" s="92">
        <f t="shared" si="109"/>
        <v>0</v>
      </c>
      <c r="G149" s="92"/>
      <c r="H149" t="str">
        <f>IFERROR(AVERAGEA(H137:H148), "")</f>
        <v/>
      </c>
      <c r="J149" s="284"/>
      <c r="K149" s="137"/>
      <c r="L149" s="147">
        <f t="shared" ref="L149:M149" si="110">SUM(L137:L148)</f>
        <v>0</v>
      </c>
      <c r="M149" s="147">
        <f t="shared" si="110"/>
        <v>0</v>
      </c>
    </row>
    <row r="150" spans="1:15" ht="24.75" customHeight="1">
      <c r="A150" s="211"/>
      <c r="B150" s="211"/>
      <c r="C150" s="211"/>
      <c r="D150" s="37"/>
      <c r="E150" s="211"/>
      <c r="F150" s="211"/>
      <c r="G150" s="211"/>
      <c r="H150" s="37"/>
      <c r="I150" s="37"/>
      <c r="J150" s="211"/>
      <c r="K150" s="211"/>
      <c r="L150" s="37"/>
      <c r="M150" s="37"/>
      <c r="N150" s="37"/>
      <c r="O150" s="37"/>
    </row>
    <row r="151" spans="1:15" ht="12.75" customHeight="1">
      <c r="A151" s="212"/>
      <c r="B151" s="212"/>
      <c r="C151" s="212"/>
      <c r="E151" s="212"/>
      <c r="F151" s="212"/>
      <c r="G151" s="212"/>
      <c r="J151" s="212"/>
      <c r="K151" s="212"/>
      <c r="L151" s="212"/>
      <c r="M151" s="212"/>
    </row>
    <row r="152" spans="1:15" ht="12.75" customHeight="1">
      <c r="A152" s="212"/>
      <c r="B152" s="212"/>
      <c r="C152" s="212"/>
      <c r="E152" s="212"/>
      <c r="F152" s="212"/>
      <c r="G152" s="212"/>
      <c r="J152" s="212"/>
      <c r="K152" s="212"/>
      <c r="L152" s="212"/>
      <c r="M152" s="212"/>
    </row>
    <row r="153" spans="1:15" ht="12.75" customHeight="1">
      <c r="A153" s="212"/>
      <c r="B153" s="212"/>
      <c r="C153" s="212"/>
      <c r="E153" s="212"/>
      <c r="F153" s="212"/>
      <c r="G153" s="212"/>
      <c r="J153" s="212"/>
      <c r="K153" s="212"/>
      <c r="L153" s="212"/>
      <c r="M153" s="212"/>
    </row>
    <row r="154" spans="1:15" ht="12.75" customHeight="1">
      <c r="A154" s="212"/>
      <c r="B154" s="212"/>
      <c r="C154" s="212"/>
      <c r="D154" s="272"/>
      <c r="E154" s="213"/>
      <c r="F154" s="213"/>
      <c r="G154" s="213"/>
      <c r="J154" s="213"/>
      <c r="K154" s="212"/>
      <c r="L154" s="212"/>
      <c r="M154" s="212"/>
    </row>
    <row r="155" spans="1:15" ht="12.75" customHeight="1">
      <c r="A155" s="212"/>
      <c r="B155" s="212"/>
      <c r="C155" s="212"/>
      <c r="D155" s="272"/>
      <c r="E155" s="212"/>
      <c r="F155" s="212"/>
      <c r="G155" s="212"/>
      <c r="J155" s="212"/>
      <c r="K155" s="212"/>
      <c r="L155" s="212"/>
      <c r="M155" s="212"/>
    </row>
    <row r="156" spans="1:15" ht="12.75" customHeight="1">
      <c r="A156" s="212"/>
      <c r="B156" s="212"/>
      <c r="C156" s="212"/>
      <c r="D156" s="272"/>
      <c r="E156" s="212"/>
      <c r="F156" s="212"/>
      <c r="G156" s="212"/>
      <c r="J156" s="212"/>
      <c r="K156" s="212"/>
      <c r="L156" s="212"/>
      <c r="M156" s="212"/>
    </row>
    <row r="157" spans="1:15" ht="12.75" customHeight="1">
      <c r="A157" s="212"/>
      <c r="B157" s="212"/>
      <c r="C157" s="212"/>
      <c r="D157" s="272"/>
      <c r="E157" s="212"/>
      <c r="F157" s="212"/>
      <c r="G157" s="212"/>
      <c r="J157" s="212"/>
      <c r="K157" s="212"/>
      <c r="L157" s="212"/>
      <c r="M157" s="212"/>
    </row>
    <row r="158" spans="1:15" ht="12.75" customHeight="1">
      <c r="A158" s="212"/>
      <c r="B158" s="212"/>
      <c r="C158" s="212"/>
      <c r="D158" s="272"/>
      <c r="E158" s="212"/>
      <c r="F158" s="212"/>
      <c r="G158" s="212"/>
      <c r="J158" s="212"/>
      <c r="K158" s="212"/>
      <c r="L158" s="212"/>
      <c r="M158" s="212"/>
    </row>
    <row r="159" spans="1:15" ht="12.75" customHeight="1">
      <c r="A159" s="212"/>
      <c r="B159" s="212"/>
      <c r="C159" s="212"/>
      <c r="D159" s="272"/>
      <c r="E159" s="212"/>
      <c r="F159" s="212"/>
      <c r="G159" s="212"/>
      <c r="J159" s="212"/>
      <c r="K159" s="212"/>
      <c r="L159" s="212"/>
      <c r="M159" s="212"/>
    </row>
    <row r="160" spans="1:15" ht="12.75" customHeight="1">
      <c r="A160" s="212"/>
      <c r="B160" s="212"/>
      <c r="C160" s="212"/>
      <c r="D160" s="272"/>
      <c r="E160" s="212"/>
      <c r="F160" s="212"/>
      <c r="G160" s="212"/>
      <c r="J160" s="212"/>
      <c r="K160" s="212"/>
      <c r="L160" s="212"/>
      <c r="M160" s="212"/>
    </row>
    <row r="161" spans="1:13" ht="12.75" customHeight="1">
      <c r="A161" s="212"/>
      <c r="B161" s="212"/>
      <c r="C161" s="212"/>
      <c r="D161" s="272"/>
      <c r="E161" s="212"/>
      <c r="F161" s="212"/>
      <c r="G161" s="212"/>
      <c r="J161" s="212"/>
      <c r="K161" s="212"/>
      <c r="L161" s="212"/>
      <c r="M161" s="212"/>
    </row>
    <row r="162" spans="1:13" ht="12.75" customHeight="1">
      <c r="A162" s="212"/>
      <c r="B162" s="212"/>
      <c r="C162" s="212"/>
      <c r="D162" s="272"/>
      <c r="E162" s="212"/>
      <c r="F162" s="212"/>
      <c r="G162" s="212"/>
      <c r="J162" s="212"/>
      <c r="K162" s="212"/>
      <c r="L162" s="212"/>
      <c r="M162" s="212"/>
    </row>
    <row r="163" spans="1:13" ht="12.75" customHeight="1">
      <c r="A163" s="212"/>
      <c r="B163" s="212"/>
      <c r="C163" s="212"/>
      <c r="D163" s="272"/>
      <c r="E163" s="212"/>
      <c r="F163" s="212"/>
      <c r="G163" s="212"/>
      <c r="J163" s="212"/>
      <c r="K163" s="212"/>
      <c r="L163" s="212"/>
      <c r="M163" s="212"/>
    </row>
    <row r="164" spans="1:13" ht="12.75" customHeight="1">
      <c r="A164" s="212"/>
      <c r="B164" s="212"/>
      <c r="C164" s="212"/>
      <c r="D164" s="272"/>
      <c r="E164" s="212"/>
      <c r="F164" s="212"/>
      <c r="G164" s="212"/>
      <c r="J164" s="212"/>
      <c r="K164" s="212"/>
      <c r="L164" s="212"/>
      <c r="M164" s="212"/>
    </row>
    <row r="165" spans="1:13" ht="12.75" customHeight="1">
      <c r="A165" s="212"/>
      <c r="B165" s="212"/>
      <c r="C165" s="212"/>
      <c r="D165" s="272"/>
      <c r="E165" s="212"/>
      <c r="F165" s="212"/>
      <c r="G165" s="212"/>
      <c r="J165" s="212"/>
      <c r="K165" s="212"/>
      <c r="L165" s="212"/>
      <c r="M165" s="212"/>
    </row>
    <row r="166" spans="1:13" ht="12.75" customHeight="1">
      <c r="A166" s="212"/>
      <c r="B166" s="212"/>
      <c r="C166" s="212"/>
      <c r="D166" s="272"/>
      <c r="E166" s="212"/>
      <c r="F166" s="212"/>
      <c r="G166" s="212"/>
      <c r="J166" s="212"/>
      <c r="K166" s="212"/>
      <c r="L166" s="212"/>
      <c r="M166" s="212"/>
    </row>
    <row r="167" spans="1:13" ht="12.75" customHeight="1">
      <c r="A167" s="212"/>
      <c r="B167" s="212"/>
      <c r="C167" s="212"/>
      <c r="D167" s="285"/>
      <c r="E167" s="212"/>
      <c r="F167" s="212"/>
      <c r="G167" s="212"/>
      <c r="J167" s="212"/>
      <c r="K167" s="212"/>
      <c r="L167" s="212"/>
      <c r="M167" s="212"/>
    </row>
    <row r="168" spans="1:13" ht="12.75" customHeight="1">
      <c r="A168" s="212"/>
      <c r="B168" s="212"/>
      <c r="C168" s="212"/>
      <c r="D168" s="236"/>
      <c r="E168" s="212"/>
      <c r="F168" s="212"/>
      <c r="G168" s="212"/>
      <c r="J168" s="212"/>
      <c r="K168" s="212"/>
      <c r="L168" s="212"/>
      <c r="M168" s="212"/>
    </row>
    <row r="169" spans="1:13" ht="12.75" customHeight="1">
      <c r="A169" s="212"/>
      <c r="B169" s="212"/>
      <c r="C169" s="212"/>
      <c r="D169" s="236"/>
      <c r="E169" s="212"/>
      <c r="F169" s="212"/>
      <c r="G169" s="212"/>
      <c r="J169" s="212"/>
      <c r="K169" s="286"/>
      <c r="L169" s="212"/>
      <c r="M169" s="212"/>
    </row>
    <row r="170" spans="1:13" ht="12.75" customHeight="1">
      <c r="A170" s="212"/>
      <c r="B170" s="212"/>
      <c r="C170" s="212"/>
      <c r="D170" s="236"/>
      <c r="E170" s="212"/>
      <c r="F170" s="212"/>
      <c r="G170" s="212"/>
      <c r="J170" s="212"/>
      <c r="K170" s="237"/>
      <c r="L170" s="212"/>
      <c r="M170" s="212"/>
    </row>
    <row r="171" spans="1:13" ht="12.75" customHeight="1">
      <c r="A171" s="212"/>
      <c r="B171" s="212"/>
      <c r="C171" s="212"/>
      <c r="D171" s="236"/>
      <c r="E171" s="212"/>
      <c r="F171" s="212"/>
      <c r="G171" s="212"/>
      <c r="J171" s="212"/>
      <c r="K171" s="237"/>
      <c r="L171" s="212"/>
      <c r="M171" s="212"/>
    </row>
    <row r="172" spans="1:13" ht="12.75" customHeight="1">
      <c r="A172" s="212"/>
      <c r="B172" s="212"/>
      <c r="C172" s="212"/>
      <c r="D172" s="236"/>
      <c r="E172" s="212"/>
      <c r="F172" s="212"/>
      <c r="G172" s="212"/>
      <c r="J172" s="212"/>
      <c r="K172" s="237"/>
      <c r="L172" s="212"/>
      <c r="M172" s="212"/>
    </row>
    <row r="173" spans="1:13" ht="12.75" customHeight="1">
      <c r="A173" s="212"/>
      <c r="B173" s="212"/>
      <c r="C173" s="212"/>
      <c r="D173" s="236"/>
      <c r="E173" s="212"/>
      <c r="F173" s="212"/>
      <c r="G173" s="212"/>
      <c r="J173" s="212"/>
      <c r="K173" s="237"/>
      <c r="L173" s="212"/>
      <c r="M173" s="212"/>
    </row>
    <row r="174" spans="1:13" ht="12.75" customHeight="1">
      <c r="A174" s="212"/>
      <c r="B174" s="212"/>
      <c r="C174" s="212"/>
      <c r="D174" s="236"/>
      <c r="E174" s="212"/>
      <c r="F174" s="212"/>
      <c r="G174" s="212"/>
      <c r="J174" s="212"/>
      <c r="K174" s="237"/>
      <c r="L174" s="212"/>
      <c r="M174" s="212"/>
    </row>
    <row r="175" spans="1:13" ht="12.75" customHeight="1">
      <c r="A175" s="212"/>
      <c r="B175" s="212"/>
      <c r="C175" s="212"/>
      <c r="D175" s="236"/>
      <c r="E175" s="212"/>
      <c r="F175" s="212"/>
      <c r="G175" s="212"/>
      <c r="J175" s="212"/>
      <c r="K175" s="237"/>
      <c r="L175" s="212"/>
      <c r="M175" s="212"/>
    </row>
    <row r="176" spans="1:13" ht="12.75" customHeight="1">
      <c r="A176" s="212"/>
      <c r="B176" s="212"/>
      <c r="C176" s="212"/>
      <c r="D176" s="236"/>
      <c r="E176" s="212"/>
      <c r="F176" s="212"/>
      <c r="G176" s="212"/>
      <c r="J176" s="212"/>
      <c r="K176" s="237"/>
      <c r="L176" s="212"/>
      <c r="M176" s="212"/>
    </row>
    <row r="177" spans="1:13" ht="12.75" customHeight="1">
      <c r="A177" s="212"/>
      <c r="B177" s="212"/>
      <c r="C177" s="212"/>
      <c r="D177" s="236"/>
      <c r="E177" s="212"/>
      <c r="F177" s="212"/>
      <c r="G177" s="212"/>
      <c r="J177" s="212"/>
      <c r="K177" s="237"/>
      <c r="L177" s="212"/>
      <c r="M177" s="212"/>
    </row>
    <row r="178" spans="1:13" ht="12.75" customHeight="1">
      <c r="A178" s="212"/>
      <c r="B178" s="212"/>
      <c r="C178" s="212"/>
      <c r="D178" s="236"/>
      <c r="E178" s="212"/>
      <c r="F178" s="212"/>
      <c r="G178" s="212"/>
      <c r="J178" s="212"/>
      <c r="K178" s="237"/>
      <c r="L178" s="212"/>
      <c r="M178" s="212"/>
    </row>
    <row r="179" spans="1:13" ht="12.75" customHeight="1">
      <c r="A179" s="212"/>
      <c r="B179" s="212"/>
      <c r="C179" s="212"/>
      <c r="D179" s="236"/>
      <c r="E179" s="212"/>
      <c r="F179" s="212"/>
      <c r="G179" s="212"/>
      <c r="J179" s="212"/>
      <c r="K179" s="237"/>
      <c r="L179" s="212"/>
      <c r="M179" s="212"/>
    </row>
    <row r="180" spans="1:13" ht="12.75" customHeight="1">
      <c r="A180" s="212"/>
      <c r="B180" s="212"/>
      <c r="C180" s="212"/>
      <c r="D180" s="236"/>
      <c r="E180" s="212"/>
      <c r="F180" s="212"/>
      <c r="G180" s="212"/>
      <c r="J180" s="212"/>
      <c r="K180" s="237"/>
      <c r="L180" s="212"/>
      <c r="M180" s="212"/>
    </row>
    <row r="181" spans="1:13" ht="12.75" customHeight="1">
      <c r="A181" s="212"/>
      <c r="B181" s="212"/>
      <c r="C181" s="212"/>
      <c r="D181" s="236"/>
      <c r="E181" s="212"/>
      <c r="F181" s="212"/>
      <c r="G181" s="212"/>
      <c r="J181" s="212"/>
      <c r="K181" s="237"/>
      <c r="L181" s="212"/>
      <c r="M181" s="212"/>
    </row>
    <row r="182" spans="1:13" ht="12.75" customHeight="1">
      <c r="A182" s="212"/>
      <c r="B182" s="212"/>
      <c r="C182" s="212"/>
      <c r="D182" s="236"/>
      <c r="E182" s="212"/>
      <c r="F182" s="212"/>
      <c r="G182" s="212"/>
      <c r="J182" s="212"/>
      <c r="K182" s="237"/>
      <c r="L182" s="212"/>
      <c r="M182" s="212"/>
    </row>
    <row r="183" spans="1:13" ht="12.75" customHeight="1">
      <c r="A183" s="212"/>
      <c r="B183" s="212"/>
      <c r="C183" s="212"/>
      <c r="D183" s="236"/>
      <c r="E183" s="212"/>
      <c r="F183" s="212"/>
      <c r="G183" s="212"/>
      <c r="J183" s="212"/>
      <c r="K183" s="237"/>
      <c r="L183" s="212"/>
      <c r="M183" s="212"/>
    </row>
    <row r="184" spans="1:13" ht="12.75" customHeight="1">
      <c r="A184" s="212"/>
      <c r="B184" s="212"/>
      <c r="C184" s="212"/>
      <c r="D184" s="236"/>
      <c r="E184" s="212"/>
      <c r="F184" s="212"/>
      <c r="G184" s="212"/>
      <c r="J184" s="212"/>
      <c r="K184" s="237"/>
      <c r="L184" s="212"/>
      <c r="M184" s="212"/>
    </row>
    <row r="185" spans="1:13" ht="12.75" customHeight="1">
      <c r="A185" s="212"/>
      <c r="B185" s="212"/>
      <c r="C185" s="212"/>
      <c r="D185" s="236"/>
      <c r="E185" s="212"/>
      <c r="F185" s="212"/>
      <c r="G185" s="212"/>
      <c r="J185" s="212"/>
      <c r="K185" s="237"/>
      <c r="L185" s="212"/>
      <c r="M185" s="212"/>
    </row>
    <row r="186" spans="1:13" ht="12.75" customHeight="1">
      <c r="A186" s="212"/>
      <c r="B186" s="212"/>
      <c r="C186" s="212"/>
      <c r="D186" s="236"/>
      <c r="E186" s="212"/>
      <c r="F186" s="212"/>
      <c r="G186" s="212"/>
      <c r="J186" s="212"/>
      <c r="K186" s="237"/>
      <c r="L186" s="212"/>
      <c r="M186" s="212"/>
    </row>
    <row r="187" spans="1:13" ht="12.75" customHeight="1">
      <c r="A187" s="212"/>
      <c r="B187" s="212"/>
      <c r="C187" s="212"/>
      <c r="D187" s="236"/>
      <c r="E187" s="212"/>
      <c r="F187" s="212"/>
      <c r="G187" s="212"/>
      <c r="J187" s="212"/>
      <c r="K187" s="237"/>
      <c r="L187" s="212"/>
      <c r="M187" s="212"/>
    </row>
    <row r="188" spans="1:13" ht="12.75" customHeight="1">
      <c r="A188" s="212"/>
      <c r="B188" s="212"/>
      <c r="C188" s="212"/>
      <c r="D188" s="236"/>
      <c r="E188" s="212"/>
      <c r="F188" s="212"/>
      <c r="G188" s="212"/>
      <c r="J188" s="212"/>
      <c r="K188" s="237"/>
      <c r="L188" s="212"/>
      <c r="M188" s="212"/>
    </row>
    <row r="189" spans="1:13" ht="12.75" customHeight="1">
      <c r="A189" s="212"/>
      <c r="B189" s="212"/>
      <c r="C189" s="212"/>
      <c r="D189" s="236"/>
      <c r="E189" s="212"/>
      <c r="F189" s="212"/>
      <c r="G189" s="212"/>
      <c r="J189" s="212"/>
      <c r="K189" s="237"/>
      <c r="L189" s="212"/>
      <c r="M189" s="212"/>
    </row>
    <row r="190" spans="1:13" ht="12.75" customHeight="1">
      <c r="A190" s="212"/>
      <c r="B190" s="212"/>
      <c r="C190" s="212"/>
      <c r="D190" s="236"/>
      <c r="E190" s="212"/>
      <c r="F190" s="212"/>
      <c r="G190" s="212"/>
      <c r="J190" s="212"/>
      <c r="K190" s="237"/>
      <c r="L190" s="212"/>
      <c r="M190" s="212"/>
    </row>
    <row r="191" spans="1:13" ht="12.75" customHeight="1">
      <c r="A191" s="212"/>
      <c r="B191" s="212"/>
      <c r="C191" s="212"/>
      <c r="D191" s="236"/>
      <c r="E191" s="212"/>
      <c r="F191" s="212"/>
      <c r="G191" s="212"/>
      <c r="J191" s="212"/>
      <c r="K191" s="237"/>
      <c r="L191" s="212"/>
      <c r="M191" s="212"/>
    </row>
    <row r="192" spans="1:13" ht="12.75" customHeight="1">
      <c r="A192" s="212"/>
      <c r="B192" s="212"/>
      <c r="C192" s="212"/>
      <c r="D192" s="236"/>
      <c r="E192" s="212"/>
      <c r="F192" s="212"/>
      <c r="G192" s="212"/>
      <c r="J192" s="212"/>
      <c r="K192" s="237"/>
      <c r="L192" s="212"/>
      <c r="M192" s="212"/>
    </row>
    <row r="193" spans="1:13" ht="12.75" customHeight="1">
      <c r="A193" s="212"/>
      <c r="B193" s="212"/>
      <c r="C193" s="212"/>
      <c r="D193" s="236"/>
      <c r="E193" s="212"/>
      <c r="F193" s="212"/>
      <c r="G193" s="212"/>
      <c r="J193" s="212"/>
      <c r="K193" s="237"/>
      <c r="L193" s="212"/>
      <c r="M193" s="212"/>
    </row>
    <row r="194" spans="1:13" ht="12.75" customHeight="1">
      <c r="A194" s="212"/>
      <c r="B194" s="212"/>
      <c r="C194" s="212"/>
      <c r="D194" s="236"/>
      <c r="E194" s="212"/>
      <c r="F194" s="212"/>
      <c r="G194" s="212"/>
      <c r="J194" s="212"/>
      <c r="K194" s="237"/>
      <c r="L194" s="212"/>
      <c r="M194" s="212"/>
    </row>
    <row r="195" spans="1:13" ht="12.75" customHeight="1">
      <c r="A195" s="212"/>
      <c r="B195" s="212"/>
      <c r="C195" s="212"/>
      <c r="D195" s="236"/>
      <c r="E195" s="212"/>
      <c r="F195" s="212"/>
      <c r="G195" s="212"/>
      <c r="J195" s="212"/>
      <c r="K195" s="237"/>
      <c r="L195" s="212"/>
      <c r="M195" s="212"/>
    </row>
    <row r="196" spans="1:13" ht="12.75" customHeight="1">
      <c r="A196" s="212"/>
      <c r="B196" s="212"/>
      <c r="C196" s="212"/>
      <c r="D196" s="236"/>
      <c r="E196" s="212"/>
      <c r="F196" s="212"/>
      <c r="G196" s="212"/>
      <c r="J196" s="212"/>
      <c r="K196" s="237"/>
      <c r="L196" s="212"/>
      <c r="M196" s="212"/>
    </row>
    <row r="197" spans="1:13" ht="12.75" customHeight="1">
      <c r="A197" s="212"/>
      <c r="B197" s="212"/>
      <c r="C197" s="212"/>
      <c r="D197" s="236"/>
      <c r="E197" s="212"/>
      <c r="F197" s="212"/>
      <c r="G197" s="212"/>
      <c r="J197" s="212"/>
      <c r="K197" s="237"/>
      <c r="L197" s="212"/>
      <c r="M197" s="212"/>
    </row>
    <row r="198" spans="1:13" ht="12.75" customHeight="1">
      <c r="A198" s="212"/>
      <c r="B198" s="212"/>
      <c r="C198" s="212"/>
      <c r="D198" s="236"/>
      <c r="E198" s="212"/>
      <c r="F198" s="212"/>
      <c r="G198" s="212"/>
      <c r="J198" s="212"/>
      <c r="K198" s="237"/>
      <c r="L198" s="212"/>
      <c r="M198" s="212"/>
    </row>
    <row r="199" spans="1:13" ht="12.75" customHeight="1">
      <c r="A199" s="212"/>
      <c r="B199" s="212"/>
      <c r="C199" s="212"/>
      <c r="D199" s="236"/>
      <c r="E199" s="212"/>
      <c r="F199" s="212"/>
      <c r="G199" s="212"/>
      <c r="J199" s="212"/>
      <c r="K199" s="237"/>
      <c r="L199" s="212"/>
      <c r="M199" s="212"/>
    </row>
    <row r="200" spans="1:13" ht="12.75" customHeight="1">
      <c r="A200" s="212"/>
      <c r="B200" s="212"/>
      <c r="C200" s="212"/>
      <c r="D200" s="236"/>
      <c r="E200" s="212"/>
      <c r="F200" s="212"/>
      <c r="G200" s="212"/>
      <c r="J200" s="212"/>
      <c r="K200" s="237"/>
      <c r="L200" s="212"/>
      <c r="M200" s="212"/>
    </row>
    <row r="201" spans="1:13" ht="12.75" customHeight="1">
      <c r="A201" s="212"/>
      <c r="B201" s="212"/>
      <c r="C201" s="212"/>
      <c r="D201" s="236"/>
      <c r="E201" s="212"/>
      <c r="F201" s="212"/>
      <c r="G201" s="212"/>
      <c r="J201" s="212"/>
      <c r="K201" s="237"/>
      <c r="L201" s="212"/>
      <c r="M201" s="212"/>
    </row>
    <row r="202" spans="1:13" ht="12.75" customHeight="1">
      <c r="A202" s="212"/>
      <c r="B202" s="212"/>
      <c r="C202" s="212"/>
      <c r="D202" s="236"/>
      <c r="E202" s="212"/>
      <c r="F202" s="212"/>
      <c r="G202" s="212"/>
      <c r="J202" s="212"/>
      <c r="K202" s="237"/>
      <c r="L202" s="212"/>
      <c r="M202" s="212"/>
    </row>
    <row r="203" spans="1:13" ht="12.75" customHeight="1">
      <c r="A203" s="212"/>
      <c r="B203" s="212"/>
      <c r="C203" s="212"/>
      <c r="D203" s="236"/>
      <c r="E203" s="212"/>
      <c r="F203" s="212"/>
      <c r="G203" s="212"/>
      <c r="J203" s="212"/>
      <c r="K203" s="237"/>
      <c r="L203" s="212"/>
      <c r="M203" s="212"/>
    </row>
    <row r="204" spans="1:13" ht="12.75" customHeight="1">
      <c r="A204" s="212"/>
      <c r="B204" s="212"/>
      <c r="C204" s="212"/>
      <c r="D204" s="236"/>
      <c r="E204" s="212"/>
      <c r="F204" s="212"/>
      <c r="G204" s="212"/>
      <c r="J204" s="212"/>
      <c r="K204" s="237"/>
      <c r="L204" s="212"/>
      <c r="M204" s="212"/>
    </row>
    <row r="205" spans="1:13" ht="12.75" customHeight="1">
      <c r="A205" s="212"/>
      <c r="B205" s="212"/>
      <c r="C205" s="212"/>
      <c r="D205" s="236"/>
      <c r="E205" s="212"/>
      <c r="F205" s="212"/>
      <c r="G205" s="212"/>
      <c r="J205" s="212"/>
      <c r="K205" s="237"/>
      <c r="L205" s="212"/>
      <c r="M205" s="212"/>
    </row>
    <row r="206" spans="1:13" ht="12.75" customHeight="1">
      <c r="A206" s="212"/>
      <c r="B206" s="212"/>
      <c r="C206" s="212"/>
      <c r="D206" s="236"/>
      <c r="E206" s="212"/>
      <c r="F206" s="212"/>
      <c r="G206" s="212"/>
      <c r="J206" s="212"/>
      <c r="K206" s="237"/>
      <c r="L206" s="212"/>
      <c r="M206" s="212"/>
    </row>
    <row r="207" spans="1:13" ht="12.75" customHeight="1">
      <c r="A207" s="212"/>
      <c r="B207" s="212"/>
      <c r="C207" s="212"/>
      <c r="D207" s="236"/>
      <c r="E207" s="212"/>
      <c r="F207" s="212"/>
      <c r="G207" s="212"/>
      <c r="J207" s="212"/>
      <c r="K207" s="237"/>
      <c r="L207" s="212"/>
      <c r="M207" s="212"/>
    </row>
    <row r="208" spans="1:13" ht="12.75" customHeight="1">
      <c r="A208" s="212"/>
      <c r="B208" s="212"/>
      <c r="C208" s="212"/>
      <c r="D208" s="236"/>
      <c r="E208" s="212"/>
      <c r="F208" s="212"/>
      <c r="G208" s="212"/>
      <c r="J208" s="212"/>
      <c r="K208" s="237"/>
      <c r="L208" s="212"/>
      <c r="M208" s="212"/>
    </row>
    <row r="209" spans="1:13" ht="12.75" customHeight="1">
      <c r="A209" s="212"/>
      <c r="B209" s="212"/>
      <c r="C209" s="212"/>
      <c r="D209" s="236"/>
      <c r="E209" s="212"/>
      <c r="F209" s="212"/>
      <c r="G209" s="212"/>
      <c r="J209" s="212"/>
      <c r="K209" s="237"/>
      <c r="L209" s="212"/>
      <c r="M209" s="212"/>
    </row>
    <row r="210" spans="1:13" ht="12.75" customHeight="1">
      <c r="A210" s="212"/>
      <c r="B210" s="212"/>
      <c r="C210" s="212"/>
      <c r="D210" s="236"/>
      <c r="E210" s="212"/>
      <c r="F210" s="212"/>
      <c r="G210" s="212"/>
      <c r="J210" s="212"/>
      <c r="K210" s="237"/>
      <c r="L210" s="212"/>
      <c r="M210" s="212"/>
    </row>
    <row r="211" spans="1:13" ht="12.75" customHeight="1">
      <c r="A211" s="212"/>
      <c r="B211" s="212"/>
      <c r="C211" s="212"/>
      <c r="D211" s="236"/>
      <c r="E211" s="212"/>
      <c r="F211" s="212"/>
      <c r="G211" s="212"/>
      <c r="J211" s="212"/>
      <c r="K211" s="237"/>
      <c r="L211" s="212"/>
      <c r="M211" s="212"/>
    </row>
    <row r="212" spans="1:13" ht="12.75" customHeight="1">
      <c r="A212" s="212"/>
      <c r="B212" s="212"/>
      <c r="C212" s="212"/>
      <c r="D212" s="236"/>
      <c r="E212" s="212"/>
      <c r="F212" s="212"/>
      <c r="G212" s="212"/>
      <c r="J212" s="212"/>
      <c r="K212" s="237"/>
      <c r="L212" s="212"/>
      <c r="M212" s="212"/>
    </row>
    <row r="213" spans="1:13" ht="12.75" customHeight="1">
      <c r="A213" s="212"/>
      <c r="B213" s="212"/>
      <c r="C213" s="212"/>
      <c r="D213" s="236"/>
      <c r="E213" s="212"/>
      <c r="F213" s="212"/>
      <c r="G213" s="212"/>
      <c r="J213" s="212"/>
      <c r="K213" s="237"/>
      <c r="L213" s="212"/>
      <c r="M213" s="212"/>
    </row>
    <row r="214" spans="1:13" ht="12.75" customHeight="1">
      <c r="A214" s="212"/>
      <c r="B214" s="212"/>
      <c r="C214" s="212"/>
      <c r="D214" s="236"/>
      <c r="E214" s="212"/>
      <c r="F214" s="212"/>
      <c r="G214" s="212"/>
      <c r="J214" s="212"/>
      <c r="K214" s="237"/>
      <c r="L214" s="212"/>
      <c r="M214" s="212"/>
    </row>
    <row r="215" spans="1:13" ht="12.75" customHeight="1">
      <c r="A215" s="212"/>
      <c r="B215" s="212"/>
      <c r="C215" s="212"/>
      <c r="D215" s="236"/>
      <c r="E215" s="212"/>
      <c r="F215" s="212"/>
      <c r="G215" s="212"/>
      <c r="J215" s="212"/>
      <c r="K215" s="237"/>
      <c r="L215" s="212"/>
      <c r="M215" s="212"/>
    </row>
    <row r="216" spans="1:13" ht="12.75" customHeight="1">
      <c r="A216" s="212"/>
      <c r="B216" s="212"/>
      <c r="C216" s="212"/>
      <c r="D216" s="236"/>
      <c r="E216" s="212"/>
      <c r="F216" s="212"/>
      <c r="G216" s="212"/>
      <c r="J216" s="212"/>
      <c r="K216" s="237"/>
      <c r="L216" s="212"/>
      <c r="M216" s="212"/>
    </row>
    <row r="217" spans="1:13" ht="12.75" customHeight="1">
      <c r="A217" s="212"/>
      <c r="B217" s="212"/>
      <c r="C217" s="212"/>
      <c r="D217" s="236"/>
      <c r="E217" s="212"/>
      <c r="F217" s="212"/>
      <c r="G217" s="212"/>
      <c r="J217" s="212"/>
      <c r="K217" s="237"/>
      <c r="L217" s="212"/>
      <c r="M217" s="212"/>
    </row>
    <row r="218" spans="1:13" ht="12.75" customHeight="1">
      <c r="A218" s="212"/>
      <c r="B218" s="212"/>
      <c r="C218" s="212"/>
      <c r="D218" s="236"/>
      <c r="E218" s="212"/>
      <c r="F218" s="212"/>
      <c r="G218" s="212"/>
      <c r="J218" s="212"/>
      <c r="K218" s="237"/>
      <c r="L218" s="212"/>
      <c r="M218" s="212"/>
    </row>
    <row r="219" spans="1:13" ht="12.75" customHeight="1">
      <c r="A219" s="212"/>
      <c r="B219" s="212"/>
      <c r="C219" s="212"/>
      <c r="D219" s="236"/>
      <c r="E219" s="212"/>
      <c r="F219" s="212"/>
      <c r="G219" s="212"/>
      <c r="J219" s="212"/>
      <c r="K219" s="237"/>
      <c r="L219" s="212"/>
      <c r="M219" s="212"/>
    </row>
    <row r="220" spans="1:13" ht="12.75" customHeight="1">
      <c r="A220" s="212"/>
      <c r="B220" s="212"/>
      <c r="C220" s="212"/>
      <c r="D220" s="236"/>
      <c r="E220" s="212"/>
      <c r="F220" s="212"/>
      <c r="G220" s="212"/>
      <c r="J220" s="212"/>
      <c r="K220" s="237"/>
      <c r="L220" s="212"/>
      <c r="M220" s="212"/>
    </row>
    <row r="221" spans="1:13" ht="12.75" customHeight="1">
      <c r="A221" s="212"/>
      <c r="B221" s="212"/>
      <c r="C221" s="212"/>
      <c r="D221" s="236"/>
      <c r="E221" s="212"/>
      <c r="F221" s="212"/>
      <c r="G221" s="212"/>
      <c r="J221" s="212"/>
      <c r="K221" s="237"/>
      <c r="L221" s="212"/>
      <c r="M221" s="212"/>
    </row>
    <row r="222" spans="1:13" ht="12.75" customHeight="1">
      <c r="A222" s="212"/>
      <c r="B222" s="212"/>
      <c r="C222" s="212"/>
      <c r="D222" s="236"/>
      <c r="E222" s="212"/>
      <c r="F222" s="212"/>
      <c r="G222" s="212"/>
      <c r="J222" s="212"/>
      <c r="K222" s="237"/>
      <c r="L222" s="212"/>
      <c r="M222" s="212"/>
    </row>
    <row r="223" spans="1:13" ht="12.75" customHeight="1">
      <c r="A223" s="212"/>
      <c r="B223" s="212"/>
      <c r="C223" s="212"/>
      <c r="D223" s="236"/>
      <c r="E223" s="212"/>
      <c r="F223" s="212"/>
      <c r="G223" s="212"/>
      <c r="J223" s="212"/>
      <c r="K223" s="237"/>
      <c r="L223" s="212"/>
      <c r="M223" s="212"/>
    </row>
    <row r="224" spans="1:13" ht="12.75" customHeight="1">
      <c r="A224" s="212"/>
      <c r="B224" s="212"/>
      <c r="C224" s="212"/>
      <c r="D224" s="236"/>
      <c r="E224" s="212"/>
      <c r="F224" s="212"/>
      <c r="G224" s="212"/>
      <c r="J224" s="212"/>
      <c r="K224" s="237"/>
      <c r="L224" s="212"/>
      <c r="M224" s="212"/>
    </row>
    <row r="225" spans="1:13" ht="12.75" customHeight="1">
      <c r="A225" s="212"/>
      <c r="B225" s="212"/>
      <c r="C225" s="212"/>
      <c r="D225" s="236"/>
      <c r="E225" s="212"/>
      <c r="F225" s="212"/>
      <c r="G225" s="212"/>
      <c r="J225" s="212"/>
      <c r="K225" s="237"/>
      <c r="L225" s="212"/>
      <c r="M225" s="212"/>
    </row>
    <row r="226" spans="1:13" ht="12.75" customHeight="1">
      <c r="A226" s="212"/>
      <c r="B226" s="212"/>
      <c r="C226" s="212"/>
      <c r="D226" s="236"/>
      <c r="E226" s="212"/>
      <c r="F226" s="212"/>
      <c r="G226" s="212"/>
      <c r="J226" s="212"/>
      <c r="K226" s="237"/>
      <c r="L226" s="212"/>
      <c r="M226" s="212"/>
    </row>
    <row r="227" spans="1:13" ht="12.75" customHeight="1">
      <c r="A227" s="212"/>
      <c r="B227" s="212"/>
      <c r="C227" s="212"/>
      <c r="D227" s="236"/>
      <c r="E227" s="212"/>
      <c r="F227" s="212"/>
      <c r="G227" s="212"/>
      <c r="J227" s="212"/>
      <c r="K227" s="237"/>
      <c r="L227" s="212"/>
      <c r="M227" s="212"/>
    </row>
    <row r="228" spans="1:13" ht="12.75" customHeight="1">
      <c r="A228" s="212"/>
      <c r="B228" s="212"/>
      <c r="C228" s="212"/>
      <c r="D228" s="236"/>
      <c r="E228" s="212"/>
      <c r="F228" s="212"/>
      <c r="G228" s="212"/>
      <c r="J228" s="212"/>
      <c r="K228" s="237"/>
      <c r="L228" s="212"/>
      <c r="M228" s="212"/>
    </row>
    <row r="229" spans="1:13" ht="12.75" customHeight="1">
      <c r="A229" s="212"/>
      <c r="B229" s="212"/>
      <c r="C229" s="212"/>
      <c r="D229" s="236"/>
      <c r="E229" s="212"/>
      <c r="F229" s="212"/>
      <c r="G229" s="212"/>
      <c r="J229" s="212"/>
      <c r="K229" s="237"/>
      <c r="L229" s="212"/>
      <c r="M229" s="212"/>
    </row>
    <row r="230" spans="1:13" ht="12.75" customHeight="1">
      <c r="A230" s="212"/>
      <c r="B230" s="212"/>
      <c r="C230" s="212"/>
      <c r="D230" s="236"/>
      <c r="E230" s="212"/>
      <c r="F230" s="212"/>
      <c r="G230" s="212"/>
      <c r="J230" s="212"/>
      <c r="K230" s="237"/>
      <c r="L230" s="212"/>
      <c r="M230" s="212"/>
    </row>
    <row r="231" spans="1:13" ht="12.75" customHeight="1">
      <c r="A231" s="212"/>
      <c r="B231" s="212"/>
      <c r="C231" s="212"/>
      <c r="D231" s="236"/>
      <c r="E231" s="212"/>
      <c r="F231" s="212"/>
      <c r="G231" s="212"/>
      <c r="J231" s="212"/>
      <c r="K231" s="237"/>
      <c r="L231" s="212"/>
      <c r="M231" s="212"/>
    </row>
    <row r="232" spans="1:13" ht="12.75" customHeight="1">
      <c r="A232" s="212"/>
      <c r="B232" s="212"/>
      <c r="C232" s="212"/>
      <c r="D232" s="236"/>
      <c r="E232" s="212"/>
      <c r="F232" s="212"/>
      <c r="G232" s="212"/>
      <c r="J232" s="212"/>
      <c r="K232" s="237"/>
      <c r="L232" s="212"/>
      <c r="M232" s="212"/>
    </row>
    <row r="233" spans="1:13" ht="12.75" customHeight="1">
      <c r="A233" s="212"/>
      <c r="B233" s="212"/>
      <c r="C233" s="212"/>
      <c r="D233" s="236"/>
      <c r="E233" s="212"/>
      <c r="F233" s="212"/>
      <c r="G233" s="212"/>
      <c r="J233" s="212"/>
      <c r="K233" s="237"/>
      <c r="L233" s="212"/>
      <c r="M233" s="212"/>
    </row>
    <row r="234" spans="1:13" ht="12.75" customHeight="1">
      <c r="A234" s="212"/>
      <c r="B234" s="212"/>
      <c r="C234" s="212"/>
      <c r="D234" s="236"/>
      <c r="E234" s="212"/>
      <c r="F234" s="212"/>
      <c r="G234" s="212"/>
      <c r="J234" s="212"/>
      <c r="K234" s="237"/>
      <c r="L234" s="212"/>
      <c r="M234" s="212"/>
    </row>
    <row r="235" spans="1:13" ht="12.75" customHeight="1">
      <c r="A235" s="212"/>
      <c r="B235" s="212"/>
      <c r="C235" s="212"/>
      <c r="D235" s="236"/>
      <c r="E235" s="212"/>
      <c r="F235" s="212"/>
      <c r="G235" s="212"/>
      <c r="J235" s="212"/>
      <c r="K235" s="237"/>
      <c r="L235" s="212"/>
      <c r="M235" s="212"/>
    </row>
    <row r="236" spans="1:13" ht="12.75" customHeight="1">
      <c r="A236" s="212"/>
      <c r="B236" s="212"/>
      <c r="C236" s="212"/>
      <c r="D236" s="236"/>
      <c r="E236" s="212"/>
      <c r="F236" s="212"/>
      <c r="G236" s="212"/>
      <c r="J236" s="212"/>
      <c r="K236" s="237"/>
      <c r="L236" s="212"/>
      <c r="M236" s="212"/>
    </row>
    <row r="237" spans="1:13" ht="12.75" customHeight="1">
      <c r="A237" s="212"/>
      <c r="B237" s="212"/>
      <c r="C237" s="212"/>
      <c r="D237" s="236"/>
      <c r="E237" s="212"/>
      <c r="F237" s="212"/>
      <c r="G237" s="212"/>
      <c r="J237" s="212"/>
      <c r="K237" s="237"/>
      <c r="L237" s="212"/>
      <c r="M237" s="212"/>
    </row>
    <row r="238" spans="1:13" ht="12.75" customHeight="1">
      <c r="A238" s="212"/>
      <c r="B238" s="212"/>
      <c r="C238" s="212"/>
      <c r="D238" s="236"/>
      <c r="E238" s="212"/>
      <c r="F238" s="212"/>
      <c r="G238" s="212"/>
      <c r="J238" s="212"/>
      <c r="K238" s="237"/>
      <c r="L238" s="212"/>
      <c r="M238" s="212"/>
    </row>
    <row r="239" spans="1:13" ht="12.75" customHeight="1">
      <c r="A239" s="212"/>
      <c r="B239" s="212"/>
      <c r="C239" s="212"/>
      <c r="D239" s="236"/>
      <c r="E239" s="212"/>
      <c r="F239" s="212"/>
      <c r="G239" s="212"/>
      <c r="J239" s="212"/>
      <c r="K239" s="237"/>
      <c r="L239" s="212"/>
      <c r="M239" s="212"/>
    </row>
    <row r="240" spans="1:13" ht="12.75" customHeight="1">
      <c r="A240" s="212"/>
      <c r="B240" s="212"/>
      <c r="C240" s="212"/>
      <c r="D240" s="236"/>
      <c r="E240" s="212"/>
      <c r="F240" s="212"/>
      <c r="G240" s="212"/>
      <c r="J240" s="212"/>
      <c r="K240" s="237"/>
      <c r="L240" s="212"/>
      <c r="M240" s="212"/>
    </row>
    <row r="241" spans="1:13" ht="12.75" customHeight="1">
      <c r="A241" s="212"/>
      <c r="B241" s="212"/>
      <c r="C241" s="212"/>
      <c r="D241" s="236"/>
      <c r="E241" s="212"/>
      <c r="F241" s="212"/>
      <c r="G241" s="212"/>
      <c r="J241" s="212"/>
      <c r="K241" s="237"/>
      <c r="L241" s="212"/>
      <c r="M241" s="212"/>
    </row>
    <row r="242" spans="1:13" ht="12.75" customHeight="1">
      <c r="A242" s="212"/>
      <c r="B242" s="212"/>
      <c r="C242" s="212"/>
      <c r="D242" s="236"/>
      <c r="E242" s="212"/>
      <c r="F242" s="212"/>
      <c r="G242" s="212"/>
      <c r="J242" s="212"/>
      <c r="K242" s="237"/>
      <c r="L242" s="212"/>
      <c r="M242" s="212"/>
    </row>
    <row r="243" spans="1:13" ht="12.75" customHeight="1">
      <c r="A243" s="212"/>
      <c r="B243" s="212"/>
      <c r="C243" s="212"/>
      <c r="D243" s="236"/>
      <c r="E243" s="212"/>
      <c r="F243" s="212"/>
      <c r="G243" s="212"/>
      <c r="J243" s="212"/>
      <c r="K243" s="237"/>
      <c r="L243" s="212"/>
      <c r="M243" s="212"/>
    </row>
    <row r="244" spans="1:13" ht="12.75" customHeight="1">
      <c r="A244" s="212"/>
      <c r="B244" s="212"/>
      <c r="C244" s="212"/>
      <c r="D244" s="236"/>
      <c r="E244" s="212"/>
      <c r="F244" s="212"/>
      <c r="G244" s="212"/>
      <c r="J244" s="212"/>
      <c r="K244" s="237"/>
      <c r="L244" s="212"/>
      <c r="M244" s="212"/>
    </row>
    <row r="245" spans="1:13" ht="12.75" customHeight="1">
      <c r="A245" s="212"/>
      <c r="B245" s="212"/>
      <c r="C245" s="212"/>
      <c r="D245" s="236"/>
      <c r="E245" s="212"/>
      <c r="F245" s="212"/>
      <c r="G245" s="212"/>
      <c r="J245" s="212"/>
      <c r="K245" s="237"/>
      <c r="L245" s="212"/>
      <c r="M245" s="212"/>
    </row>
    <row r="246" spans="1:13" ht="12.75" customHeight="1">
      <c r="A246" s="212"/>
      <c r="B246" s="212"/>
      <c r="C246" s="212"/>
      <c r="D246" s="236"/>
      <c r="E246" s="212"/>
      <c r="F246" s="212"/>
      <c r="G246" s="212"/>
      <c r="J246" s="212"/>
      <c r="K246" s="237"/>
      <c r="L246" s="212"/>
      <c r="M246" s="212"/>
    </row>
    <row r="247" spans="1:13" ht="12.75" customHeight="1">
      <c r="A247" s="212"/>
      <c r="B247" s="212"/>
      <c r="C247" s="212"/>
      <c r="D247" s="236"/>
      <c r="E247" s="212"/>
      <c r="F247" s="212"/>
      <c r="G247" s="212"/>
      <c r="J247" s="212"/>
      <c r="K247" s="237"/>
      <c r="L247" s="212"/>
      <c r="M247" s="212"/>
    </row>
    <row r="248" spans="1:13" ht="12.75" customHeight="1">
      <c r="A248" s="212"/>
      <c r="B248" s="212"/>
      <c r="C248" s="212"/>
      <c r="D248" s="236"/>
      <c r="E248" s="212"/>
      <c r="F248" s="212"/>
      <c r="G248" s="212"/>
      <c r="J248" s="212"/>
      <c r="K248" s="237"/>
      <c r="L248" s="212"/>
      <c r="M248" s="212"/>
    </row>
    <row r="249" spans="1:13" ht="12.75" customHeight="1">
      <c r="A249" s="212"/>
      <c r="B249" s="212"/>
      <c r="C249" s="212"/>
      <c r="D249" s="236"/>
      <c r="E249" s="212"/>
      <c r="F249" s="212"/>
      <c r="G249" s="212"/>
      <c r="J249" s="212"/>
      <c r="K249" s="237"/>
      <c r="L249" s="212"/>
      <c r="M249" s="212"/>
    </row>
    <row r="250" spans="1:13" ht="12.75" customHeight="1">
      <c r="A250" s="212"/>
      <c r="B250" s="212"/>
      <c r="C250" s="212"/>
      <c r="D250" s="236"/>
      <c r="E250" s="212"/>
      <c r="F250" s="212"/>
      <c r="G250" s="212"/>
      <c r="J250" s="212"/>
      <c r="K250" s="237"/>
      <c r="L250" s="212"/>
      <c r="M250" s="212"/>
    </row>
    <row r="251" spans="1:13" ht="12.75" customHeight="1">
      <c r="A251" s="212"/>
      <c r="B251" s="212"/>
      <c r="C251" s="212"/>
      <c r="D251" s="236"/>
      <c r="E251" s="212"/>
      <c r="F251" s="212"/>
      <c r="G251" s="212"/>
      <c r="J251" s="212"/>
      <c r="K251" s="237"/>
      <c r="L251" s="212"/>
      <c r="M251" s="212"/>
    </row>
    <row r="252" spans="1:13" ht="12.75" customHeight="1">
      <c r="A252" s="212"/>
      <c r="B252" s="212"/>
      <c r="C252" s="212"/>
      <c r="D252" s="236"/>
      <c r="E252" s="212"/>
      <c r="F252" s="212"/>
      <c r="G252" s="212"/>
      <c r="J252" s="212"/>
      <c r="K252" s="237"/>
      <c r="L252" s="212"/>
      <c r="M252" s="212"/>
    </row>
    <row r="253" spans="1:13" ht="12.75" customHeight="1">
      <c r="A253" s="212"/>
      <c r="B253" s="212"/>
      <c r="C253" s="212"/>
      <c r="D253" s="236"/>
      <c r="E253" s="212"/>
      <c r="F253" s="212"/>
      <c r="G253" s="212"/>
      <c r="J253" s="212"/>
      <c r="K253" s="237"/>
      <c r="L253" s="212"/>
      <c r="M253" s="212"/>
    </row>
    <row r="254" spans="1:13" ht="12.75" customHeight="1">
      <c r="A254" s="212"/>
      <c r="B254" s="212"/>
      <c r="C254" s="212"/>
      <c r="D254" s="236"/>
      <c r="E254" s="212"/>
      <c r="F254" s="212"/>
      <c r="G254" s="212"/>
      <c r="J254" s="212"/>
      <c r="K254" s="237"/>
      <c r="L254" s="212"/>
      <c r="M254" s="212"/>
    </row>
    <row r="255" spans="1:13" ht="12.75" customHeight="1">
      <c r="A255" s="212"/>
      <c r="B255" s="212"/>
      <c r="C255" s="212"/>
      <c r="D255" s="236"/>
      <c r="E255" s="212"/>
      <c r="F255" s="212"/>
      <c r="G255" s="212"/>
      <c r="J255" s="212"/>
      <c r="K255" s="237"/>
      <c r="L255" s="212"/>
      <c r="M255" s="212"/>
    </row>
    <row r="256" spans="1:13" ht="12.75" customHeight="1">
      <c r="A256" s="212"/>
      <c r="B256" s="212"/>
      <c r="C256" s="212"/>
      <c r="D256" s="236"/>
      <c r="E256" s="212"/>
      <c r="F256" s="212"/>
      <c r="G256" s="212"/>
      <c r="J256" s="212"/>
      <c r="K256" s="237"/>
      <c r="L256" s="212"/>
      <c r="M256" s="212"/>
    </row>
    <row r="257" spans="1:13" ht="12.75" customHeight="1">
      <c r="A257" s="212"/>
      <c r="B257" s="212"/>
      <c r="C257" s="212"/>
      <c r="D257" s="236"/>
      <c r="E257" s="212"/>
      <c r="F257" s="212"/>
      <c r="G257" s="212"/>
      <c r="J257" s="212"/>
      <c r="K257" s="237"/>
      <c r="L257" s="212"/>
      <c r="M257" s="212"/>
    </row>
    <row r="258" spans="1:13" ht="12.75" customHeight="1">
      <c r="A258" s="212"/>
      <c r="B258" s="212"/>
      <c r="C258" s="212"/>
      <c r="D258" s="236"/>
      <c r="E258" s="212"/>
      <c r="F258" s="212"/>
      <c r="G258" s="212"/>
      <c r="J258" s="212"/>
      <c r="K258" s="237"/>
      <c r="L258" s="212"/>
      <c r="M258" s="212"/>
    </row>
    <row r="259" spans="1:13" ht="12.75" customHeight="1">
      <c r="A259" s="212"/>
      <c r="B259" s="212"/>
      <c r="C259" s="212"/>
      <c r="D259" s="236"/>
      <c r="E259" s="212"/>
      <c r="F259" s="212"/>
      <c r="G259" s="212"/>
      <c r="J259" s="212"/>
      <c r="K259" s="237"/>
      <c r="L259" s="212"/>
      <c r="M259" s="212"/>
    </row>
    <row r="260" spans="1:13" ht="12.75" customHeight="1">
      <c r="A260" s="212"/>
      <c r="B260" s="212"/>
      <c r="C260" s="212"/>
      <c r="D260" s="236"/>
      <c r="E260" s="212"/>
      <c r="F260" s="212"/>
      <c r="G260" s="212"/>
      <c r="J260" s="212"/>
      <c r="K260" s="237"/>
      <c r="L260" s="212"/>
      <c r="M260" s="212"/>
    </row>
    <row r="261" spans="1:13" ht="12.75" customHeight="1">
      <c r="A261" s="212"/>
      <c r="B261" s="212"/>
      <c r="C261" s="212"/>
      <c r="D261" s="236"/>
      <c r="E261" s="212"/>
      <c r="F261" s="212"/>
      <c r="G261" s="212"/>
      <c r="J261" s="212"/>
      <c r="K261" s="237"/>
      <c r="L261" s="212"/>
      <c r="M261" s="212"/>
    </row>
    <row r="262" spans="1:13" ht="12.75" customHeight="1">
      <c r="A262" s="212"/>
      <c r="B262" s="212"/>
      <c r="C262" s="212"/>
      <c r="D262" s="236"/>
      <c r="E262" s="212"/>
      <c r="F262" s="212"/>
      <c r="G262" s="212"/>
      <c r="J262" s="212"/>
      <c r="K262" s="237"/>
      <c r="L262" s="212"/>
      <c r="M262" s="212"/>
    </row>
    <row r="263" spans="1:13" ht="12.75" customHeight="1">
      <c r="A263" s="212"/>
      <c r="B263" s="212"/>
      <c r="C263" s="212"/>
      <c r="D263" s="236"/>
      <c r="E263" s="212"/>
      <c r="F263" s="212"/>
      <c r="G263" s="212"/>
      <c r="J263" s="212"/>
      <c r="K263" s="237"/>
      <c r="L263" s="212"/>
      <c r="M263" s="212"/>
    </row>
    <row r="264" spans="1:13" ht="12.75" customHeight="1">
      <c r="A264" s="212"/>
      <c r="B264" s="212"/>
      <c r="C264" s="212"/>
      <c r="D264" s="236"/>
      <c r="E264" s="212"/>
      <c r="F264" s="212"/>
      <c r="G264" s="212"/>
      <c r="J264" s="212"/>
      <c r="K264" s="237"/>
      <c r="L264" s="212"/>
      <c r="M264" s="212"/>
    </row>
    <row r="265" spans="1:13" ht="12.75" customHeight="1">
      <c r="A265" s="212"/>
      <c r="B265" s="212"/>
      <c r="C265" s="212"/>
      <c r="D265" s="236"/>
      <c r="E265" s="212"/>
      <c r="F265" s="212"/>
      <c r="G265" s="212"/>
      <c r="J265" s="212"/>
      <c r="K265" s="237"/>
      <c r="L265" s="212"/>
      <c r="M265" s="212"/>
    </row>
    <row r="266" spans="1:13" ht="12.75" customHeight="1">
      <c r="A266" s="212"/>
      <c r="B266" s="212"/>
      <c r="C266" s="212"/>
      <c r="D266" s="236"/>
      <c r="E266" s="212"/>
      <c r="F266" s="212"/>
      <c r="G266" s="212"/>
      <c r="J266" s="212"/>
      <c r="K266" s="237"/>
      <c r="L266" s="212"/>
      <c r="M266" s="212"/>
    </row>
    <row r="267" spans="1:13" ht="12.75" customHeight="1">
      <c r="A267" s="212"/>
      <c r="B267" s="212"/>
      <c r="C267" s="212"/>
      <c r="D267" s="236"/>
      <c r="E267" s="212"/>
      <c r="F267" s="212"/>
      <c r="G267" s="212"/>
      <c r="J267" s="212"/>
      <c r="K267" s="237"/>
      <c r="L267" s="212"/>
      <c r="M267" s="212"/>
    </row>
    <row r="268" spans="1:13" ht="12.75" customHeight="1">
      <c r="A268" s="212"/>
      <c r="B268" s="212"/>
      <c r="C268" s="212"/>
      <c r="D268" s="236"/>
      <c r="E268" s="212"/>
      <c r="F268" s="212"/>
      <c r="G268" s="212"/>
      <c r="J268" s="212"/>
      <c r="K268" s="237"/>
      <c r="L268" s="212"/>
      <c r="M268" s="212"/>
    </row>
    <row r="269" spans="1:13" ht="12.75" customHeight="1">
      <c r="A269" s="212"/>
      <c r="B269" s="212"/>
      <c r="C269" s="212"/>
      <c r="D269" s="236"/>
      <c r="E269" s="212"/>
      <c r="F269" s="212"/>
      <c r="G269" s="212"/>
      <c r="J269" s="212"/>
      <c r="K269" s="237"/>
      <c r="L269" s="212"/>
      <c r="M269" s="212"/>
    </row>
    <row r="270" spans="1:13" ht="12.75" customHeight="1">
      <c r="A270" s="212"/>
      <c r="B270" s="212"/>
      <c r="C270" s="212"/>
      <c r="D270" s="236"/>
      <c r="E270" s="212"/>
      <c r="F270" s="212"/>
      <c r="G270" s="212"/>
      <c r="J270" s="212"/>
      <c r="K270" s="237"/>
      <c r="L270" s="212"/>
      <c r="M270" s="212"/>
    </row>
    <row r="271" spans="1:13" ht="12.75" customHeight="1">
      <c r="A271" s="212"/>
      <c r="B271" s="212"/>
      <c r="C271" s="212"/>
      <c r="D271" s="236"/>
      <c r="E271" s="212"/>
      <c r="F271" s="212"/>
      <c r="G271" s="212"/>
      <c r="J271" s="212"/>
      <c r="K271" s="237"/>
      <c r="L271" s="212"/>
      <c r="M271" s="212"/>
    </row>
    <row r="272" spans="1:13" ht="12.75" customHeight="1">
      <c r="A272" s="212"/>
      <c r="B272" s="212"/>
      <c r="C272" s="212"/>
      <c r="D272" s="236"/>
      <c r="E272" s="212"/>
      <c r="F272" s="212"/>
      <c r="G272" s="212"/>
      <c r="J272" s="212"/>
      <c r="K272" s="237"/>
      <c r="L272" s="212"/>
      <c r="M272" s="212"/>
    </row>
    <row r="273" spans="1:13" ht="12.75" customHeight="1">
      <c r="A273" s="212"/>
      <c r="B273" s="212"/>
      <c r="C273" s="212"/>
      <c r="D273" s="236"/>
      <c r="E273" s="212"/>
      <c r="F273" s="212"/>
      <c r="G273" s="212"/>
      <c r="J273" s="212"/>
      <c r="K273" s="237"/>
      <c r="L273" s="212"/>
      <c r="M273" s="212"/>
    </row>
    <row r="274" spans="1:13" ht="12.75" customHeight="1">
      <c r="A274" s="212"/>
      <c r="B274" s="212"/>
      <c r="C274" s="212"/>
      <c r="D274" s="236"/>
      <c r="E274" s="212"/>
      <c r="F274" s="212"/>
      <c r="G274" s="212"/>
      <c r="J274" s="212"/>
      <c r="K274" s="237"/>
      <c r="L274" s="212"/>
      <c r="M274" s="212"/>
    </row>
    <row r="275" spans="1:13" ht="12.75" customHeight="1">
      <c r="A275" s="212"/>
      <c r="B275" s="212"/>
      <c r="C275" s="212"/>
      <c r="D275" s="236"/>
      <c r="E275" s="212"/>
      <c r="F275" s="212"/>
      <c r="G275" s="212"/>
      <c r="J275" s="212"/>
      <c r="K275" s="237"/>
      <c r="L275" s="212"/>
      <c r="M275" s="212"/>
    </row>
    <row r="276" spans="1:13" ht="12.75" customHeight="1">
      <c r="A276" s="212"/>
      <c r="B276" s="212"/>
      <c r="C276" s="212"/>
      <c r="D276" s="236"/>
      <c r="E276" s="212"/>
      <c r="F276" s="212"/>
      <c r="G276" s="212"/>
      <c r="J276" s="212"/>
      <c r="K276" s="237"/>
      <c r="L276" s="212"/>
      <c r="M276" s="212"/>
    </row>
    <row r="277" spans="1:13" ht="12.75" customHeight="1">
      <c r="A277" s="212"/>
      <c r="B277" s="212"/>
      <c r="C277" s="212"/>
      <c r="D277" s="236"/>
      <c r="E277" s="212"/>
      <c r="F277" s="212"/>
      <c r="G277" s="212"/>
      <c r="J277" s="212"/>
      <c r="K277" s="237"/>
      <c r="L277" s="212"/>
      <c r="M277" s="212"/>
    </row>
    <row r="278" spans="1:13" ht="12.75" customHeight="1">
      <c r="A278" s="212"/>
      <c r="B278" s="212"/>
      <c r="C278" s="212"/>
      <c r="D278" s="236"/>
      <c r="E278" s="212"/>
      <c r="F278" s="212"/>
      <c r="G278" s="212"/>
      <c r="J278" s="212"/>
      <c r="K278" s="237"/>
      <c r="L278" s="212"/>
      <c r="M278" s="212"/>
    </row>
    <row r="279" spans="1:13" ht="12.75" customHeight="1">
      <c r="A279" s="212"/>
      <c r="B279" s="212"/>
      <c r="C279" s="212"/>
      <c r="D279" s="236"/>
      <c r="E279" s="212"/>
      <c r="F279" s="212"/>
      <c r="G279" s="212"/>
      <c r="J279" s="212"/>
      <c r="K279" s="237"/>
      <c r="L279" s="212"/>
      <c r="M279" s="212"/>
    </row>
    <row r="280" spans="1:13" ht="12.75" customHeight="1">
      <c r="A280" s="212"/>
      <c r="B280" s="212"/>
      <c r="C280" s="212"/>
      <c r="D280" s="236"/>
      <c r="E280" s="212"/>
      <c r="F280" s="212"/>
      <c r="G280" s="212"/>
      <c r="J280" s="212"/>
      <c r="K280" s="237"/>
      <c r="L280" s="212"/>
      <c r="M280" s="212"/>
    </row>
    <row r="281" spans="1:13" ht="12.75" customHeight="1">
      <c r="A281" s="212"/>
      <c r="B281" s="212"/>
      <c r="C281" s="212"/>
      <c r="D281" s="236"/>
      <c r="E281" s="212"/>
      <c r="F281" s="212"/>
      <c r="G281" s="212"/>
      <c r="J281" s="212"/>
      <c r="K281" s="237"/>
      <c r="L281" s="212"/>
      <c r="M281" s="212"/>
    </row>
    <row r="282" spans="1:13" ht="12.75" customHeight="1">
      <c r="A282" s="212"/>
      <c r="B282" s="212"/>
      <c r="C282" s="212"/>
      <c r="D282" s="236"/>
      <c r="E282" s="212"/>
      <c r="F282" s="212"/>
      <c r="G282" s="212"/>
      <c r="J282" s="212"/>
      <c r="K282" s="237"/>
      <c r="L282" s="212"/>
      <c r="M282" s="212"/>
    </row>
    <row r="283" spans="1:13" ht="12.75" customHeight="1">
      <c r="A283" s="212"/>
      <c r="B283" s="212"/>
      <c r="C283" s="212"/>
      <c r="D283" s="236"/>
      <c r="E283" s="212"/>
      <c r="F283" s="212"/>
      <c r="G283" s="212"/>
      <c r="J283" s="212"/>
      <c r="K283" s="237"/>
      <c r="L283" s="212"/>
      <c r="M283" s="212"/>
    </row>
    <row r="284" spans="1:13" ht="12.75" customHeight="1">
      <c r="A284" s="212"/>
      <c r="B284" s="212"/>
      <c r="C284" s="212"/>
      <c r="D284" s="236"/>
      <c r="E284" s="212"/>
      <c r="F284" s="212"/>
      <c r="G284" s="212"/>
      <c r="J284" s="212"/>
      <c r="K284" s="237"/>
      <c r="L284" s="212"/>
      <c r="M284" s="212"/>
    </row>
    <row r="285" spans="1:13" ht="12.75" customHeight="1">
      <c r="A285" s="212"/>
      <c r="B285" s="212"/>
      <c r="C285" s="212"/>
      <c r="D285" s="236"/>
      <c r="E285" s="212"/>
      <c r="F285" s="212"/>
      <c r="G285" s="212"/>
      <c r="J285" s="212"/>
      <c r="K285" s="237"/>
      <c r="L285" s="212"/>
      <c r="M285" s="212"/>
    </row>
    <row r="286" spans="1:13" ht="12.75" customHeight="1">
      <c r="A286" s="212"/>
      <c r="B286" s="212"/>
      <c r="C286" s="212"/>
      <c r="D286" s="236"/>
      <c r="E286" s="212"/>
      <c r="F286" s="212"/>
      <c r="G286" s="212"/>
      <c r="J286" s="212"/>
      <c r="K286" s="237"/>
      <c r="L286" s="212"/>
      <c r="M286" s="212"/>
    </row>
    <row r="287" spans="1:13" ht="12.75" customHeight="1">
      <c r="A287" s="212"/>
      <c r="B287" s="212"/>
      <c r="C287" s="212"/>
      <c r="D287" s="236"/>
      <c r="E287" s="212"/>
      <c r="F287" s="212"/>
      <c r="G287" s="212"/>
      <c r="J287" s="212"/>
      <c r="K287" s="237"/>
      <c r="L287" s="212"/>
      <c r="M287" s="212"/>
    </row>
    <row r="288" spans="1:13" ht="12.75" customHeight="1">
      <c r="A288" s="212"/>
      <c r="B288" s="212"/>
      <c r="C288" s="212"/>
      <c r="D288" s="236"/>
      <c r="E288" s="212"/>
      <c r="F288" s="212"/>
      <c r="G288" s="212"/>
      <c r="J288" s="212"/>
      <c r="K288" s="237"/>
      <c r="L288" s="212"/>
      <c r="M288" s="212"/>
    </row>
    <row r="289" spans="1:13" ht="12.75" customHeight="1">
      <c r="A289" s="212"/>
      <c r="B289" s="212"/>
      <c r="C289" s="212"/>
      <c r="D289" s="236"/>
      <c r="E289" s="212"/>
      <c r="F289" s="212"/>
      <c r="G289" s="212"/>
      <c r="J289" s="212"/>
      <c r="K289" s="237"/>
      <c r="L289" s="212"/>
      <c r="M289" s="212"/>
    </row>
    <row r="290" spans="1:13" ht="12.75" customHeight="1">
      <c r="A290" s="212"/>
      <c r="B290" s="212"/>
      <c r="C290" s="212"/>
      <c r="D290" s="236"/>
      <c r="E290" s="212"/>
      <c r="F290" s="212"/>
      <c r="G290" s="212"/>
      <c r="J290" s="212"/>
      <c r="K290" s="237"/>
      <c r="L290" s="212"/>
      <c r="M290" s="212"/>
    </row>
    <row r="291" spans="1:13" ht="12.75" customHeight="1">
      <c r="A291" s="212"/>
      <c r="B291" s="212"/>
      <c r="C291" s="212"/>
      <c r="D291" s="236"/>
      <c r="E291" s="212"/>
      <c r="F291" s="212"/>
      <c r="G291" s="212"/>
      <c r="J291" s="212"/>
      <c r="K291" s="237"/>
      <c r="L291" s="212"/>
      <c r="M291" s="212"/>
    </row>
    <row r="292" spans="1:13" ht="12.75" customHeight="1">
      <c r="A292" s="212"/>
      <c r="B292" s="212"/>
      <c r="C292" s="212"/>
      <c r="D292" s="236"/>
      <c r="E292" s="212"/>
      <c r="F292" s="212"/>
      <c r="G292" s="212"/>
      <c r="J292" s="212"/>
      <c r="K292" s="237"/>
      <c r="L292" s="212"/>
      <c r="M292" s="212"/>
    </row>
    <row r="293" spans="1:13" ht="12.75" customHeight="1">
      <c r="A293" s="212"/>
      <c r="B293" s="212"/>
      <c r="C293" s="212"/>
      <c r="D293" s="236"/>
      <c r="E293" s="212"/>
      <c r="F293" s="212"/>
      <c r="G293" s="212"/>
      <c r="J293" s="212"/>
      <c r="K293" s="237"/>
      <c r="L293" s="212"/>
      <c r="M293" s="212"/>
    </row>
    <row r="294" spans="1:13" ht="12.75" customHeight="1">
      <c r="A294" s="212"/>
      <c r="B294" s="212"/>
      <c r="C294" s="212"/>
      <c r="D294" s="236"/>
      <c r="E294" s="212"/>
      <c r="F294" s="212"/>
      <c r="G294" s="212"/>
      <c r="J294" s="212"/>
      <c r="K294" s="237"/>
      <c r="L294" s="212"/>
      <c r="M294" s="212"/>
    </row>
    <row r="295" spans="1:13" ht="12.75" customHeight="1">
      <c r="A295" s="212"/>
      <c r="B295" s="212"/>
      <c r="C295" s="212"/>
      <c r="D295" s="236"/>
      <c r="E295" s="212"/>
      <c r="F295" s="212"/>
      <c r="G295" s="212"/>
      <c r="J295" s="212"/>
      <c r="K295" s="237"/>
      <c r="L295" s="212"/>
      <c r="M295" s="212"/>
    </row>
    <row r="296" spans="1:13" ht="12.75" customHeight="1">
      <c r="A296" s="212"/>
      <c r="B296" s="212"/>
      <c r="C296" s="212"/>
      <c r="D296" s="236"/>
      <c r="E296" s="212"/>
      <c r="F296" s="212"/>
      <c r="G296" s="212"/>
      <c r="J296" s="212"/>
      <c r="K296" s="237"/>
      <c r="L296" s="212"/>
      <c r="M296" s="212"/>
    </row>
    <row r="297" spans="1:13" ht="12.75" customHeight="1">
      <c r="A297" s="212"/>
      <c r="B297" s="212"/>
      <c r="C297" s="212"/>
      <c r="D297" s="236"/>
      <c r="E297" s="212"/>
      <c r="F297" s="212"/>
      <c r="G297" s="212"/>
      <c r="J297" s="212"/>
      <c r="K297" s="237"/>
      <c r="L297" s="212"/>
      <c r="M297" s="212"/>
    </row>
    <row r="298" spans="1:13" ht="12.75" customHeight="1">
      <c r="A298" s="212"/>
      <c r="B298" s="212"/>
      <c r="C298" s="212"/>
      <c r="D298" s="236"/>
      <c r="E298" s="212"/>
      <c r="F298" s="212"/>
      <c r="G298" s="212"/>
      <c r="J298" s="212"/>
      <c r="K298" s="237"/>
      <c r="L298" s="212"/>
      <c r="M298" s="212"/>
    </row>
    <row r="299" spans="1:13" ht="12.75" customHeight="1">
      <c r="A299" s="212"/>
      <c r="B299" s="212"/>
      <c r="C299" s="212"/>
      <c r="D299" s="236"/>
      <c r="E299" s="212"/>
      <c r="F299" s="212"/>
      <c r="G299" s="212"/>
      <c r="J299" s="212"/>
      <c r="K299" s="237"/>
      <c r="L299" s="212"/>
      <c r="M299" s="212"/>
    </row>
    <row r="300" spans="1:13" ht="12.75" customHeight="1">
      <c r="A300" s="212"/>
      <c r="B300" s="212"/>
      <c r="C300" s="212"/>
      <c r="D300" s="236"/>
      <c r="E300" s="212"/>
      <c r="F300" s="212"/>
      <c r="G300" s="212"/>
      <c r="J300" s="212"/>
      <c r="K300" s="237"/>
      <c r="L300" s="212"/>
      <c r="M300" s="212"/>
    </row>
    <row r="301" spans="1:13" ht="12.75" customHeight="1">
      <c r="A301" s="212"/>
      <c r="B301" s="212"/>
      <c r="C301" s="212"/>
      <c r="D301" s="236"/>
      <c r="E301" s="212"/>
      <c r="F301" s="212"/>
      <c r="G301" s="212"/>
      <c r="J301" s="212"/>
      <c r="K301" s="237"/>
      <c r="L301" s="212"/>
      <c r="M301" s="212"/>
    </row>
    <row r="302" spans="1:13" ht="12.75" customHeight="1">
      <c r="A302" s="212"/>
      <c r="B302" s="212"/>
      <c r="C302" s="212"/>
      <c r="D302" s="236"/>
      <c r="E302" s="212"/>
      <c r="F302" s="212"/>
      <c r="G302" s="212"/>
      <c r="J302" s="212"/>
      <c r="K302" s="237"/>
      <c r="L302" s="212"/>
      <c r="M302" s="212"/>
    </row>
    <row r="303" spans="1:13" ht="12.75" customHeight="1">
      <c r="A303" s="212"/>
      <c r="B303" s="212"/>
      <c r="C303" s="212"/>
      <c r="D303" s="236"/>
      <c r="E303" s="212"/>
      <c r="F303" s="212"/>
      <c r="G303" s="212"/>
      <c r="J303" s="212"/>
      <c r="K303" s="237"/>
      <c r="L303" s="212"/>
      <c r="M303" s="212"/>
    </row>
    <row r="304" spans="1:13" ht="12.75" customHeight="1">
      <c r="A304" s="212"/>
      <c r="B304" s="212"/>
      <c r="C304" s="212"/>
      <c r="D304" s="236"/>
      <c r="E304" s="212"/>
      <c r="F304" s="212"/>
      <c r="G304" s="212"/>
      <c r="J304" s="212"/>
      <c r="K304" s="237"/>
      <c r="L304" s="212"/>
      <c r="M304" s="212"/>
    </row>
    <row r="305" spans="1:13" ht="12.75" customHeight="1">
      <c r="A305" s="212"/>
      <c r="B305" s="212"/>
      <c r="C305" s="212"/>
      <c r="D305" s="236"/>
      <c r="E305" s="212"/>
      <c r="F305" s="212"/>
      <c r="G305" s="212"/>
      <c r="J305" s="212"/>
      <c r="K305" s="237"/>
      <c r="L305" s="212"/>
      <c r="M305" s="212"/>
    </row>
    <row r="306" spans="1:13" ht="12.75" customHeight="1">
      <c r="A306" s="212"/>
      <c r="B306" s="212"/>
      <c r="C306" s="212"/>
      <c r="D306" s="236"/>
      <c r="E306" s="212"/>
      <c r="F306" s="212"/>
      <c r="G306" s="212"/>
      <c r="J306" s="212"/>
      <c r="K306" s="237"/>
      <c r="L306" s="212"/>
      <c r="M306" s="212"/>
    </row>
    <row r="307" spans="1:13" ht="12.75" customHeight="1">
      <c r="A307" s="212"/>
      <c r="B307" s="212"/>
      <c r="C307" s="212"/>
      <c r="D307" s="236"/>
      <c r="E307" s="212"/>
      <c r="F307" s="212"/>
      <c r="G307" s="212"/>
      <c r="J307" s="212"/>
      <c r="K307" s="237"/>
      <c r="L307" s="212"/>
      <c r="M307" s="212"/>
    </row>
    <row r="308" spans="1:13" ht="12.75" customHeight="1">
      <c r="A308" s="212"/>
      <c r="B308" s="212"/>
      <c r="C308" s="212"/>
      <c r="D308" s="236"/>
      <c r="E308" s="212"/>
      <c r="F308" s="212"/>
      <c r="G308" s="212"/>
      <c r="J308" s="212"/>
      <c r="K308" s="237"/>
      <c r="L308" s="212"/>
      <c r="M308" s="212"/>
    </row>
    <row r="309" spans="1:13" ht="12.75" customHeight="1">
      <c r="A309" s="212"/>
      <c r="B309" s="212"/>
      <c r="C309" s="212"/>
      <c r="D309" s="236"/>
      <c r="E309" s="212"/>
      <c r="F309" s="212"/>
      <c r="G309" s="212"/>
      <c r="J309" s="212"/>
      <c r="K309" s="237"/>
      <c r="L309" s="212"/>
      <c r="M309" s="212"/>
    </row>
    <row r="310" spans="1:13" ht="12.75" customHeight="1">
      <c r="A310" s="212"/>
      <c r="B310" s="212"/>
      <c r="C310" s="212"/>
      <c r="D310" s="236"/>
      <c r="E310" s="212"/>
      <c r="F310" s="212"/>
      <c r="G310" s="212"/>
      <c r="J310" s="212"/>
      <c r="K310" s="237"/>
      <c r="L310" s="212"/>
      <c r="M310" s="212"/>
    </row>
    <row r="311" spans="1:13" ht="12.75" customHeight="1">
      <c r="A311" s="212"/>
      <c r="B311" s="212"/>
      <c r="C311" s="212"/>
      <c r="D311" s="236"/>
      <c r="E311" s="212"/>
      <c r="F311" s="212"/>
      <c r="G311" s="212"/>
      <c r="J311" s="212"/>
      <c r="K311" s="237"/>
      <c r="L311" s="212"/>
      <c r="M311" s="212"/>
    </row>
    <row r="312" spans="1:13" ht="12.75" customHeight="1">
      <c r="A312" s="212"/>
      <c r="B312" s="212"/>
      <c r="C312" s="212"/>
      <c r="D312" s="236"/>
      <c r="E312" s="212"/>
      <c r="F312" s="212"/>
      <c r="G312" s="212"/>
      <c r="J312" s="212"/>
      <c r="K312" s="237"/>
      <c r="L312" s="212"/>
      <c r="M312" s="212"/>
    </row>
    <row r="313" spans="1:13" ht="12.75" customHeight="1">
      <c r="A313" s="212"/>
      <c r="B313" s="212"/>
      <c r="C313" s="212"/>
      <c r="D313" s="236"/>
      <c r="E313" s="212"/>
      <c r="F313" s="212"/>
      <c r="G313" s="212"/>
      <c r="J313" s="212"/>
      <c r="K313" s="237"/>
      <c r="L313" s="212"/>
      <c r="M313" s="212"/>
    </row>
    <row r="314" spans="1:13" ht="12.75" customHeight="1">
      <c r="A314" s="212"/>
      <c r="B314" s="212"/>
      <c r="C314" s="212"/>
      <c r="D314" s="236"/>
      <c r="E314" s="212"/>
      <c r="F314" s="212"/>
      <c r="G314" s="212"/>
      <c r="J314" s="212"/>
      <c r="K314" s="237"/>
      <c r="L314" s="212"/>
      <c r="M314" s="212"/>
    </row>
    <row r="315" spans="1:13" ht="12.75" customHeight="1">
      <c r="A315" s="212"/>
      <c r="B315" s="212"/>
      <c r="C315" s="212"/>
      <c r="D315" s="236"/>
      <c r="E315" s="212"/>
      <c r="F315" s="212"/>
      <c r="G315" s="212"/>
      <c r="J315" s="212"/>
      <c r="K315" s="237"/>
      <c r="L315" s="212"/>
      <c r="M315" s="212"/>
    </row>
    <row r="316" spans="1:13" ht="12.75" customHeight="1">
      <c r="A316" s="212"/>
      <c r="B316" s="212"/>
      <c r="C316" s="212"/>
      <c r="D316" s="236"/>
      <c r="E316" s="212"/>
      <c r="F316" s="212"/>
      <c r="G316" s="212"/>
      <c r="J316" s="212"/>
      <c r="K316" s="237"/>
      <c r="L316" s="212"/>
      <c r="M316" s="212"/>
    </row>
    <row r="317" spans="1:13" ht="12.75" customHeight="1">
      <c r="A317" s="212"/>
      <c r="B317" s="212"/>
      <c r="C317" s="212"/>
      <c r="D317" s="236"/>
      <c r="E317" s="212"/>
      <c r="F317" s="212"/>
      <c r="G317" s="212"/>
      <c r="J317" s="212"/>
      <c r="K317" s="237"/>
      <c r="L317" s="212"/>
      <c r="M317" s="212"/>
    </row>
    <row r="318" spans="1:13" ht="12.75" customHeight="1">
      <c r="A318" s="212"/>
      <c r="B318" s="212"/>
      <c r="C318" s="212"/>
      <c r="D318" s="236"/>
      <c r="E318" s="212"/>
      <c r="F318" s="212"/>
      <c r="G318" s="212"/>
      <c r="J318" s="212"/>
      <c r="K318" s="237"/>
      <c r="L318" s="212"/>
      <c r="M318" s="212"/>
    </row>
    <row r="319" spans="1:13" ht="12.75" customHeight="1">
      <c r="A319" s="212"/>
      <c r="B319" s="212"/>
      <c r="C319" s="212"/>
      <c r="D319" s="236"/>
      <c r="E319" s="212"/>
      <c r="F319" s="212"/>
      <c r="G319" s="212"/>
      <c r="J319" s="212"/>
      <c r="K319" s="237"/>
      <c r="L319" s="212"/>
      <c r="M319" s="212"/>
    </row>
    <row r="320" spans="1:13" ht="12.75" customHeight="1">
      <c r="A320" s="212"/>
      <c r="B320" s="212"/>
      <c r="C320" s="212"/>
      <c r="D320" s="236"/>
      <c r="E320" s="212"/>
      <c r="F320" s="212"/>
      <c r="G320" s="212"/>
      <c r="J320" s="212"/>
      <c r="K320" s="237"/>
      <c r="L320" s="212"/>
      <c r="M320" s="212"/>
    </row>
    <row r="321" spans="1:13" ht="12.75" customHeight="1">
      <c r="A321" s="212"/>
      <c r="B321" s="212"/>
      <c r="C321" s="212"/>
      <c r="D321" s="236"/>
      <c r="E321" s="212"/>
      <c r="F321" s="212"/>
      <c r="G321" s="212"/>
      <c r="J321" s="212"/>
      <c r="K321" s="237"/>
      <c r="L321" s="212"/>
      <c r="M321" s="212"/>
    </row>
    <row r="322" spans="1:13" ht="12.75" customHeight="1">
      <c r="A322" s="212"/>
      <c r="B322" s="212"/>
      <c r="C322" s="212"/>
      <c r="D322" s="236"/>
      <c r="E322" s="212"/>
      <c r="F322" s="212"/>
      <c r="G322" s="212"/>
      <c r="J322" s="212"/>
      <c r="K322" s="237"/>
      <c r="L322" s="212"/>
      <c r="M322" s="212"/>
    </row>
    <row r="323" spans="1:13" ht="12.75" customHeight="1">
      <c r="A323" s="212"/>
      <c r="B323" s="212"/>
      <c r="C323" s="212"/>
      <c r="D323" s="236"/>
      <c r="E323" s="212"/>
      <c r="F323" s="212"/>
      <c r="G323" s="212"/>
      <c r="J323" s="212"/>
      <c r="K323" s="237"/>
      <c r="L323" s="212"/>
      <c r="M323" s="212"/>
    </row>
    <row r="324" spans="1:13" ht="12.75" customHeight="1">
      <c r="A324" s="212"/>
      <c r="B324" s="212"/>
      <c r="C324" s="212"/>
      <c r="D324" s="236"/>
      <c r="E324" s="212"/>
      <c r="F324" s="212"/>
      <c r="G324" s="212"/>
      <c r="J324" s="212"/>
      <c r="K324" s="237"/>
      <c r="L324" s="212"/>
      <c r="M324" s="212"/>
    </row>
    <row r="325" spans="1:13" ht="12.75" customHeight="1">
      <c r="A325" s="212"/>
      <c r="B325" s="212"/>
      <c r="C325" s="212"/>
      <c r="D325" s="236"/>
      <c r="E325" s="212"/>
      <c r="F325" s="212"/>
      <c r="G325" s="212"/>
      <c r="J325" s="212"/>
      <c r="K325" s="237"/>
      <c r="L325" s="212"/>
      <c r="M325" s="212"/>
    </row>
    <row r="326" spans="1:13" ht="12.75" customHeight="1">
      <c r="A326" s="212"/>
      <c r="B326" s="212"/>
      <c r="C326" s="212"/>
      <c r="D326" s="236"/>
      <c r="E326" s="212"/>
      <c r="F326" s="212"/>
      <c r="G326" s="212"/>
      <c r="J326" s="212"/>
      <c r="K326" s="237"/>
      <c r="L326" s="212"/>
      <c r="M326" s="212"/>
    </row>
    <row r="327" spans="1:13" ht="12.75" customHeight="1">
      <c r="A327" s="212"/>
      <c r="B327" s="212"/>
      <c r="C327" s="212"/>
      <c r="D327" s="236"/>
      <c r="E327" s="212"/>
      <c r="F327" s="212"/>
      <c r="G327" s="212"/>
      <c r="J327" s="212"/>
      <c r="K327" s="237"/>
      <c r="L327" s="212"/>
      <c r="M327" s="212"/>
    </row>
    <row r="328" spans="1:13" ht="12.75" customHeight="1">
      <c r="A328" s="212"/>
      <c r="B328" s="212"/>
      <c r="C328" s="212"/>
      <c r="D328" s="236"/>
      <c r="E328" s="212"/>
      <c r="F328" s="212"/>
      <c r="G328" s="212"/>
      <c r="J328" s="212"/>
      <c r="K328" s="237"/>
      <c r="L328" s="212"/>
      <c r="M328" s="212"/>
    </row>
    <row r="329" spans="1:13" ht="12.75" customHeight="1">
      <c r="A329" s="212"/>
      <c r="B329" s="212"/>
      <c r="C329" s="212"/>
      <c r="D329" s="236"/>
      <c r="E329" s="212"/>
      <c r="F329" s="212"/>
      <c r="G329" s="212"/>
      <c r="J329" s="212"/>
      <c r="K329" s="237"/>
      <c r="L329" s="212"/>
      <c r="M329" s="212"/>
    </row>
    <row r="330" spans="1:13" ht="12.75" customHeight="1">
      <c r="A330" s="212"/>
      <c r="B330" s="212"/>
      <c r="C330" s="212"/>
      <c r="D330" s="236"/>
      <c r="E330" s="212"/>
      <c r="F330" s="212"/>
      <c r="G330" s="212"/>
      <c r="J330" s="212"/>
      <c r="K330" s="237"/>
      <c r="L330" s="212"/>
      <c r="M330" s="212"/>
    </row>
    <row r="331" spans="1:13" ht="12.75" customHeight="1">
      <c r="A331" s="212"/>
      <c r="B331" s="212"/>
      <c r="C331" s="212"/>
      <c r="D331" s="236"/>
      <c r="E331" s="212"/>
      <c r="F331" s="212"/>
      <c r="G331" s="212"/>
      <c r="J331" s="212"/>
      <c r="K331" s="237"/>
      <c r="L331" s="212"/>
      <c r="M331" s="212"/>
    </row>
    <row r="332" spans="1:13" ht="12.75" customHeight="1">
      <c r="A332" s="212"/>
      <c r="B332" s="212"/>
      <c r="C332" s="212"/>
      <c r="D332" s="236"/>
      <c r="E332" s="212"/>
      <c r="F332" s="212"/>
      <c r="G332" s="212"/>
      <c r="J332" s="212"/>
      <c r="K332" s="237"/>
      <c r="L332" s="212"/>
      <c r="M332" s="212"/>
    </row>
    <row r="333" spans="1:13" ht="12.75" customHeight="1">
      <c r="A333" s="212"/>
      <c r="B333" s="212"/>
      <c r="C333" s="212"/>
      <c r="D333" s="236"/>
      <c r="E333" s="212"/>
      <c r="F333" s="212"/>
      <c r="G333" s="212"/>
      <c r="J333" s="212"/>
      <c r="K333" s="237"/>
      <c r="L333" s="212"/>
      <c r="M333" s="212"/>
    </row>
    <row r="334" spans="1:13" ht="12.75" customHeight="1">
      <c r="A334" s="212"/>
      <c r="B334" s="212"/>
      <c r="C334" s="212"/>
      <c r="D334" s="236"/>
      <c r="E334" s="212"/>
      <c r="F334" s="212"/>
      <c r="G334" s="212"/>
      <c r="J334" s="212"/>
      <c r="K334" s="237"/>
      <c r="L334" s="212"/>
      <c r="M334" s="212"/>
    </row>
    <row r="335" spans="1:13" ht="12.75" customHeight="1">
      <c r="A335" s="212"/>
      <c r="B335" s="212"/>
      <c r="C335" s="212"/>
      <c r="D335" s="236"/>
      <c r="E335" s="212"/>
      <c r="F335" s="212"/>
      <c r="G335" s="212"/>
      <c r="J335" s="212"/>
      <c r="K335" s="237"/>
      <c r="L335" s="212"/>
      <c r="M335" s="212"/>
    </row>
    <row r="336" spans="1:13" ht="12.75" customHeight="1">
      <c r="A336" s="212"/>
      <c r="B336" s="212"/>
      <c r="C336" s="212"/>
      <c r="D336" s="236"/>
      <c r="E336" s="212"/>
      <c r="F336" s="212"/>
      <c r="G336" s="212"/>
      <c r="J336" s="212"/>
      <c r="K336" s="237"/>
      <c r="L336" s="212"/>
      <c r="M336" s="212"/>
    </row>
    <row r="337" spans="1:13" ht="12.75" customHeight="1">
      <c r="A337" s="212"/>
      <c r="B337" s="212"/>
      <c r="C337" s="212"/>
      <c r="D337" s="236"/>
      <c r="E337" s="212"/>
      <c r="F337" s="212"/>
      <c r="G337" s="212"/>
      <c r="J337" s="212"/>
      <c r="K337" s="237"/>
      <c r="L337" s="212"/>
      <c r="M337" s="212"/>
    </row>
    <row r="338" spans="1:13" ht="12.75" customHeight="1">
      <c r="A338" s="212"/>
      <c r="B338" s="212"/>
      <c r="C338" s="212"/>
      <c r="D338" s="236"/>
      <c r="E338" s="212"/>
      <c r="F338" s="212"/>
      <c r="G338" s="212"/>
      <c r="J338" s="212"/>
      <c r="K338" s="237"/>
      <c r="L338" s="212"/>
      <c r="M338" s="212"/>
    </row>
    <row r="339" spans="1:13" ht="12.75" customHeight="1">
      <c r="A339" s="212"/>
      <c r="B339" s="212"/>
      <c r="C339" s="212"/>
      <c r="D339" s="236"/>
      <c r="E339" s="212"/>
      <c r="F339" s="212"/>
      <c r="G339" s="212"/>
      <c r="J339" s="212"/>
      <c r="K339" s="237"/>
      <c r="L339" s="212"/>
      <c r="M339" s="212"/>
    </row>
    <row r="340" spans="1:13" ht="12.75" customHeight="1">
      <c r="A340" s="212"/>
      <c r="B340" s="212"/>
      <c r="C340" s="212"/>
      <c r="D340" s="236"/>
      <c r="E340" s="212"/>
      <c r="F340" s="212"/>
      <c r="G340" s="212"/>
      <c r="J340" s="212"/>
      <c r="K340" s="237"/>
      <c r="L340" s="212"/>
      <c r="M340" s="212"/>
    </row>
    <row r="341" spans="1:13" ht="12.75" customHeight="1">
      <c r="A341" s="212"/>
      <c r="B341" s="212"/>
      <c r="C341" s="212"/>
      <c r="D341" s="236"/>
      <c r="E341" s="212"/>
      <c r="F341" s="212"/>
      <c r="G341" s="212"/>
      <c r="J341" s="212"/>
      <c r="K341" s="237"/>
      <c r="L341" s="212"/>
      <c r="M341" s="212"/>
    </row>
    <row r="342" spans="1:13" ht="12.75" customHeight="1">
      <c r="A342" s="212"/>
      <c r="B342" s="212"/>
      <c r="C342" s="212"/>
      <c r="D342" s="236"/>
      <c r="E342" s="212"/>
      <c r="F342" s="212"/>
      <c r="G342" s="212"/>
      <c r="J342" s="212"/>
      <c r="K342" s="237"/>
      <c r="L342" s="212"/>
      <c r="M342" s="212"/>
    </row>
    <row r="343" spans="1:13" ht="12.75" customHeight="1">
      <c r="A343" s="212"/>
      <c r="B343" s="212"/>
      <c r="C343" s="212"/>
      <c r="D343" s="236"/>
      <c r="E343" s="212"/>
      <c r="F343" s="212"/>
      <c r="G343" s="212"/>
      <c r="J343" s="212"/>
      <c r="K343" s="237"/>
      <c r="L343" s="212"/>
      <c r="M343" s="212"/>
    </row>
    <row r="344" spans="1:13" ht="12.75" customHeight="1">
      <c r="A344" s="212"/>
      <c r="B344" s="212"/>
      <c r="C344" s="212"/>
      <c r="D344" s="236"/>
      <c r="E344" s="212"/>
      <c r="F344" s="212"/>
      <c r="G344" s="212"/>
      <c r="J344" s="212"/>
      <c r="K344" s="237"/>
      <c r="L344" s="212"/>
      <c r="M344" s="212"/>
    </row>
    <row r="345" spans="1:13" ht="12.75" customHeight="1">
      <c r="A345" s="212"/>
      <c r="B345" s="212"/>
      <c r="C345" s="212"/>
      <c r="D345" s="236"/>
      <c r="E345" s="212"/>
      <c r="F345" s="212"/>
      <c r="G345" s="212"/>
      <c r="J345" s="212"/>
      <c r="K345" s="237"/>
      <c r="L345" s="212"/>
      <c r="M345" s="212"/>
    </row>
    <row r="346" spans="1:13" ht="12.75" customHeight="1">
      <c r="A346" s="212"/>
      <c r="B346" s="212"/>
      <c r="C346" s="212"/>
      <c r="D346" s="236"/>
      <c r="E346" s="212"/>
      <c r="F346" s="212"/>
      <c r="G346" s="212"/>
      <c r="J346" s="212"/>
      <c r="K346" s="237"/>
      <c r="L346" s="212"/>
      <c r="M346" s="212"/>
    </row>
    <row r="347" spans="1:13" ht="12.75" customHeight="1">
      <c r="A347" s="212"/>
      <c r="B347" s="212"/>
      <c r="C347" s="212"/>
      <c r="D347" s="236"/>
      <c r="E347" s="212"/>
      <c r="F347" s="212"/>
      <c r="G347" s="212"/>
      <c r="J347" s="212"/>
      <c r="K347" s="237"/>
      <c r="L347" s="212"/>
      <c r="M347" s="212"/>
    </row>
    <row r="348" spans="1:13" ht="12.75" customHeight="1">
      <c r="A348" s="212"/>
      <c r="B348" s="212"/>
      <c r="C348" s="212"/>
      <c r="D348" s="236"/>
      <c r="E348" s="212"/>
      <c r="F348" s="212"/>
      <c r="G348" s="212"/>
      <c r="J348" s="212"/>
      <c r="K348" s="237"/>
      <c r="L348" s="212"/>
      <c r="M348" s="212"/>
    </row>
    <row r="349" spans="1:13" ht="12.75" customHeight="1">
      <c r="A349" s="212"/>
      <c r="B349" s="212"/>
      <c r="C349" s="212"/>
      <c r="D349" s="236"/>
      <c r="E349" s="212"/>
      <c r="F349" s="212"/>
      <c r="G349" s="212"/>
      <c r="J349" s="212"/>
      <c r="K349" s="237"/>
      <c r="L349" s="212"/>
      <c r="M349" s="212"/>
    </row>
    <row r="350" spans="1:13" ht="12.75" customHeight="1">
      <c r="A350" s="212"/>
      <c r="B350" s="212"/>
      <c r="C350" s="212"/>
      <c r="D350" s="236"/>
      <c r="E350" s="212"/>
      <c r="F350" s="212"/>
      <c r="G350" s="212"/>
      <c r="J350" s="212"/>
      <c r="K350" s="237"/>
      <c r="L350" s="212"/>
      <c r="M350" s="212"/>
    </row>
    <row r="351" spans="1:13" ht="12.75" customHeight="1">
      <c r="A351" s="212"/>
      <c r="B351" s="212"/>
      <c r="C351" s="212"/>
      <c r="D351" s="236"/>
      <c r="E351" s="212"/>
      <c r="F351" s="212"/>
      <c r="G351" s="212"/>
      <c r="J351" s="212"/>
      <c r="K351" s="237"/>
      <c r="L351" s="212"/>
      <c r="M351" s="212"/>
    </row>
    <row r="352" spans="1:13" ht="12.75" customHeight="1">
      <c r="A352" s="212"/>
      <c r="B352" s="212"/>
      <c r="C352" s="212"/>
      <c r="D352" s="236"/>
      <c r="E352" s="212"/>
      <c r="F352" s="212"/>
      <c r="G352" s="212"/>
      <c r="J352" s="212"/>
      <c r="K352" s="237"/>
      <c r="L352" s="212"/>
      <c r="M352" s="212"/>
    </row>
    <row r="353" spans="1:13" ht="12.75" customHeight="1">
      <c r="A353" s="212"/>
      <c r="B353" s="212"/>
      <c r="C353" s="212"/>
      <c r="D353" s="236"/>
      <c r="E353" s="212"/>
      <c r="F353" s="212"/>
      <c r="G353" s="212"/>
      <c r="J353" s="212"/>
      <c r="K353" s="237"/>
      <c r="L353" s="212"/>
      <c r="M353" s="212"/>
    </row>
    <row r="354" spans="1:13" ht="12.75" customHeight="1">
      <c r="A354" s="212"/>
      <c r="B354" s="212"/>
      <c r="C354" s="212"/>
      <c r="D354" s="236"/>
      <c r="E354" s="212"/>
      <c r="F354" s="212"/>
      <c r="G354" s="212"/>
      <c r="J354" s="212"/>
      <c r="K354" s="237"/>
      <c r="L354" s="212"/>
      <c r="M354" s="212"/>
    </row>
    <row r="355" spans="1:13" ht="12.75" customHeight="1">
      <c r="A355" s="212"/>
      <c r="B355" s="212"/>
      <c r="C355" s="212"/>
      <c r="D355" s="236"/>
      <c r="E355" s="212"/>
      <c r="F355" s="212"/>
      <c r="G355" s="212"/>
      <c r="J355" s="212"/>
      <c r="K355" s="237"/>
      <c r="L355" s="212"/>
      <c r="M355" s="212"/>
    </row>
    <row r="356" spans="1:13" ht="12.75" customHeight="1">
      <c r="A356" s="212"/>
      <c r="B356" s="212"/>
      <c r="C356" s="212"/>
      <c r="D356" s="236"/>
      <c r="E356" s="212"/>
      <c r="F356" s="212"/>
      <c r="G356" s="212"/>
      <c r="J356" s="212"/>
      <c r="K356" s="237"/>
      <c r="L356" s="212"/>
      <c r="M356" s="212"/>
    </row>
    <row r="357" spans="1:13" ht="12.75" customHeight="1">
      <c r="A357" s="212"/>
      <c r="B357" s="212"/>
      <c r="C357" s="212"/>
      <c r="D357" s="236"/>
      <c r="E357" s="212"/>
      <c r="F357" s="212"/>
      <c r="G357" s="212"/>
      <c r="J357" s="212"/>
      <c r="K357" s="237"/>
      <c r="L357" s="212"/>
      <c r="M357" s="212"/>
    </row>
    <row r="358" spans="1:13" ht="12.75" customHeight="1">
      <c r="A358" s="212"/>
      <c r="B358" s="212"/>
      <c r="C358" s="212"/>
      <c r="D358" s="236"/>
      <c r="E358" s="212"/>
      <c r="F358" s="212"/>
      <c r="G358" s="212"/>
      <c r="J358" s="212"/>
      <c r="K358" s="237"/>
      <c r="L358" s="212"/>
      <c r="M358" s="212"/>
    </row>
    <row r="359" spans="1:13" ht="12.75" customHeight="1">
      <c r="A359" s="212"/>
      <c r="B359" s="212"/>
      <c r="C359" s="212"/>
      <c r="D359" s="236"/>
      <c r="E359" s="212"/>
      <c r="F359" s="212"/>
      <c r="G359" s="212"/>
      <c r="J359" s="212"/>
      <c r="K359" s="237"/>
      <c r="L359" s="212"/>
      <c r="M359" s="212"/>
    </row>
    <row r="360" spans="1:13" ht="12.75" customHeight="1">
      <c r="A360" s="212"/>
      <c r="B360" s="212"/>
      <c r="C360" s="212"/>
      <c r="D360" s="236"/>
      <c r="E360" s="212"/>
      <c r="F360" s="212"/>
      <c r="G360" s="212"/>
      <c r="J360" s="212"/>
      <c r="K360" s="237"/>
      <c r="L360" s="212"/>
      <c r="M360" s="212"/>
    </row>
    <row r="361" spans="1:13" ht="12.75" customHeight="1">
      <c r="A361" s="212"/>
      <c r="B361" s="212"/>
      <c r="C361" s="212"/>
      <c r="D361" s="236"/>
      <c r="E361" s="212"/>
      <c r="F361" s="212"/>
      <c r="G361" s="212"/>
      <c r="J361" s="212"/>
      <c r="K361" s="237"/>
      <c r="L361" s="212"/>
      <c r="M361" s="212"/>
    </row>
    <row r="362" spans="1:13" ht="12.75" customHeight="1">
      <c r="A362" s="212"/>
      <c r="B362" s="212"/>
      <c r="C362" s="212"/>
      <c r="D362" s="236"/>
      <c r="E362" s="212"/>
      <c r="F362" s="212"/>
      <c r="G362" s="212"/>
      <c r="J362" s="212"/>
      <c r="K362" s="237"/>
      <c r="L362" s="212"/>
      <c r="M362" s="212"/>
    </row>
    <row r="363" spans="1:13" ht="12.75" customHeight="1">
      <c r="A363" s="212"/>
      <c r="B363" s="212"/>
      <c r="C363" s="212"/>
      <c r="D363" s="236"/>
      <c r="E363" s="212"/>
      <c r="F363" s="212"/>
      <c r="G363" s="212"/>
      <c r="J363" s="212"/>
      <c r="K363" s="237"/>
      <c r="L363" s="212"/>
      <c r="M363" s="212"/>
    </row>
    <row r="364" spans="1:13" ht="12.75" customHeight="1">
      <c r="A364" s="212"/>
      <c r="B364" s="212"/>
      <c r="C364" s="212"/>
      <c r="D364" s="236"/>
      <c r="E364" s="212"/>
      <c r="F364" s="212"/>
      <c r="G364" s="212"/>
      <c r="J364" s="212"/>
      <c r="K364" s="237"/>
      <c r="L364" s="212"/>
      <c r="M364" s="212"/>
    </row>
    <row r="365" spans="1:13" ht="12.75" customHeight="1">
      <c r="A365" s="212"/>
      <c r="B365" s="212"/>
      <c r="C365" s="212"/>
      <c r="D365" s="236"/>
      <c r="E365" s="212"/>
      <c r="F365" s="212"/>
      <c r="G365" s="212"/>
      <c r="J365" s="212"/>
      <c r="K365" s="237"/>
      <c r="L365" s="212"/>
      <c r="M365" s="212"/>
    </row>
    <row r="366" spans="1:13" ht="12.75" customHeight="1">
      <c r="A366" s="212"/>
      <c r="B366" s="212"/>
      <c r="C366" s="212"/>
      <c r="D366" s="236"/>
      <c r="E366" s="212"/>
      <c r="F366" s="212"/>
      <c r="G366" s="212"/>
      <c r="J366" s="212"/>
      <c r="K366" s="237"/>
      <c r="L366" s="212"/>
      <c r="M366" s="212"/>
    </row>
    <row r="367" spans="1:13" ht="12.75" customHeight="1">
      <c r="A367" s="212"/>
      <c r="B367" s="212"/>
      <c r="C367" s="212"/>
      <c r="D367" s="236"/>
      <c r="E367" s="212"/>
      <c r="F367" s="212"/>
      <c r="G367" s="212"/>
      <c r="J367" s="212"/>
      <c r="K367" s="237"/>
      <c r="L367" s="212"/>
      <c r="M367" s="212"/>
    </row>
    <row r="368" spans="1:13" ht="12.75" customHeight="1">
      <c r="A368" s="212"/>
      <c r="B368" s="212"/>
      <c r="C368" s="212"/>
      <c r="D368" s="236"/>
      <c r="E368" s="212"/>
      <c r="F368" s="212"/>
      <c r="G368" s="212"/>
      <c r="J368" s="212"/>
      <c r="K368" s="237"/>
      <c r="L368" s="212"/>
      <c r="M368" s="212"/>
    </row>
    <row r="369" spans="1:13" ht="12.75" customHeight="1">
      <c r="A369" s="212"/>
      <c r="B369" s="212"/>
      <c r="C369" s="212"/>
      <c r="D369" s="236"/>
      <c r="E369" s="212"/>
      <c r="F369" s="212"/>
      <c r="G369" s="212"/>
      <c r="J369" s="212"/>
      <c r="K369" s="237"/>
      <c r="L369" s="212"/>
      <c r="M369" s="212"/>
    </row>
    <row r="370" spans="1:13" ht="12.75" customHeight="1">
      <c r="A370" s="212"/>
      <c r="B370" s="212"/>
      <c r="C370" s="212"/>
      <c r="D370" s="236"/>
      <c r="E370" s="212"/>
      <c r="F370" s="212"/>
      <c r="G370" s="212"/>
      <c r="J370" s="212"/>
      <c r="K370" s="237"/>
      <c r="L370" s="212"/>
      <c r="M370" s="212"/>
    </row>
    <row r="371" spans="1:13" ht="12.75" customHeight="1">
      <c r="A371" s="212"/>
      <c r="B371" s="212"/>
      <c r="C371" s="212"/>
      <c r="D371" s="236"/>
      <c r="E371" s="212"/>
      <c r="F371" s="212"/>
      <c r="G371" s="212"/>
      <c r="J371" s="212"/>
      <c r="K371" s="237"/>
      <c r="L371" s="212"/>
      <c r="M371" s="212"/>
    </row>
    <row r="372" spans="1:13" ht="12.75" customHeight="1">
      <c r="A372" s="212"/>
      <c r="B372" s="212"/>
      <c r="C372" s="212"/>
      <c r="D372" s="236"/>
      <c r="E372" s="212"/>
      <c r="F372" s="212"/>
      <c r="G372" s="212"/>
      <c r="J372" s="212"/>
      <c r="K372" s="237"/>
      <c r="L372" s="212"/>
      <c r="M372" s="212"/>
    </row>
    <row r="373" spans="1:13" ht="12.75" customHeight="1">
      <c r="A373" s="212"/>
      <c r="B373" s="212"/>
      <c r="C373" s="212"/>
      <c r="D373" s="236"/>
      <c r="E373" s="212"/>
      <c r="F373" s="212"/>
      <c r="G373" s="212"/>
      <c r="J373" s="212"/>
      <c r="K373" s="237"/>
      <c r="L373" s="212"/>
      <c r="M373" s="212"/>
    </row>
    <row r="374" spans="1:13" ht="12.75" customHeight="1">
      <c r="A374" s="212"/>
      <c r="B374" s="212"/>
      <c r="C374" s="212"/>
      <c r="D374" s="236"/>
      <c r="E374" s="212"/>
      <c r="F374" s="212"/>
      <c r="G374" s="212"/>
      <c r="J374" s="212"/>
      <c r="K374" s="237"/>
      <c r="L374" s="212"/>
      <c r="M374" s="212"/>
    </row>
    <row r="375" spans="1:13" ht="12.75" customHeight="1">
      <c r="A375" s="212"/>
      <c r="B375" s="212"/>
      <c r="C375" s="212"/>
      <c r="D375" s="236"/>
      <c r="E375" s="212"/>
      <c r="F375" s="212"/>
      <c r="G375" s="212"/>
      <c r="J375" s="212"/>
      <c r="K375" s="237"/>
      <c r="L375" s="212"/>
      <c r="M375" s="212"/>
    </row>
    <row r="376" spans="1:13" ht="12.75" customHeight="1">
      <c r="A376" s="212"/>
      <c r="B376" s="212"/>
      <c r="C376" s="212"/>
      <c r="D376" s="236"/>
      <c r="E376" s="212"/>
      <c r="F376" s="212"/>
      <c r="G376" s="212"/>
      <c r="J376" s="212"/>
      <c r="K376" s="237"/>
      <c r="L376" s="212"/>
      <c r="M376" s="212"/>
    </row>
    <row r="377" spans="1:13" ht="12.75" customHeight="1">
      <c r="A377" s="212"/>
      <c r="B377" s="212"/>
      <c r="C377" s="212"/>
      <c r="D377" s="236"/>
      <c r="E377" s="212"/>
      <c r="F377" s="212"/>
      <c r="G377" s="212"/>
      <c r="J377" s="212"/>
      <c r="K377" s="237"/>
      <c r="L377" s="212"/>
      <c r="M377" s="212"/>
    </row>
    <row r="378" spans="1:13" ht="12.75" customHeight="1">
      <c r="A378" s="212"/>
      <c r="B378" s="212"/>
      <c r="C378" s="212"/>
      <c r="D378" s="236"/>
      <c r="E378" s="212"/>
      <c r="F378" s="212"/>
      <c r="G378" s="212"/>
      <c r="J378" s="212"/>
      <c r="K378" s="237"/>
      <c r="L378" s="212"/>
      <c r="M378" s="212"/>
    </row>
    <row r="379" spans="1:13" ht="12.75" customHeight="1">
      <c r="A379" s="212"/>
      <c r="B379" s="212"/>
      <c r="C379" s="212"/>
      <c r="D379" s="236"/>
      <c r="E379" s="212"/>
      <c r="F379" s="212"/>
      <c r="G379" s="212"/>
      <c r="J379" s="212"/>
      <c r="K379" s="237"/>
      <c r="L379" s="212"/>
      <c r="M379" s="212"/>
    </row>
    <row r="380" spans="1:13" ht="12.75" customHeight="1">
      <c r="A380" s="212"/>
      <c r="B380" s="212"/>
      <c r="C380" s="212"/>
      <c r="D380" s="236"/>
      <c r="E380" s="212"/>
      <c r="F380" s="212"/>
      <c r="G380" s="212"/>
      <c r="J380" s="212"/>
      <c r="K380" s="237"/>
      <c r="L380" s="212"/>
      <c r="M380" s="212"/>
    </row>
    <row r="381" spans="1:13" ht="12.75" customHeight="1">
      <c r="A381" s="212"/>
      <c r="B381" s="212"/>
      <c r="C381" s="212"/>
      <c r="D381" s="236"/>
      <c r="E381" s="212"/>
      <c r="F381" s="212"/>
      <c r="G381" s="212"/>
      <c r="J381" s="212"/>
      <c r="K381" s="237"/>
      <c r="L381" s="212"/>
      <c r="M381" s="212"/>
    </row>
    <row r="382" spans="1:13" ht="12.75" customHeight="1">
      <c r="A382" s="212"/>
      <c r="B382" s="212"/>
      <c r="C382" s="212"/>
      <c r="D382" s="236"/>
      <c r="E382" s="212"/>
      <c r="F382" s="212"/>
      <c r="G382" s="212"/>
      <c r="J382" s="212"/>
      <c r="K382" s="237"/>
      <c r="L382" s="212"/>
      <c r="M382" s="212"/>
    </row>
    <row r="383" spans="1:13" ht="12.75" customHeight="1">
      <c r="A383" s="212"/>
      <c r="B383" s="212"/>
      <c r="C383" s="212"/>
      <c r="D383" s="236"/>
      <c r="E383" s="212"/>
      <c r="F383" s="212"/>
      <c r="G383" s="212"/>
      <c r="J383" s="212"/>
      <c r="K383" s="237"/>
      <c r="L383" s="212"/>
      <c r="M383" s="212"/>
    </row>
    <row r="384" spans="1:13" ht="12.75" customHeight="1">
      <c r="A384" s="212"/>
      <c r="B384" s="212"/>
      <c r="C384" s="212"/>
      <c r="D384" s="236"/>
      <c r="E384" s="212"/>
      <c r="F384" s="212"/>
      <c r="G384" s="212"/>
      <c r="J384" s="212"/>
      <c r="K384" s="237"/>
      <c r="L384" s="212"/>
      <c r="M384" s="212"/>
    </row>
    <row r="385" spans="1:13" ht="12.75" customHeight="1">
      <c r="A385" s="212"/>
      <c r="B385" s="212"/>
      <c r="C385" s="212"/>
      <c r="D385" s="236"/>
      <c r="E385" s="212"/>
      <c r="F385" s="212"/>
      <c r="G385" s="212"/>
      <c r="J385" s="212"/>
      <c r="K385" s="237"/>
      <c r="L385" s="212"/>
      <c r="M385" s="212"/>
    </row>
    <row r="386" spans="1:13" ht="12.75" customHeight="1">
      <c r="A386" s="212"/>
      <c r="B386" s="212"/>
      <c r="C386" s="212"/>
      <c r="D386" s="236"/>
      <c r="E386" s="212"/>
      <c r="F386" s="212"/>
      <c r="G386" s="212"/>
      <c r="J386" s="212"/>
      <c r="K386" s="237"/>
      <c r="L386" s="212"/>
      <c r="M386" s="212"/>
    </row>
    <row r="387" spans="1:13" ht="12.75" customHeight="1">
      <c r="A387" s="212"/>
      <c r="B387" s="212"/>
      <c r="C387" s="212"/>
      <c r="D387" s="236"/>
      <c r="E387" s="212"/>
      <c r="F387" s="212"/>
      <c r="G387" s="212"/>
      <c r="J387" s="212"/>
      <c r="K387" s="237"/>
      <c r="L387" s="212"/>
      <c r="M387" s="212"/>
    </row>
    <row r="388" spans="1:13" ht="12.75" customHeight="1">
      <c r="A388" s="212"/>
      <c r="B388" s="212"/>
      <c r="C388" s="212"/>
      <c r="D388" s="236"/>
      <c r="E388" s="212"/>
      <c r="F388" s="212"/>
      <c r="G388" s="212"/>
      <c r="J388" s="212"/>
      <c r="K388" s="237"/>
      <c r="L388" s="212"/>
      <c r="M388" s="212"/>
    </row>
    <row r="389" spans="1:13" ht="12.75" customHeight="1">
      <c r="A389" s="212"/>
      <c r="B389" s="212"/>
      <c r="C389" s="212"/>
      <c r="D389" s="236"/>
      <c r="E389" s="212"/>
      <c r="F389" s="212"/>
      <c r="G389" s="212"/>
      <c r="J389" s="212"/>
      <c r="K389" s="237"/>
      <c r="L389" s="212"/>
      <c r="M389" s="212"/>
    </row>
    <row r="390" spans="1:13" ht="12.75" customHeight="1">
      <c r="A390" s="212"/>
      <c r="B390" s="212"/>
      <c r="C390" s="212"/>
      <c r="D390" s="236"/>
      <c r="E390" s="212"/>
      <c r="F390" s="212"/>
      <c r="G390" s="212"/>
      <c r="J390" s="212"/>
      <c r="K390" s="237"/>
      <c r="L390" s="212"/>
      <c r="M390" s="212"/>
    </row>
    <row r="391" spans="1:13" ht="12.75" customHeight="1">
      <c r="A391" s="212"/>
      <c r="B391" s="212"/>
      <c r="C391" s="212"/>
      <c r="D391" s="236"/>
      <c r="E391" s="212"/>
      <c r="F391" s="212"/>
      <c r="G391" s="212"/>
      <c r="J391" s="212"/>
      <c r="K391" s="237"/>
      <c r="L391" s="212"/>
      <c r="M391" s="212"/>
    </row>
    <row r="392" spans="1:13" ht="12.75" customHeight="1">
      <c r="A392" s="212"/>
      <c r="B392" s="212"/>
      <c r="C392" s="212"/>
      <c r="D392" s="236"/>
      <c r="E392" s="212"/>
      <c r="F392" s="212"/>
      <c r="G392" s="212"/>
      <c r="J392" s="212"/>
      <c r="K392" s="237"/>
      <c r="L392" s="212"/>
      <c r="M392" s="212"/>
    </row>
    <row r="393" spans="1:13" ht="12.75" customHeight="1">
      <c r="A393" s="212"/>
      <c r="B393" s="212"/>
      <c r="C393" s="212"/>
      <c r="D393" s="236"/>
      <c r="E393" s="212"/>
      <c r="F393" s="212"/>
      <c r="G393" s="212"/>
      <c r="J393" s="212"/>
      <c r="K393" s="237"/>
      <c r="L393" s="212"/>
      <c r="M393" s="212"/>
    </row>
    <row r="394" spans="1:13" ht="12.75" customHeight="1">
      <c r="A394" s="212"/>
      <c r="B394" s="212"/>
      <c r="C394" s="212"/>
      <c r="D394" s="236"/>
      <c r="E394" s="212"/>
      <c r="F394" s="212"/>
      <c r="G394" s="212"/>
      <c r="J394" s="212"/>
      <c r="K394" s="237"/>
      <c r="L394" s="212"/>
      <c r="M394" s="212"/>
    </row>
    <row r="395" spans="1:13" ht="12.75" customHeight="1">
      <c r="A395" s="212"/>
      <c r="B395" s="212"/>
      <c r="C395" s="212"/>
      <c r="D395" s="236"/>
      <c r="E395" s="212"/>
      <c r="F395" s="212"/>
      <c r="G395" s="212"/>
      <c r="J395" s="212"/>
      <c r="K395" s="237"/>
      <c r="L395" s="212"/>
      <c r="M395" s="212"/>
    </row>
    <row r="396" spans="1:13" ht="12.75" customHeight="1">
      <c r="A396" s="212"/>
      <c r="B396" s="212"/>
      <c r="C396" s="212"/>
      <c r="D396" s="236"/>
      <c r="E396" s="212"/>
      <c r="F396" s="212"/>
      <c r="G396" s="212"/>
      <c r="J396" s="212"/>
      <c r="K396" s="237"/>
      <c r="L396" s="212"/>
      <c r="M396" s="212"/>
    </row>
    <row r="397" spans="1:13" ht="12.75" customHeight="1">
      <c r="A397" s="212"/>
      <c r="B397" s="212"/>
      <c r="C397" s="212"/>
      <c r="D397" s="236"/>
      <c r="E397" s="212"/>
      <c r="F397" s="212"/>
      <c r="G397" s="212"/>
      <c r="J397" s="212"/>
      <c r="K397" s="237"/>
      <c r="L397" s="212"/>
      <c r="M397" s="212"/>
    </row>
    <row r="398" spans="1:13" ht="12.75" customHeight="1">
      <c r="A398" s="212"/>
      <c r="B398" s="212"/>
      <c r="C398" s="212"/>
      <c r="D398" s="236"/>
      <c r="E398" s="212"/>
      <c r="F398" s="212"/>
      <c r="G398" s="212"/>
      <c r="J398" s="212"/>
      <c r="K398" s="237"/>
      <c r="L398" s="212"/>
      <c r="M398" s="212"/>
    </row>
    <row r="399" spans="1:13" ht="12.75" customHeight="1">
      <c r="A399" s="212"/>
      <c r="B399" s="212"/>
      <c r="C399" s="212"/>
      <c r="D399" s="236"/>
      <c r="E399" s="212"/>
      <c r="F399" s="212"/>
      <c r="G399" s="212"/>
      <c r="J399" s="212"/>
      <c r="K399" s="237"/>
      <c r="L399" s="212"/>
      <c r="M399" s="212"/>
    </row>
    <row r="400" spans="1:13" ht="12.75" customHeight="1">
      <c r="A400" s="212"/>
      <c r="B400" s="212"/>
      <c r="C400" s="212"/>
      <c r="D400" s="236"/>
      <c r="E400" s="212"/>
      <c r="F400" s="212"/>
      <c r="G400" s="212"/>
      <c r="J400" s="212"/>
      <c r="K400" s="237"/>
      <c r="L400" s="212"/>
      <c r="M400" s="212"/>
    </row>
    <row r="401" spans="1:13" ht="12.75" customHeight="1">
      <c r="A401" s="212"/>
      <c r="B401" s="212"/>
      <c r="C401" s="212"/>
      <c r="D401" s="236"/>
      <c r="E401" s="212"/>
      <c r="F401" s="212"/>
      <c r="G401" s="212"/>
      <c r="J401" s="212"/>
      <c r="K401" s="237"/>
      <c r="L401" s="212"/>
      <c r="M401" s="212"/>
    </row>
    <row r="402" spans="1:13" ht="12.75" customHeight="1">
      <c r="A402" s="212"/>
      <c r="B402" s="212"/>
      <c r="C402" s="212"/>
      <c r="D402" s="236"/>
      <c r="E402" s="212"/>
      <c r="F402" s="212"/>
      <c r="G402" s="212"/>
      <c r="J402" s="212"/>
      <c r="K402" s="237"/>
      <c r="L402" s="212"/>
      <c r="M402" s="212"/>
    </row>
    <row r="403" spans="1:13" ht="12.75" customHeight="1">
      <c r="A403" s="212"/>
      <c r="B403" s="212"/>
      <c r="C403" s="212"/>
      <c r="D403" s="236"/>
      <c r="E403" s="212"/>
      <c r="F403" s="212"/>
      <c r="G403" s="212"/>
      <c r="J403" s="212"/>
      <c r="K403" s="237"/>
      <c r="L403" s="212"/>
      <c r="M403" s="212"/>
    </row>
    <row r="404" spans="1:13" ht="12.75" customHeight="1">
      <c r="A404" s="212"/>
      <c r="B404" s="212"/>
      <c r="C404" s="212"/>
      <c r="D404" s="236"/>
      <c r="E404" s="212"/>
      <c r="F404" s="212"/>
      <c r="G404" s="212"/>
      <c r="J404" s="212"/>
      <c r="K404" s="237"/>
      <c r="L404" s="212"/>
      <c r="M404" s="212"/>
    </row>
    <row r="405" spans="1:13" ht="12.75" customHeight="1">
      <c r="A405" s="212"/>
      <c r="B405" s="212"/>
      <c r="C405" s="212"/>
      <c r="D405" s="236"/>
      <c r="E405" s="212"/>
      <c r="F405" s="212"/>
      <c r="G405" s="212"/>
      <c r="J405" s="212"/>
      <c r="K405" s="237"/>
      <c r="L405" s="212"/>
      <c r="M405" s="212"/>
    </row>
    <row r="406" spans="1:13" ht="12.75" customHeight="1">
      <c r="A406" s="212"/>
      <c r="B406" s="212"/>
      <c r="C406" s="212"/>
      <c r="D406" s="236"/>
      <c r="E406" s="212"/>
      <c r="F406" s="212"/>
      <c r="G406" s="212"/>
      <c r="J406" s="212"/>
      <c r="K406" s="237"/>
      <c r="L406" s="212"/>
      <c r="M406" s="212"/>
    </row>
    <row r="407" spans="1:13" ht="12.75" customHeight="1">
      <c r="A407" s="212"/>
      <c r="B407" s="212"/>
      <c r="C407" s="212"/>
      <c r="D407" s="236"/>
      <c r="E407" s="212"/>
      <c r="F407" s="212"/>
      <c r="G407" s="212"/>
      <c r="J407" s="212"/>
      <c r="K407" s="237"/>
      <c r="L407" s="212"/>
      <c r="M407" s="212"/>
    </row>
    <row r="408" spans="1:13" ht="12.75" customHeight="1">
      <c r="A408" s="212"/>
      <c r="B408" s="212"/>
      <c r="C408" s="212"/>
      <c r="D408" s="236"/>
      <c r="E408" s="212"/>
      <c r="F408" s="212"/>
      <c r="G408" s="212"/>
      <c r="J408" s="212"/>
      <c r="K408" s="237"/>
      <c r="L408" s="212"/>
      <c r="M408" s="212"/>
    </row>
    <row r="409" spans="1:13" ht="12.75" customHeight="1">
      <c r="A409" s="212"/>
      <c r="B409" s="212"/>
      <c r="C409" s="212"/>
      <c r="D409" s="236"/>
      <c r="E409" s="212"/>
      <c r="F409" s="212"/>
      <c r="G409" s="212"/>
      <c r="J409" s="212"/>
      <c r="K409" s="237"/>
      <c r="L409" s="212"/>
      <c r="M409" s="212"/>
    </row>
    <row r="410" spans="1:13" ht="12.75" customHeight="1">
      <c r="A410" s="212"/>
      <c r="B410" s="212"/>
      <c r="C410" s="212"/>
      <c r="D410" s="236"/>
      <c r="E410" s="212"/>
      <c r="F410" s="212"/>
      <c r="G410" s="212"/>
      <c r="J410" s="212"/>
      <c r="K410" s="237"/>
      <c r="L410" s="212"/>
      <c r="M410" s="212"/>
    </row>
    <row r="411" spans="1:13" ht="12.75" customHeight="1">
      <c r="A411" s="212"/>
      <c r="B411" s="212"/>
      <c r="C411" s="212"/>
      <c r="D411" s="236"/>
      <c r="E411" s="212"/>
      <c r="F411" s="212"/>
      <c r="G411" s="212"/>
      <c r="J411" s="212"/>
      <c r="K411" s="237"/>
      <c r="L411" s="212"/>
      <c r="M411" s="212"/>
    </row>
    <row r="412" spans="1:13" ht="12.75" customHeight="1">
      <c r="A412" s="212"/>
      <c r="B412" s="212"/>
      <c r="C412" s="212"/>
      <c r="D412" s="236"/>
      <c r="E412" s="212"/>
      <c r="F412" s="212"/>
      <c r="G412" s="212"/>
      <c r="J412" s="212"/>
      <c r="K412" s="237"/>
      <c r="L412" s="212"/>
      <c r="M412" s="212"/>
    </row>
    <row r="413" spans="1:13" ht="12.75" customHeight="1">
      <c r="A413" s="212"/>
      <c r="B413" s="212"/>
      <c r="C413" s="212"/>
      <c r="D413" s="236"/>
      <c r="E413" s="212"/>
      <c r="F413" s="212"/>
      <c r="G413" s="212"/>
      <c r="J413" s="212"/>
      <c r="K413" s="237"/>
      <c r="L413" s="212"/>
      <c r="M413" s="212"/>
    </row>
    <row r="414" spans="1:13" ht="12.75" customHeight="1">
      <c r="A414" s="212"/>
      <c r="B414" s="212"/>
      <c r="C414" s="212"/>
      <c r="D414" s="236"/>
      <c r="E414" s="212"/>
      <c r="F414" s="212"/>
      <c r="G414" s="212"/>
      <c r="J414" s="212"/>
      <c r="K414" s="237"/>
      <c r="L414" s="212"/>
      <c r="M414" s="212"/>
    </row>
    <row r="415" spans="1:13" ht="12.75" customHeight="1">
      <c r="A415" s="212"/>
      <c r="B415" s="212"/>
      <c r="C415" s="212"/>
      <c r="D415" s="236"/>
      <c r="E415" s="212"/>
      <c r="F415" s="212"/>
      <c r="G415" s="212"/>
      <c r="J415" s="212"/>
      <c r="K415" s="237"/>
      <c r="L415" s="212"/>
      <c r="M415" s="212"/>
    </row>
    <row r="416" spans="1:13" ht="12.75" customHeight="1">
      <c r="A416" s="212"/>
      <c r="B416" s="212"/>
      <c r="C416" s="212"/>
      <c r="D416" s="236"/>
      <c r="E416" s="212"/>
      <c r="F416" s="212"/>
      <c r="G416" s="212"/>
      <c r="J416" s="212"/>
      <c r="K416" s="237"/>
      <c r="L416" s="212"/>
      <c r="M416" s="212"/>
    </row>
    <row r="417" spans="1:13" ht="12.75" customHeight="1">
      <c r="A417" s="212"/>
      <c r="B417" s="212"/>
      <c r="C417" s="212"/>
      <c r="D417" s="236"/>
      <c r="E417" s="212"/>
      <c r="F417" s="212"/>
      <c r="G417" s="212"/>
      <c r="J417" s="212"/>
      <c r="K417" s="237"/>
      <c r="L417" s="212"/>
      <c r="M417" s="212"/>
    </row>
    <row r="418" spans="1:13" ht="12.75" customHeight="1">
      <c r="A418" s="212"/>
      <c r="B418" s="212"/>
      <c r="C418" s="212"/>
      <c r="D418" s="236"/>
      <c r="E418" s="212"/>
      <c r="F418" s="212"/>
      <c r="G418" s="212"/>
      <c r="J418" s="212"/>
      <c r="K418" s="237"/>
      <c r="L418" s="212"/>
      <c r="M418" s="212"/>
    </row>
    <row r="419" spans="1:13" ht="12.75" customHeight="1">
      <c r="A419" s="212"/>
      <c r="B419" s="212"/>
      <c r="C419" s="212"/>
      <c r="D419" s="236"/>
      <c r="E419" s="212"/>
      <c r="F419" s="212"/>
      <c r="G419" s="212"/>
      <c r="J419" s="212"/>
      <c r="K419" s="237"/>
      <c r="L419" s="212"/>
      <c r="M419" s="212"/>
    </row>
    <row r="420" spans="1:13" ht="12.75" customHeight="1">
      <c r="A420" s="212"/>
      <c r="B420" s="212"/>
      <c r="C420" s="212"/>
      <c r="D420" s="236"/>
      <c r="E420" s="212"/>
      <c r="F420" s="212"/>
      <c r="G420" s="212"/>
      <c r="J420" s="212"/>
      <c r="K420" s="237"/>
      <c r="L420" s="212"/>
      <c r="M420" s="212"/>
    </row>
    <row r="421" spans="1:13" ht="12.75" customHeight="1">
      <c r="A421" s="212"/>
      <c r="B421" s="212"/>
      <c r="C421" s="212"/>
      <c r="D421" s="236"/>
      <c r="E421" s="212"/>
      <c r="F421" s="212"/>
      <c r="G421" s="212"/>
      <c r="J421" s="212"/>
      <c r="K421" s="237"/>
      <c r="L421" s="212"/>
      <c r="M421" s="212"/>
    </row>
    <row r="422" spans="1:13" ht="12.75" customHeight="1">
      <c r="A422" s="212"/>
      <c r="B422" s="212"/>
      <c r="C422" s="212"/>
      <c r="D422" s="236"/>
      <c r="E422" s="212"/>
      <c r="F422" s="212"/>
      <c r="G422" s="212"/>
      <c r="J422" s="212"/>
      <c r="K422" s="237"/>
      <c r="L422" s="212"/>
      <c r="M422" s="212"/>
    </row>
    <row r="423" spans="1:13" ht="12.75" customHeight="1">
      <c r="A423" s="212"/>
      <c r="B423" s="212"/>
      <c r="C423" s="212"/>
      <c r="D423" s="236"/>
      <c r="E423" s="212"/>
      <c r="F423" s="212"/>
      <c r="G423" s="212"/>
      <c r="J423" s="212"/>
      <c r="K423" s="237"/>
      <c r="L423" s="212"/>
      <c r="M423" s="212"/>
    </row>
    <row r="424" spans="1:13" ht="12.75" customHeight="1">
      <c r="A424" s="212"/>
      <c r="B424" s="212"/>
      <c r="C424" s="212"/>
      <c r="D424" s="236"/>
      <c r="E424" s="212"/>
      <c r="F424" s="212"/>
      <c r="G424" s="212"/>
      <c r="J424" s="212"/>
      <c r="K424" s="237"/>
      <c r="L424" s="212"/>
      <c r="M424" s="212"/>
    </row>
    <row r="425" spans="1:13" ht="12.75" customHeight="1">
      <c r="A425" s="212"/>
      <c r="B425" s="212"/>
      <c r="C425" s="212"/>
      <c r="D425" s="236"/>
      <c r="E425" s="212"/>
      <c r="F425" s="212"/>
      <c r="G425" s="212"/>
      <c r="J425" s="212"/>
      <c r="K425" s="237"/>
      <c r="L425" s="212"/>
      <c r="M425" s="212"/>
    </row>
    <row r="426" spans="1:13" ht="12.75" customHeight="1">
      <c r="A426" s="212"/>
      <c r="B426" s="212"/>
      <c r="C426" s="212"/>
      <c r="D426" s="236"/>
      <c r="E426" s="212"/>
      <c r="F426" s="212"/>
      <c r="G426" s="212"/>
      <c r="J426" s="212"/>
      <c r="K426" s="237"/>
      <c r="L426" s="212"/>
      <c r="M426" s="212"/>
    </row>
    <row r="427" spans="1:13" ht="12.75" customHeight="1">
      <c r="A427" s="212"/>
      <c r="B427" s="212"/>
      <c r="C427" s="212"/>
      <c r="D427" s="236"/>
      <c r="E427" s="212"/>
      <c r="F427" s="212"/>
      <c r="G427" s="212"/>
      <c r="J427" s="212"/>
      <c r="K427" s="237"/>
      <c r="L427" s="212"/>
      <c r="M427" s="212"/>
    </row>
    <row r="428" spans="1:13" ht="12.75" customHeight="1">
      <c r="A428" s="212"/>
      <c r="B428" s="212"/>
      <c r="C428" s="212"/>
      <c r="D428" s="236"/>
      <c r="E428" s="212"/>
      <c r="F428" s="212"/>
      <c r="G428" s="212"/>
      <c r="J428" s="212"/>
      <c r="K428" s="237"/>
      <c r="L428" s="212"/>
      <c r="M428" s="212"/>
    </row>
    <row r="429" spans="1:13" ht="12.75" customHeight="1">
      <c r="A429" s="212"/>
      <c r="B429" s="212"/>
      <c r="C429" s="212"/>
      <c r="D429" s="236"/>
      <c r="E429" s="212"/>
      <c r="F429" s="212"/>
      <c r="G429" s="212"/>
      <c r="J429" s="212"/>
      <c r="K429" s="237"/>
      <c r="L429" s="212"/>
      <c r="M429" s="212"/>
    </row>
    <row r="430" spans="1:13" ht="12.75" customHeight="1">
      <c r="A430" s="212"/>
      <c r="B430" s="212"/>
      <c r="C430" s="212"/>
      <c r="D430" s="236"/>
      <c r="E430" s="212"/>
      <c r="F430" s="212"/>
      <c r="G430" s="212"/>
      <c r="J430" s="212"/>
      <c r="K430" s="237"/>
      <c r="L430" s="212"/>
      <c r="M430" s="212"/>
    </row>
    <row r="431" spans="1:13" ht="12.75" customHeight="1">
      <c r="A431" s="212"/>
      <c r="B431" s="212"/>
      <c r="C431" s="212"/>
      <c r="D431" s="236"/>
      <c r="E431" s="212"/>
      <c r="F431" s="212"/>
      <c r="G431" s="212"/>
      <c r="J431" s="212"/>
      <c r="K431" s="237"/>
      <c r="L431" s="212"/>
      <c r="M431" s="212"/>
    </row>
    <row r="432" spans="1:13" ht="12.75" customHeight="1">
      <c r="A432" s="212"/>
      <c r="B432" s="212"/>
      <c r="C432" s="212"/>
      <c r="D432" s="236"/>
      <c r="E432" s="212"/>
      <c r="F432" s="212"/>
      <c r="G432" s="212"/>
      <c r="J432" s="212"/>
      <c r="K432" s="237"/>
      <c r="L432" s="212"/>
      <c r="M432" s="212"/>
    </row>
    <row r="433" spans="1:13" ht="12.75" customHeight="1">
      <c r="A433" s="212"/>
      <c r="B433" s="212"/>
      <c r="C433" s="212"/>
      <c r="D433" s="236"/>
      <c r="E433" s="212"/>
      <c r="F433" s="212"/>
      <c r="G433" s="212"/>
      <c r="J433" s="212"/>
      <c r="K433" s="237"/>
      <c r="L433" s="212"/>
      <c r="M433" s="212"/>
    </row>
    <row r="434" spans="1:13" ht="12.75" customHeight="1">
      <c r="A434" s="212"/>
      <c r="B434" s="212"/>
      <c r="C434" s="212"/>
      <c r="D434" s="236"/>
      <c r="E434" s="212"/>
      <c r="F434" s="212"/>
      <c r="G434" s="212"/>
      <c r="J434" s="212"/>
      <c r="K434" s="237"/>
      <c r="L434" s="212"/>
      <c r="M434" s="212"/>
    </row>
    <row r="435" spans="1:13" ht="12.75" customHeight="1">
      <c r="A435" s="212"/>
      <c r="B435" s="212"/>
      <c r="C435" s="212"/>
      <c r="D435" s="236"/>
      <c r="E435" s="212"/>
      <c r="F435" s="212"/>
      <c r="G435" s="212"/>
      <c r="J435" s="212"/>
      <c r="K435" s="237"/>
      <c r="L435" s="212"/>
      <c r="M435" s="212"/>
    </row>
    <row r="436" spans="1:13" ht="12.75" customHeight="1">
      <c r="A436" s="212"/>
      <c r="B436" s="212"/>
      <c r="C436" s="212"/>
      <c r="D436" s="236"/>
      <c r="E436" s="212"/>
      <c r="F436" s="212"/>
      <c r="G436" s="212"/>
      <c r="J436" s="212"/>
      <c r="K436" s="237"/>
      <c r="L436" s="212"/>
      <c r="M436" s="212"/>
    </row>
    <row r="437" spans="1:13" ht="12.75" customHeight="1">
      <c r="A437" s="212"/>
      <c r="B437" s="212"/>
      <c r="C437" s="212"/>
      <c r="D437" s="236"/>
      <c r="E437" s="212"/>
      <c r="F437" s="212"/>
      <c r="G437" s="212"/>
      <c r="J437" s="212"/>
      <c r="K437" s="237"/>
      <c r="L437" s="212"/>
      <c r="M437" s="212"/>
    </row>
    <row r="438" spans="1:13" ht="12.75" customHeight="1">
      <c r="A438" s="212"/>
      <c r="B438" s="212"/>
      <c r="C438" s="212"/>
      <c r="D438" s="236"/>
      <c r="E438" s="212"/>
      <c r="F438" s="212"/>
      <c r="G438" s="212"/>
      <c r="J438" s="212"/>
      <c r="K438" s="237"/>
      <c r="L438" s="212"/>
      <c r="M438" s="212"/>
    </row>
    <row r="439" spans="1:13" ht="12.75" customHeight="1">
      <c r="A439" s="212"/>
      <c r="B439" s="212"/>
      <c r="C439" s="212"/>
      <c r="D439" s="236"/>
      <c r="E439" s="212"/>
      <c r="F439" s="212"/>
      <c r="G439" s="212"/>
      <c r="J439" s="212"/>
      <c r="K439" s="237"/>
      <c r="L439" s="212"/>
      <c r="M439" s="212"/>
    </row>
    <row r="440" spans="1:13" ht="12.75" customHeight="1">
      <c r="A440" s="212"/>
      <c r="B440" s="212"/>
      <c r="C440" s="212"/>
      <c r="D440" s="236"/>
      <c r="E440" s="212"/>
      <c r="F440" s="212"/>
      <c r="G440" s="212"/>
      <c r="J440" s="212"/>
      <c r="K440" s="237"/>
      <c r="L440" s="212"/>
      <c r="M440" s="212"/>
    </row>
    <row r="441" spans="1:13" ht="12.75" customHeight="1">
      <c r="A441" s="212"/>
      <c r="B441" s="212"/>
      <c r="C441" s="212"/>
      <c r="D441" s="236"/>
      <c r="E441" s="212"/>
      <c r="F441" s="212"/>
      <c r="G441" s="212"/>
      <c r="J441" s="212"/>
      <c r="K441" s="237"/>
      <c r="L441" s="212"/>
      <c r="M441" s="212"/>
    </row>
    <row r="442" spans="1:13" ht="12.75" customHeight="1">
      <c r="A442" s="212"/>
      <c r="B442" s="212"/>
      <c r="C442" s="212"/>
      <c r="D442" s="236"/>
      <c r="E442" s="212"/>
      <c r="F442" s="212"/>
      <c r="G442" s="212"/>
      <c r="J442" s="212"/>
      <c r="K442" s="237"/>
      <c r="L442" s="212"/>
      <c r="M442" s="212"/>
    </row>
    <row r="443" spans="1:13" ht="12.75" customHeight="1">
      <c r="A443" s="212"/>
      <c r="B443" s="212"/>
      <c r="C443" s="212"/>
      <c r="D443" s="236"/>
      <c r="E443" s="212"/>
      <c r="F443" s="212"/>
      <c r="G443" s="212"/>
      <c r="J443" s="212"/>
      <c r="K443" s="237"/>
      <c r="L443" s="212"/>
      <c r="M443" s="212"/>
    </row>
    <row r="444" spans="1:13" ht="12.75" customHeight="1">
      <c r="A444" s="212"/>
      <c r="B444" s="212"/>
      <c r="C444" s="212"/>
      <c r="D444" s="236"/>
      <c r="E444" s="212"/>
      <c r="F444" s="212"/>
      <c r="G444" s="212"/>
      <c r="J444" s="212"/>
      <c r="K444" s="237"/>
      <c r="L444" s="212"/>
      <c r="M444" s="212"/>
    </row>
    <row r="445" spans="1:13" ht="12.75" customHeight="1">
      <c r="A445" s="212"/>
      <c r="B445" s="212"/>
      <c r="C445" s="212"/>
      <c r="D445" s="236"/>
      <c r="E445" s="212"/>
      <c r="F445" s="212"/>
      <c r="G445" s="212"/>
      <c r="J445" s="212"/>
      <c r="K445" s="237"/>
      <c r="L445" s="212"/>
      <c r="M445" s="212"/>
    </row>
    <row r="446" spans="1:13" ht="12.75" customHeight="1">
      <c r="A446" s="212"/>
      <c r="B446" s="212"/>
      <c r="C446" s="212"/>
      <c r="D446" s="236"/>
      <c r="E446" s="212"/>
      <c r="F446" s="212"/>
      <c r="G446" s="212"/>
      <c r="J446" s="212"/>
      <c r="K446" s="237"/>
      <c r="L446" s="212"/>
      <c r="M446" s="212"/>
    </row>
    <row r="447" spans="1:13" ht="12.75" customHeight="1">
      <c r="A447" s="212"/>
      <c r="B447" s="212"/>
      <c r="C447" s="212"/>
      <c r="D447" s="236"/>
      <c r="E447" s="212"/>
      <c r="F447" s="212"/>
      <c r="G447" s="212"/>
      <c r="J447" s="212"/>
      <c r="K447" s="237"/>
      <c r="L447" s="212"/>
      <c r="M447" s="212"/>
    </row>
    <row r="448" spans="1:13" ht="12.75" customHeight="1">
      <c r="A448" s="212"/>
      <c r="B448" s="212"/>
      <c r="C448" s="212"/>
      <c r="D448" s="236"/>
      <c r="E448" s="212"/>
      <c r="F448" s="212"/>
      <c r="G448" s="212"/>
      <c r="J448" s="212"/>
      <c r="K448" s="237"/>
      <c r="L448" s="212"/>
      <c r="M448" s="212"/>
    </row>
    <row r="449" spans="1:13" ht="12.75" customHeight="1">
      <c r="A449" s="212"/>
      <c r="B449" s="212"/>
      <c r="C449" s="212"/>
      <c r="D449" s="236"/>
      <c r="E449" s="212"/>
      <c r="F449" s="212"/>
      <c r="G449" s="212"/>
      <c r="J449" s="212"/>
      <c r="K449" s="237"/>
      <c r="L449" s="212"/>
      <c r="M449" s="212"/>
    </row>
    <row r="450" spans="1:13" ht="12.75" customHeight="1">
      <c r="A450" s="212"/>
      <c r="B450" s="212"/>
      <c r="C450" s="212"/>
      <c r="D450" s="236"/>
      <c r="E450" s="212"/>
      <c r="F450" s="212"/>
      <c r="G450" s="212"/>
      <c r="J450" s="212"/>
      <c r="K450" s="237"/>
      <c r="L450" s="212"/>
      <c r="M450" s="212"/>
    </row>
    <row r="451" spans="1:13" ht="12.75" customHeight="1">
      <c r="A451" s="212"/>
      <c r="B451" s="212"/>
      <c r="C451" s="212"/>
      <c r="D451" s="236"/>
      <c r="E451" s="212"/>
      <c r="F451" s="212"/>
      <c r="G451" s="212"/>
      <c r="J451" s="212"/>
      <c r="K451" s="237"/>
      <c r="L451" s="212"/>
      <c r="M451" s="212"/>
    </row>
    <row r="452" spans="1:13" ht="12.75" customHeight="1">
      <c r="A452" s="212"/>
      <c r="B452" s="212"/>
      <c r="C452" s="212"/>
      <c r="D452" s="236"/>
      <c r="E452" s="212"/>
      <c r="F452" s="212"/>
      <c r="G452" s="212"/>
      <c r="J452" s="212"/>
      <c r="K452" s="237"/>
      <c r="L452" s="212"/>
      <c r="M452" s="212"/>
    </row>
    <row r="453" spans="1:13" ht="12.75" customHeight="1">
      <c r="A453" s="212"/>
      <c r="B453" s="212"/>
      <c r="C453" s="212"/>
      <c r="D453" s="236"/>
      <c r="E453" s="212"/>
      <c r="F453" s="212"/>
      <c r="G453" s="212"/>
      <c r="J453" s="212"/>
      <c r="K453" s="237"/>
      <c r="L453" s="212"/>
      <c r="M453" s="212"/>
    </row>
    <row r="454" spans="1:13" ht="12.75" customHeight="1">
      <c r="A454" s="212"/>
      <c r="B454" s="212"/>
      <c r="C454" s="212"/>
      <c r="D454" s="236"/>
      <c r="E454" s="212"/>
      <c r="F454" s="212"/>
      <c r="G454" s="212"/>
      <c r="J454" s="212"/>
      <c r="K454" s="237"/>
      <c r="L454" s="212"/>
      <c r="M454" s="212"/>
    </row>
    <row r="455" spans="1:13" ht="12.75" customHeight="1">
      <c r="A455" s="212"/>
      <c r="B455" s="212"/>
      <c r="C455" s="212"/>
      <c r="D455" s="236"/>
      <c r="E455" s="212"/>
      <c r="F455" s="212"/>
      <c r="G455" s="212"/>
      <c r="J455" s="212"/>
      <c r="K455" s="237"/>
      <c r="L455" s="212"/>
      <c r="M455" s="212"/>
    </row>
    <row r="456" spans="1:13" ht="12.75" customHeight="1">
      <c r="A456" s="212"/>
      <c r="B456" s="212"/>
      <c r="C456" s="212"/>
      <c r="D456" s="236"/>
      <c r="E456" s="212"/>
      <c r="F456" s="212"/>
      <c r="G456" s="212"/>
      <c r="J456" s="212"/>
      <c r="K456" s="237"/>
      <c r="L456" s="212"/>
      <c r="M456" s="212"/>
    </row>
    <row r="457" spans="1:13" ht="12.75" customHeight="1">
      <c r="A457" s="212"/>
      <c r="B457" s="212"/>
      <c r="C457" s="212"/>
      <c r="D457" s="236"/>
      <c r="E457" s="212"/>
      <c r="F457" s="212"/>
      <c r="G457" s="212"/>
      <c r="J457" s="212"/>
      <c r="K457" s="237"/>
      <c r="L457" s="212"/>
      <c r="M457" s="212"/>
    </row>
    <row r="458" spans="1:13" ht="12.75" customHeight="1">
      <c r="A458" s="212"/>
      <c r="B458" s="212"/>
      <c r="C458" s="212"/>
      <c r="D458" s="236"/>
      <c r="E458" s="212"/>
      <c r="F458" s="212"/>
      <c r="G458" s="212"/>
      <c r="J458" s="212"/>
      <c r="K458" s="237"/>
      <c r="L458" s="212"/>
      <c r="M458" s="212"/>
    </row>
    <row r="459" spans="1:13" ht="12.75" customHeight="1">
      <c r="A459" s="212"/>
      <c r="B459" s="212"/>
      <c r="C459" s="212"/>
      <c r="D459" s="236"/>
      <c r="E459" s="212"/>
      <c r="F459" s="212"/>
      <c r="G459" s="212"/>
      <c r="J459" s="212"/>
      <c r="K459" s="237"/>
      <c r="L459" s="212"/>
      <c r="M459" s="212"/>
    </row>
    <row r="460" spans="1:13" ht="12.75" customHeight="1">
      <c r="A460" s="212"/>
      <c r="B460" s="212"/>
      <c r="C460" s="212"/>
      <c r="D460" s="236"/>
      <c r="E460" s="212"/>
      <c r="F460" s="212"/>
      <c r="G460" s="212"/>
      <c r="J460" s="212"/>
      <c r="K460" s="237"/>
      <c r="L460" s="212"/>
      <c r="M460" s="212"/>
    </row>
    <row r="461" spans="1:13" ht="12.75" customHeight="1">
      <c r="A461" s="212"/>
      <c r="B461" s="212"/>
      <c r="C461" s="212"/>
      <c r="D461" s="236"/>
      <c r="E461" s="212"/>
      <c r="F461" s="212"/>
      <c r="G461" s="212"/>
      <c r="J461" s="212"/>
      <c r="K461" s="237"/>
      <c r="L461" s="212"/>
      <c r="M461" s="212"/>
    </row>
    <row r="462" spans="1:13" ht="12.75" customHeight="1">
      <c r="A462" s="212"/>
      <c r="B462" s="212"/>
      <c r="C462" s="212"/>
      <c r="D462" s="236"/>
      <c r="E462" s="212"/>
      <c r="F462" s="212"/>
      <c r="G462" s="212"/>
      <c r="J462" s="212"/>
      <c r="K462" s="237"/>
      <c r="L462" s="212"/>
      <c r="M462" s="212"/>
    </row>
    <row r="463" spans="1:13" ht="12.75" customHeight="1">
      <c r="A463" s="212"/>
      <c r="B463" s="212"/>
      <c r="C463" s="212"/>
      <c r="D463" s="236"/>
      <c r="E463" s="212"/>
      <c r="F463" s="212"/>
      <c r="G463" s="212"/>
      <c r="J463" s="212"/>
      <c r="K463" s="237"/>
      <c r="L463" s="212"/>
      <c r="M463" s="212"/>
    </row>
    <row r="464" spans="1:13" ht="12.75" customHeight="1">
      <c r="A464" s="212"/>
      <c r="B464" s="212"/>
      <c r="C464" s="212"/>
      <c r="D464" s="236"/>
      <c r="E464" s="212"/>
      <c r="F464" s="212"/>
      <c r="G464" s="212"/>
      <c r="J464" s="212"/>
      <c r="K464" s="237"/>
      <c r="L464" s="212"/>
      <c r="M464" s="212"/>
    </row>
    <row r="465" spans="1:13" ht="12.75" customHeight="1">
      <c r="A465" s="212"/>
      <c r="B465" s="212"/>
      <c r="C465" s="212"/>
      <c r="D465" s="236"/>
      <c r="E465" s="212"/>
      <c r="F465" s="212"/>
      <c r="G465" s="212"/>
      <c r="J465" s="212"/>
      <c r="K465" s="237"/>
      <c r="L465" s="212"/>
      <c r="M465" s="212"/>
    </row>
    <row r="466" spans="1:13" ht="12.75" customHeight="1">
      <c r="A466" s="212"/>
      <c r="B466" s="212"/>
      <c r="C466" s="212"/>
      <c r="D466" s="236"/>
      <c r="E466" s="212"/>
      <c r="F466" s="212"/>
      <c r="G466" s="212"/>
      <c r="J466" s="212"/>
      <c r="K466" s="237"/>
      <c r="L466" s="212"/>
      <c r="M466" s="212"/>
    </row>
    <row r="467" spans="1:13" ht="12.75" customHeight="1">
      <c r="A467" s="212"/>
      <c r="B467" s="212"/>
      <c r="C467" s="212"/>
      <c r="D467" s="236"/>
      <c r="E467" s="212"/>
      <c r="F467" s="212"/>
      <c r="G467" s="212"/>
      <c r="J467" s="212"/>
      <c r="K467" s="237"/>
      <c r="L467" s="212"/>
      <c r="M467" s="212"/>
    </row>
    <row r="468" spans="1:13" ht="12.75" customHeight="1">
      <c r="A468" s="212"/>
      <c r="B468" s="212"/>
      <c r="C468" s="212"/>
      <c r="D468" s="236"/>
      <c r="E468" s="212"/>
      <c r="F468" s="212"/>
      <c r="G468" s="212"/>
      <c r="J468" s="212"/>
      <c r="K468" s="237"/>
      <c r="L468" s="212"/>
      <c r="M468" s="212"/>
    </row>
    <row r="469" spans="1:13" ht="12.75" customHeight="1">
      <c r="A469" s="212"/>
      <c r="B469" s="212"/>
      <c r="C469" s="212"/>
      <c r="D469" s="236"/>
      <c r="E469" s="212"/>
      <c r="F469" s="212"/>
      <c r="G469" s="212"/>
      <c r="J469" s="212"/>
      <c r="K469" s="237"/>
      <c r="L469" s="212"/>
      <c r="M469" s="212"/>
    </row>
    <row r="470" spans="1:13" ht="12.75" customHeight="1">
      <c r="A470" s="212"/>
      <c r="B470" s="212"/>
      <c r="C470" s="212"/>
      <c r="D470" s="236"/>
      <c r="E470" s="212"/>
      <c r="F470" s="212"/>
      <c r="G470" s="212"/>
      <c r="J470" s="212"/>
      <c r="K470" s="237"/>
      <c r="L470" s="212"/>
      <c r="M470" s="212"/>
    </row>
    <row r="471" spans="1:13" ht="12.75" customHeight="1">
      <c r="A471" s="212"/>
      <c r="B471" s="212"/>
      <c r="C471" s="212"/>
      <c r="D471" s="236"/>
      <c r="E471" s="212"/>
      <c r="F471" s="212"/>
      <c r="G471" s="212"/>
      <c r="J471" s="212"/>
      <c r="K471" s="237"/>
      <c r="L471" s="212"/>
      <c r="M471" s="212"/>
    </row>
    <row r="472" spans="1:13" ht="12.75" customHeight="1">
      <c r="A472" s="212"/>
      <c r="B472" s="212"/>
      <c r="C472" s="212"/>
      <c r="D472" s="236"/>
      <c r="E472" s="212"/>
      <c r="F472" s="212"/>
      <c r="G472" s="212"/>
      <c r="J472" s="212"/>
      <c r="K472" s="237"/>
      <c r="L472" s="212"/>
      <c r="M472" s="212"/>
    </row>
    <row r="473" spans="1:13" ht="12.75" customHeight="1">
      <c r="A473" s="212"/>
      <c r="B473" s="212"/>
      <c r="C473" s="212"/>
      <c r="D473" s="236"/>
      <c r="E473" s="212"/>
      <c r="F473" s="212"/>
      <c r="G473" s="212"/>
      <c r="J473" s="212"/>
      <c r="K473" s="237"/>
      <c r="L473" s="212"/>
      <c r="M473" s="212"/>
    </row>
    <row r="474" spans="1:13" ht="12.75" customHeight="1">
      <c r="A474" s="212"/>
      <c r="B474" s="212"/>
      <c r="C474" s="212"/>
      <c r="D474" s="236"/>
      <c r="E474" s="212"/>
      <c r="F474" s="212"/>
      <c r="G474" s="212"/>
      <c r="J474" s="212"/>
      <c r="K474" s="237"/>
      <c r="L474" s="212"/>
      <c r="M474" s="212"/>
    </row>
    <row r="475" spans="1:13" ht="12.75" customHeight="1">
      <c r="A475" s="212"/>
      <c r="B475" s="212"/>
      <c r="C475" s="212"/>
      <c r="D475" s="236"/>
      <c r="E475" s="212"/>
      <c r="F475" s="212"/>
      <c r="G475" s="212"/>
      <c r="J475" s="212"/>
      <c r="K475" s="237"/>
      <c r="L475" s="212"/>
      <c r="M475" s="212"/>
    </row>
    <row r="476" spans="1:13" ht="12.75" customHeight="1">
      <c r="A476" s="212"/>
      <c r="B476" s="212"/>
      <c r="C476" s="212"/>
      <c r="D476" s="236"/>
      <c r="E476" s="212"/>
      <c r="F476" s="212"/>
      <c r="G476" s="212"/>
      <c r="J476" s="212"/>
      <c r="K476" s="237"/>
      <c r="L476" s="212"/>
      <c r="M476" s="212"/>
    </row>
    <row r="477" spans="1:13" ht="12.75" customHeight="1">
      <c r="A477" s="212"/>
      <c r="B477" s="212"/>
      <c r="C477" s="212"/>
      <c r="D477" s="236"/>
      <c r="E477" s="212"/>
      <c r="F477" s="212"/>
      <c r="G477" s="212"/>
      <c r="J477" s="212"/>
      <c r="K477" s="237"/>
      <c r="L477" s="212"/>
      <c r="M477" s="212"/>
    </row>
    <row r="478" spans="1:13" ht="12.75" customHeight="1">
      <c r="A478" s="212"/>
      <c r="B478" s="212"/>
      <c r="C478" s="212"/>
      <c r="D478" s="236"/>
      <c r="E478" s="212"/>
      <c r="F478" s="212"/>
      <c r="G478" s="212"/>
      <c r="J478" s="212"/>
      <c r="K478" s="237"/>
      <c r="L478" s="212"/>
      <c r="M478" s="212"/>
    </row>
    <row r="479" spans="1:13" ht="12.75" customHeight="1">
      <c r="A479" s="212"/>
      <c r="B479" s="212"/>
      <c r="C479" s="212"/>
      <c r="D479" s="236"/>
      <c r="E479" s="212"/>
      <c r="F479" s="212"/>
      <c r="G479" s="212"/>
      <c r="J479" s="212"/>
      <c r="K479" s="237"/>
      <c r="L479" s="212"/>
      <c r="M479" s="212"/>
    </row>
    <row r="480" spans="1:13" ht="12.75" customHeight="1">
      <c r="A480" s="212"/>
      <c r="B480" s="212"/>
      <c r="C480" s="212"/>
      <c r="D480" s="236"/>
      <c r="E480" s="212"/>
      <c r="F480" s="212"/>
      <c r="G480" s="212"/>
      <c r="J480" s="212"/>
      <c r="K480" s="237"/>
      <c r="L480" s="212"/>
      <c r="M480" s="212"/>
    </row>
    <row r="481" spans="1:13" ht="12.75" customHeight="1">
      <c r="A481" s="212"/>
      <c r="B481" s="212"/>
      <c r="C481" s="212"/>
      <c r="D481" s="236"/>
      <c r="E481" s="212"/>
      <c r="F481" s="212"/>
      <c r="G481" s="212"/>
      <c r="J481" s="212"/>
      <c r="K481" s="237"/>
      <c r="L481" s="212"/>
      <c r="M481" s="212"/>
    </row>
    <row r="482" spans="1:13" ht="12.75" customHeight="1">
      <c r="A482" s="212"/>
      <c r="B482" s="212"/>
      <c r="C482" s="212"/>
      <c r="D482" s="236"/>
      <c r="E482" s="212"/>
      <c r="F482" s="212"/>
      <c r="G482" s="212"/>
      <c r="J482" s="212"/>
      <c r="K482" s="237"/>
      <c r="L482" s="212"/>
      <c r="M482" s="212"/>
    </row>
    <row r="483" spans="1:13" ht="12.75" customHeight="1">
      <c r="A483" s="212"/>
      <c r="B483" s="212"/>
      <c r="C483" s="212"/>
      <c r="D483" s="236"/>
      <c r="E483" s="212"/>
      <c r="F483" s="212"/>
      <c r="G483" s="212"/>
      <c r="J483" s="212"/>
      <c r="K483" s="237"/>
      <c r="L483" s="212"/>
      <c r="M483" s="212"/>
    </row>
    <row r="484" spans="1:13" ht="12.75" customHeight="1">
      <c r="A484" s="212"/>
      <c r="B484" s="212"/>
      <c r="C484" s="212"/>
      <c r="D484" s="236"/>
      <c r="E484" s="212"/>
      <c r="F484" s="212"/>
      <c r="G484" s="212"/>
      <c r="J484" s="212"/>
      <c r="K484" s="237"/>
      <c r="L484" s="212"/>
      <c r="M484" s="212"/>
    </row>
    <row r="485" spans="1:13" ht="12.75" customHeight="1">
      <c r="A485" s="212"/>
      <c r="B485" s="212"/>
      <c r="C485" s="212"/>
      <c r="D485" s="236"/>
      <c r="E485" s="212"/>
      <c r="F485" s="212"/>
      <c r="G485" s="212"/>
      <c r="J485" s="212"/>
      <c r="K485" s="237"/>
      <c r="L485" s="212"/>
      <c r="M485" s="212"/>
    </row>
    <row r="486" spans="1:13" ht="12.75" customHeight="1">
      <c r="A486" s="212"/>
      <c r="B486" s="212"/>
      <c r="C486" s="212"/>
      <c r="D486" s="236"/>
      <c r="E486" s="212"/>
      <c r="F486" s="212"/>
      <c r="G486" s="212"/>
      <c r="J486" s="212"/>
      <c r="K486" s="237"/>
      <c r="L486" s="212"/>
      <c r="M486" s="212"/>
    </row>
    <row r="487" spans="1:13" ht="12.75" customHeight="1">
      <c r="A487" s="212"/>
      <c r="B487" s="212"/>
      <c r="C487" s="212"/>
      <c r="D487" s="236"/>
      <c r="E487" s="212"/>
      <c r="F487" s="212"/>
      <c r="G487" s="212"/>
      <c r="J487" s="212"/>
      <c r="K487" s="237"/>
      <c r="L487" s="212"/>
      <c r="M487" s="212"/>
    </row>
    <row r="488" spans="1:13" ht="12.75" customHeight="1">
      <c r="A488" s="212"/>
      <c r="B488" s="212"/>
      <c r="C488" s="212"/>
      <c r="D488" s="236"/>
      <c r="E488" s="212"/>
      <c r="F488" s="212"/>
      <c r="G488" s="212"/>
      <c r="J488" s="212"/>
      <c r="K488" s="237"/>
      <c r="L488" s="212"/>
      <c r="M488" s="212"/>
    </row>
    <row r="489" spans="1:13" ht="12.75" customHeight="1">
      <c r="A489" s="212"/>
      <c r="B489" s="212"/>
      <c r="C489" s="212"/>
      <c r="D489" s="236"/>
      <c r="E489" s="212"/>
      <c r="F489" s="212"/>
      <c r="G489" s="212"/>
      <c r="J489" s="212"/>
      <c r="K489" s="237"/>
      <c r="L489" s="212"/>
      <c r="M489" s="212"/>
    </row>
    <row r="490" spans="1:13" ht="12.75" customHeight="1">
      <c r="A490" s="212"/>
      <c r="B490" s="212"/>
      <c r="C490" s="212"/>
      <c r="D490" s="236"/>
      <c r="E490" s="212"/>
      <c r="F490" s="212"/>
      <c r="G490" s="212"/>
      <c r="J490" s="212"/>
      <c r="K490" s="237"/>
      <c r="L490" s="212"/>
      <c r="M490" s="212"/>
    </row>
    <row r="491" spans="1:13" ht="12.75" customHeight="1">
      <c r="A491" s="212"/>
      <c r="B491" s="212"/>
      <c r="C491" s="212"/>
      <c r="D491" s="236"/>
      <c r="E491" s="212"/>
      <c r="F491" s="212"/>
      <c r="G491" s="212"/>
      <c r="J491" s="212"/>
      <c r="K491" s="237"/>
      <c r="L491" s="212"/>
      <c r="M491" s="212"/>
    </row>
    <row r="492" spans="1:13" ht="12.75" customHeight="1">
      <c r="A492" s="212"/>
      <c r="B492" s="212"/>
      <c r="C492" s="212"/>
      <c r="D492" s="236"/>
      <c r="E492" s="212"/>
      <c r="F492" s="212"/>
      <c r="G492" s="212"/>
      <c r="J492" s="212"/>
      <c r="K492" s="237"/>
      <c r="L492" s="212"/>
      <c r="M492" s="212"/>
    </row>
    <row r="493" spans="1:13" ht="12.75" customHeight="1">
      <c r="A493" s="212"/>
      <c r="B493" s="212"/>
      <c r="C493" s="212"/>
      <c r="D493" s="236"/>
      <c r="E493" s="212"/>
      <c r="F493" s="212"/>
      <c r="G493" s="212"/>
      <c r="J493" s="212"/>
      <c r="K493" s="237"/>
      <c r="L493" s="212"/>
      <c r="M493" s="212"/>
    </row>
    <row r="494" spans="1:13" ht="12.75" customHeight="1">
      <c r="A494" s="212"/>
      <c r="B494" s="212"/>
      <c r="C494" s="212"/>
      <c r="D494" s="236"/>
      <c r="E494" s="212"/>
      <c r="F494" s="212"/>
      <c r="G494" s="212"/>
      <c r="J494" s="212"/>
      <c r="K494" s="237"/>
      <c r="L494" s="212"/>
      <c r="M494" s="212"/>
    </row>
    <row r="495" spans="1:13" ht="12.75" customHeight="1">
      <c r="A495" s="212"/>
      <c r="B495" s="212"/>
      <c r="C495" s="212"/>
      <c r="D495" s="236"/>
      <c r="E495" s="212"/>
      <c r="F495" s="212"/>
      <c r="G495" s="212"/>
      <c r="J495" s="212"/>
      <c r="K495" s="237"/>
      <c r="L495" s="212"/>
      <c r="M495" s="212"/>
    </row>
    <row r="496" spans="1:13" ht="12.75" customHeight="1">
      <c r="A496" s="212"/>
      <c r="B496" s="212"/>
      <c r="C496" s="212"/>
      <c r="D496" s="236"/>
      <c r="E496" s="212"/>
      <c r="F496" s="212"/>
      <c r="G496" s="212"/>
      <c r="J496" s="212"/>
      <c r="K496" s="237"/>
      <c r="L496" s="212"/>
      <c r="M496" s="212"/>
    </row>
    <row r="497" spans="1:13" ht="12.75" customHeight="1">
      <c r="A497" s="212"/>
      <c r="B497" s="212"/>
      <c r="C497" s="212"/>
      <c r="D497" s="236"/>
      <c r="E497" s="212"/>
      <c r="F497" s="212"/>
      <c r="G497" s="212"/>
      <c r="J497" s="212"/>
      <c r="K497" s="237"/>
      <c r="L497" s="212"/>
      <c r="M497" s="212"/>
    </row>
    <row r="498" spans="1:13" ht="12.75" customHeight="1">
      <c r="A498" s="212"/>
      <c r="B498" s="212"/>
      <c r="C498" s="212"/>
      <c r="D498" s="236"/>
      <c r="E498" s="212"/>
      <c r="F498" s="212"/>
      <c r="G498" s="212"/>
      <c r="J498" s="212"/>
      <c r="K498" s="237"/>
      <c r="L498" s="212"/>
      <c r="M498" s="212"/>
    </row>
    <row r="499" spans="1:13" ht="12.75" customHeight="1">
      <c r="A499" s="212"/>
      <c r="B499" s="212"/>
      <c r="C499" s="212"/>
      <c r="D499" s="236"/>
      <c r="E499" s="212"/>
      <c r="F499" s="212"/>
      <c r="G499" s="212"/>
      <c r="J499" s="212"/>
      <c r="K499" s="237"/>
      <c r="L499" s="212"/>
      <c r="M499" s="212"/>
    </row>
    <row r="500" spans="1:13" ht="12.75" customHeight="1">
      <c r="A500" s="212"/>
      <c r="B500" s="212"/>
      <c r="C500" s="212"/>
      <c r="D500" s="236"/>
      <c r="E500" s="212"/>
      <c r="F500" s="212"/>
      <c r="G500" s="212"/>
      <c r="J500" s="212"/>
      <c r="K500" s="237"/>
      <c r="L500" s="212"/>
      <c r="M500" s="212"/>
    </row>
    <row r="501" spans="1:13" ht="12.75" customHeight="1">
      <c r="A501" s="212"/>
      <c r="B501" s="212"/>
      <c r="C501" s="212"/>
      <c r="D501" s="236"/>
      <c r="E501" s="212"/>
      <c r="F501" s="212"/>
      <c r="G501" s="212"/>
      <c r="J501" s="212"/>
      <c r="K501" s="237"/>
      <c r="L501" s="212"/>
      <c r="M501" s="212"/>
    </row>
    <row r="502" spans="1:13" ht="12.75" customHeight="1">
      <c r="A502" s="212"/>
      <c r="B502" s="212"/>
      <c r="C502" s="212"/>
      <c r="D502" s="236"/>
      <c r="E502" s="212"/>
      <c r="F502" s="212"/>
      <c r="G502" s="212"/>
      <c r="J502" s="212"/>
      <c r="K502" s="237"/>
      <c r="L502" s="212"/>
      <c r="M502" s="212"/>
    </row>
    <row r="503" spans="1:13" ht="12.75" customHeight="1">
      <c r="A503" s="212"/>
      <c r="B503" s="212"/>
      <c r="C503" s="212"/>
      <c r="D503" s="236"/>
      <c r="E503" s="212"/>
      <c r="F503" s="212"/>
      <c r="G503" s="212"/>
      <c r="J503" s="212"/>
      <c r="K503" s="237"/>
      <c r="L503" s="212"/>
      <c r="M503" s="212"/>
    </row>
    <row r="504" spans="1:13" ht="12.75" customHeight="1">
      <c r="A504" s="212"/>
      <c r="B504" s="212"/>
      <c r="C504" s="212"/>
      <c r="D504" s="236"/>
      <c r="E504" s="212"/>
      <c r="F504" s="212"/>
      <c r="G504" s="212"/>
      <c r="J504" s="212"/>
      <c r="K504" s="237"/>
      <c r="L504" s="212"/>
      <c r="M504" s="212"/>
    </row>
    <row r="505" spans="1:13" ht="12.75" customHeight="1">
      <c r="A505" s="212"/>
      <c r="B505" s="212"/>
      <c r="C505" s="212"/>
      <c r="D505" s="236"/>
      <c r="E505" s="212"/>
      <c r="F505" s="212"/>
      <c r="G505" s="212"/>
      <c r="J505" s="212"/>
      <c r="K505" s="237"/>
      <c r="L505" s="212"/>
      <c r="M505" s="212"/>
    </row>
    <row r="506" spans="1:13" ht="12.75" customHeight="1">
      <c r="A506" s="212"/>
      <c r="B506" s="212"/>
      <c r="C506" s="212"/>
      <c r="D506" s="236"/>
      <c r="E506" s="212"/>
      <c r="F506" s="212"/>
      <c r="G506" s="212"/>
      <c r="J506" s="212"/>
      <c r="K506" s="237"/>
      <c r="L506" s="212"/>
      <c r="M506" s="212"/>
    </row>
    <row r="507" spans="1:13" ht="12.75" customHeight="1">
      <c r="A507" s="212"/>
      <c r="B507" s="212"/>
      <c r="C507" s="212"/>
      <c r="D507" s="236"/>
      <c r="E507" s="212"/>
      <c r="F507" s="212"/>
      <c r="G507" s="212"/>
      <c r="J507" s="212"/>
      <c r="K507" s="237"/>
      <c r="L507" s="212"/>
      <c r="M507" s="212"/>
    </row>
    <row r="508" spans="1:13" ht="12.75" customHeight="1">
      <c r="A508" s="212"/>
      <c r="B508" s="212"/>
      <c r="C508" s="212"/>
      <c r="D508" s="236"/>
      <c r="E508" s="212"/>
      <c r="F508" s="212"/>
      <c r="G508" s="212"/>
      <c r="J508" s="212"/>
      <c r="K508" s="237"/>
      <c r="L508" s="212"/>
      <c r="M508" s="212"/>
    </row>
    <row r="509" spans="1:13" ht="12.75" customHeight="1">
      <c r="A509" s="212"/>
      <c r="B509" s="212"/>
      <c r="C509" s="212"/>
      <c r="D509" s="236"/>
      <c r="E509" s="212"/>
      <c r="F509" s="212"/>
      <c r="G509" s="212"/>
      <c r="J509" s="212"/>
      <c r="K509" s="237"/>
      <c r="L509" s="212"/>
      <c r="M509" s="212"/>
    </row>
    <row r="510" spans="1:13" ht="12.75" customHeight="1">
      <c r="A510" s="212"/>
      <c r="B510" s="212"/>
      <c r="C510" s="212"/>
      <c r="D510" s="236"/>
      <c r="E510" s="212"/>
      <c r="F510" s="212"/>
      <c r="G510" s="212"/>
      <c r="J510" s="212"/>
      <c r="K510" s="237"/>
      <c r="L510" s="212"/>
      <c r="M510" s="212"/>
    </row>
    <row r="511" spans="1:13" ht="12.75" customHeight="1">
      <c r="A511" s="212"/>
      <c r="B511" s="212"/>
      <c r="C511" s="212"/>
      <c r="D511" s="236"/>
      <c r="E511" s="212"/>
      <c r="F511" s="212"/>
      <c r="G511" s="212"/>
      <c r="J511" s="212"/>
      <c r="K511" s="237"/>
      <c r="L511" s="212"/>
      <c r="M511" s="212"/>
    </row>
    <row r="512" spans="1:13" ht="12.75" customHeight="1">
      <c r="A512" s="212"/>
      <c r="B512" s="212"/>
      <c r="C512" s="212"/>
      <c r="D512" s="236"/>
      <c r="E512" s="212"/>
      <c r="F512" s="212"/>
      <c r="G512" s="212"/>
      <c r="J512" s="212"/>
      <c r="K512" s="237"/>
      <c r="L512" s="212"/>
      <c r="M512" s="212"/>
    </row>
    <row r="513" spans="1:13" ht="12.75" customHeight="1">
      <c r="A513" s="212"/>
      <c r="B513" s="212"/>
      <c r="C513" s="212"/>
      <c r="D513" s="236"/>
      <c r="E513" s="212"/>
      <c r="F513" s="212"/>
      <c r="G513" s="212"/>
      <c r="J513" s="212"/>
      <c r="K513" s="237"/>
      <c r="L513" s="212"/>
      <c r="M513" s="212"/>
    </row>
    <row r="514" spans="1:13" ht="12.75" customHeight="1">
      <c r="A514" s="212"/>
      <c r="B514" s="212"/>
      <c r="C514" s="212"/>
      <c r="D514" s="236"/>
      <c r="E514" s="212"/>
      <c r="F514" s="212"/>
      <c r="G514" s="212"/>
      <c r="J514" s="212"/>
      <c r="K514" s="237"/>
      <c r="L514" s="212"/>
      <c r="M514" s="212"/>
    </row>
    <row r="515" spans="1:13" ht="12.75" customHeight="1">
      <c r="A515" s="212"/>
      <c r="B515" s="212"/>
      <c r="C515" s="212"/>
      <c r="D515" s="236"/>
      <c r="E515" s="212"/>
      <c r="F515" s="212"/>
      <c r="G515" s="212"/>
      <c r="J515" s="212"/>
      <c r="K515" s="237"/>
      <c r="L515" s="212"/>
      <c r="M515" s="212"/>
    </row>
    <row r="516" spans="1:13" ht="12.75" customHeight="1">
      <c r="A516" s="212"/>
      <c r="B516" s="212"/>
      <c r="C516" s="212"/>
      <c r="D516" s="236"/>
      <c r="E516" s="212"/>
      <c r="F516" s="212"/>
      <c r="G516" s="212"/>
      <c r="J516" s="212"/>
      <c r="K516" s="237"/>
      <c r="L516" s="212"/>
      <c r="M516" s="212"/>
    </row>
    <row r="517" spans="1:13" ht="12.75" customHeight="1">
      <c r="A517" s="212"/>
      <c r="B517" s="212"/>
      <c r="C517" s="212"/>
      <c r="D517" s="236"/>
      <c r="E517" s="212"/>
      <c r="F517" s="212"/>
      <c r="G517" s="212"/>
      <c r="J517" s="212"/>
      <c r="K517" s="237"/>
      <c r="L517" s="212"/>
      <c r="M517" s="212"/>
    </row>
    <row r="518" spans="1:13" ht="12.75" customHeight="1">
      <c r="A518" s="212"/>
      <c r="B518" s="212"/>
      <c r="C518" s="212"/>
      <c r="D518" s="236"/>
      <c r="E518" s="212"/>
      <c r="F518" s="212"/>
      <c r="G518" s="212"/>
      <c r="J518" s="212"/>
      <c r="K518" s="237"/>
      <c r="L518" s="212"/>
      <c r="M518" s="212"/>
    </row>
    <row r="519" spans="1:13" ht="12.75" customHeight="1">
      <c r="A519" s="212"/>
      <c r="B519" s="212"/>
      <c r="C519" s="212"/>
      <c r="D519" s="236"/>
      <c r="E519" s="212"/>
      <c r="F519" s="212"/>
      <c r="G519" s="212"/>
      <c r="J519" s="212"/>
      <c r="K519" s="237"/>
      <c r="L519" s="212"/>
      <c r="M519" s="212"/>
    </row>
    <row r="520" spans="1:13" ht="12.75" customHeight="1">
      <c r="A520" s="212"/>
      <c r="B520" s="212"/>
      <c r="C520" s="212"/>
      <c r="D520" s="236"/>
      <c r="E520" s="212"/>
      <c r="F520" s="212"/>
      <c r="G520" s="212"/>
      <c r="J520" s="212"/>
      <c r="K520" s="237"/>
      <c r="L520" s="212"/>
      <c r="M520" s="212"/>
    </row>
    <row r="521" spans="1:13" ht="12.75" customHeight="1">
      <c r="A521" s="212"/>
      <c r="B521" s="212"/>
      <c r="C521" s="212"/>
      <c r="D521" s="236"/>
      <c r="E521" s="212"/>
      <c r="F521" s="212"/>
      <c r="G521" s="212"/>
      <c r="J521" s="212"/>
      <c r="K521" s="237"/>
      <c r="L521" s="212"/>
      <c r="M521" s="212"/>
    </row>
    <row r="522" spans="1:13" ht="12.75" customHeight="1">
      <c r="A522" s="212"/>
      <c r="B522" s="212"/>
      <c r="C522" s="212"/>
      <c r="D522" s="236"/>
      <c r="E522" s="212"/>
      <c r="F522" s="212"/>
      <c r="G522" s="212"/>
      <c r="J522" s="212"/>
      <c r="K522" s="237"/>
      <c r="L522" s="212"/>
      <c r="M522" s="212"/>
    </row>
    <row r="523" spans="1:13" ht="12.75" customHeight="1">
      <c r="A523" s="212"/>
      <c r="B523" s="212"/>
      <c r="C523" s="212"/>
      <c r="D523" s="236"/>
      <c r="E523" s="212"/>
      <c r="F523" s="212"/>
      <c r="G523" s="212"/>
      <c r="J523" s="212"/>
      <c r="K523" s="237"/>
      <c r="L523" s="212"/>
      <c r="M523" s="212"/>
    </row>
    <row r="524" spans="1:13" ht="12.75" customHeight="1">
      <c r="A524" s="212"/>
      <c r="B524" s="212"/>
      <c r="C524" s="212"/>
      <c r="D524" s="236"/>
      <c r="E524" s="212"/>
      <c r="F524" s="212"/>
      <c r="G524" s="212"/>
      <c r="J524" s="212"/>
      <c r="K524" s="237"/>
      <c r="L524" s="212"/>
      <c r="M524" s="212"/>
    </row>
    <row r="525" spans="1:13" ht="12.75" customHeight="1">
      <c r="A525" s="212"/>
      <c r="B525" s="212"/>
      <c r="C525" s="212"/>
      <c r="D525" s="236"/>
      <c r="E525" s="212"/>
      <c r="F525" s="212"/>
      <c r="G525" s="212"/>
      <c r="J525" s="212"/>
      <c r="K525" s="237"/>
      <c r="L525" s="212"/>
      <c r="M525" s="212"/>
    </row>
    <row r="526" spans="1:13" ht="12.75" customHeight="1">
      <c r="A526" s="212"/>
      <c r="B526" s="212"/>
      <c r="C526" s="212"/>
      <c r="D526" s="236"/>
      <c r="E526" s="212"/>
      <c r="F526" s="212"/>
      <c r="G526" s="212"/>
      <c r="J526" s="212"/>
      <c r="K526" s="237"/>
      <c r="L526" s="212"/>
      <c r="M526" s="212"/>
    </row>
    <row r="527" spans="1:13" ht="12.75" customHeight="1">
      <c r="A527" s="212"/>
      <c r="B527" s="212"/>
      <c r="C527" s="212"/>
      <c r="D527" s="236"/>
      <c r="E527" s="212"/>
      <c r="F527" s="212"/>
      <c r="G527" s="212"/>
      <c r="J527" s="212"/>
      <c r="K527" s="237"/>
      <c r="L527" s="212"/>
      <c r="M527" s="212"/>
    </row>
    <row r="528" spans="1:13" ht="12.75" customHeight="1">
      <c r="A528" s="212"/>
      <c r="B528" s="212"/>
      <c r="C528" s="212"/>
      <c r="D528" s="236"/>
      <c r="E528" s="212"/>
      <c r="F528" s="212"/>
      <c r="G528" s="212"/>
      <c r="J528" s="212"/>
      <c r="K528" s="237"/>
      <c r="L528" s="212"/>
      <c r="M528" s="212"/>
    </row>
    <row r="529" spans="1:13" ht="12.75" customHeight="1">
      <c r="A529" s="212"/>
      <c r="B529" s="212"/>
      <c r="C529" s="212"/>
      <c r="D529" s="236"/>
      <c r="E529" s="212"/>
      <c r="F529" s="212"/>
      <c r="G529" s="212"/>
      <c r="J529" s="212"/>
      <c r="K529" s="237"/>
      <c r="L529" s="212"/>
      <c r="M529" s="212"/>
    </row>
    <row r="530" spans="1:13" ht="12.75" customHeight="1">
      <c r="A530" s="212"/>
      <c r="B530" s="212"/>
      <c r="C530" s="212"/>
      <c r="D530" s="236"/>
      <c r="E530" s="212"/>
      <c r="F530" s="212"/>
      <c r="G530" s="212"/>
      <c r="J530" s="212"/>
      <c r="K530" s="237"/>
      <c r="L530" s="212"/>
      <c r="M530" s="212"/>
    </row>
    <row r="531" spans="1:13" ht="12.75" customHeight="1">
      <c r="A531" s="212"/>
      <c r="B531" s="212"/>
      <c r="C531" s="212"/>
      <c r="D531" s="236"/>
      <c r="E531" s="212"/>
      <c r="F531" s="212"/>
      <c r="G531" s="212"/>
      <c r="J531" s="212"/>
      <c r="K531" s="237"/>
      <c r="L531" s="212"/>
      <c r="M531" s="212"/>
    </row>
    <row r="532" spans="1:13" ht="12.75" customHeight="1">
      <c r="A532" s="212"/>
      <c r="B532" s="212"/>
      <c r="C532" s="212"/>
      <c r="D532" s="236"/>
      <c r="E532" s="212"/>
      <c r="F532" s="212"/>
      <c r="G532" s="212"/>
      <c r="J532" s="212"/>
      <c r="K532" s="237"/>
      <c r="L532" s="212"/>
      <c r="M532" s="212"/>
    </row>
    <row r="533" spans="1:13" ht="12.75" customHeight="1">
      <c r="A533" s="212"/>
      <c r="B533" s="212"/>
      <c r="C533" s="212"/>
      <c r="D533" s="236"/>
      <c r="E533" s="212"/>
      <c r="F533" s="212"/>
      <c r="G533" s="212"/>
      <c r="J533" s="212"/>
      <c r="K533" s="237"/>
      <c r="L533" s="212"/>
      <c r="M533" s="212"/>
    </row>
    <row r="534" spans="1:13" ht="12.75" customHeight="1">
      <c r="A534" s="212"/>
      <c r="B534" s="212"/>
      <c r="C534" s="212"/>
      <c r="D534" s="236"/>
      <c r="E534" s="212"/>
      <c r="F534" s="212"/>
      <c r="G534" s="212"/>
      <c r="J534" s="212"/>
      <c r="K534" s="237"/>
      <c r="L534" s="212"/>
      <c r="M534" s="212"/>
    </row>
    <row r="535" spans="1:13" ht="12.75" customHeight="1">
      <c r="A535" s="212"/>
      <c r="B535" s="212"/>
      <c r="C535" s="212"/>
      <c r="D535" s="236"/>
      <c r="E535" s="212"/>
      <c r="F535" s="212"/>
      <c r="G535" s="212"/>
      <c r="J535" s="212"/>
      <c r="K535" s="237"/>
      <c r="L535" s="212"/>
      <c r="M535" s="212"/>
    </row>
    <row r="536" spans="1:13" ht="12.75" customHeight="1">
      <c r="A536" s="212"/>
      <c r="B536" s="212"/>
      <c r="C536" s="212"/>
      <c r="D536" s="236"/>
      <c r="E536" s="212"/>
      <c r="F536" s="212"/>
      <c r="G536" s="212"/>
      <c r="J536" s="212"/>
      <c r="K536" s="237"/>
      <c r="L536" s="212"/>
      <c r="M536" s="212"/>
    </row>
    <row r="537" spans="1:13" ht="12.75" customHeight="1">
      <c r="A537" s="212"/>
      <c r="B537" s="212"/>
      <c r="C537" s="212"/>
      <c r="D537" s="236"/>
      <c r="E537" s="212"/>
      <c r="F537" s="212"/>
      <c r="G537" s="212"/>
      <c r="J537" s="212"/>
      <c r="K537" s="237"/>
      <c r="L537" s="212"/>
      <c r="M537" s="212"/>
    </row>
    <row r="538" spans="1:13" ht="12.75" customHeight="1">
      <c r="A538" s="212"/>
      <c r="B538" s="212"/>
      <c r="C538" s="212"/>
      <c r="D538" s="236"/>
      <c r="E538" s="212"/>
      <c r="F538" s="212"/>
      <c r="G538" s="212"/>
      <c r="J538" s="212"/>
      <c r="K538" s="237"/>
      <c r="L538" s="212"/>
      <c r="M538" s="212"/>
    </row>
    <row r="539" spans="1:13" ht="12.75" customHeight="1">
      <c r="A539" s="212"/>
      <c r="B539" s="212"/>
      <c r="C539" s="212"/>
      <c r="D539" s="236"/>
      <c r="E539" s="212"/>
      <c r="F539" s="212"/>
      <c r="G539" s="212"/>
      <c r="J539" s="212"/>
      <c r="K539" s="237"/>
      <c r="L539" s="212"/>
      <c r="M539" s="212"/>
    </row>
    <row r="540" spans="1:13" ht="12.75" customHeight="1">
      <c r="A540" s="212"/>
      <c r="B540" s="212"/>
      <c r="C540" s="212"/>
      <c r="D540" s="236"/>
      <c r="E540" s="212"/>
      <c r="F540" s="212"/>
      <c r="G540" s="212"/>
      <c r="J540" s="212"/>
      <c r="K540" s="237"/>
      <c r="L540" s="212"/>
      <c r="M540" s="212"/>
    </row>
    <row r="541" spans="1:13" ht="12.75" customHeight="1">
      <c r="A541" s="212"/>
      <c r="B541" s="212"/>
      <c r="C541" s="212"/>
      <c r="D541" s="236"/>
      <c r="E541" s="212"/>
      <c r="F541" s="212"/>
      <c r="G541" s="212"/>
      <c r="J541" s="212"/>
      <c r="K541" s="237"/>
      <c r="L541" s="212"/>
      <c r="M541" s="212"/>
    </row>
    <row r="542" spans="1:13" ht="12.75" customHeight="1">
      <c r="A542" s="212"/>
      <c r="B542" s="212"/>
      <c r="C542" s="212"/>
      <c r="D542" s="236"/>
      <c r="E542" s="212"/>
      <c r="F542" s="212"/>
      <c r="G542" s="212"/>
      <c r="J542" s="212"/>
      <c r="K542" s="237"/>
      <c r="L542" s="212"/>
      <c r="M542" s="212"/>
    </row>
    <row r="543" spans="1:13" ht="12.75" customHeight="1">
      <c r="A543" s="212"/>
      <c r="B543" s="212"/>
      <c r="C543" s="212"/>
      <c r="D543" s="236"/>
      <c r="E543" s="212"/>
      <c r="F543" s="212"/>
      <c r="G543" s="212"/>
      <c r="J543" s="212"/>
      <c r="K543" s="237"/>
      <c r="L543" s="212"/>
      <c r="M543" s="212"/>
    </row>
    <row r="544" spans="1:13" ht="12.75" customHeight="1">
      <c r="A544" s="212"/>
      <c r="B544" s="212"/>
      <c r="C544" s="212"/>
      <c r="D544" s="236"/>
      <c r="E544" s="212"/>
      <c r="F544" s="212"/>
      <c r="G544" s="212"/>
      <c r="J544" s="212"/>
      <c r="K544" s="237"/>
      <c r="L544" s="212"/>
      <c r="M544" s="212"/>
    </row>
    <row r="545" spans="1:13" ht="12.75" customHeight="1">
      <c r="A545" s="212"/>
      <c r="B545" s="212"/>
      <c r="C545" s="212"/>
      <c r="D545" s="236"/>
      <c r="E545" s="212"/>
      <c r="F545" s="212"/>
      <c r="G545" s="212"/>
      <c r="J545" s="212"/>
      <c r="K545" s="237"/>
      <c r="L545" s="212"/>
      <c r="M545" s="212"/>
    </row>
    <row r="546" spans="1:13" ht="12.75" customHeight="1">
      <c r="A546" s="212"/>
      <c r="B546" s="212"/>
      <c r="C546" s="212"/>
      <c r="D546" s="236"/>
      <c r="E546" s="212"/>
      <c r="F546" s="212"/>
      <c r="G546" s="212"/>
      <c r="J546" s="212"/>
      <c r="K546" s="237"/>
      <c r="L546" s="212"/>
      <c r="M546" s="212"/>
    </row>
    <row r="547" spans="1:13" ht="12.75" customHeight="1">
      <c r="A547" s="212"/>
      <c r="B547" s="212"/>
      <c r="C547" s="212"/>
      <c r="D547" s="236"/>
      <c r="E547" s="212"/>
      <c r="F547" s="212"/>
      <c r="G547" s="212"/>
      <c r="J547" s="212"/>
      <c r="K547" s="237"/>
      <c r="L547" s="212"/>
      <c r="M547" s="212"/>
    </row>
    <row r="548" spans="1:13" ht="12.75" customHeight="1">
      <c r="A548" s="212"/>
      <c r="B548" s="212"/>
      <c r="C548" s="212"/>
      <c r="D548" s="236"/>
      <c r="E548" s="212"/>
      <c r="F548" s="212"/>
      <c r="G548" s="212"/>
      <c r="J548" s="212"/>
      <c r="K548" s="237"/>
      <c r="L548" s="212"/>
      <c r="M548" s="212"/>
    </row>
    <row r="549" spans="1:13" ht="12.75" customHeight="1">
      <c r="A549" s="212"/>
      <c r="B549" s="212"/>
      <c r="C549" s="212"/>
      <c r="D549" s="236"/>
      <c r="E549" s="212"/>
      <c r="F549" s="212"/>
      <c r="G549" s="212"/>
      <c r="J549" s="212"/>
      <c r="K549" s="237"/>
      <c r="L549" s="212"/>
      <c r="M549" s="212"/>
    </row>
    <row r="550" spans="1:13" ht="12.75" customHeight="1">
      <c r="A550" s="212"/>
      <c r="B550" s="212"/>
      <c r="C550" s="212"/>
      <c r="D550" s="236"/>
      <c r="E550" s="212"/>
      <c r="F550" s="212"/>
      <c r="G550" s="212"/>
      <c r="J550" s="212"/>
      <c r="K550" s="237"/>
      <c r="L550" s="212"/>
      <c r="M550" s="212"/>
    </row>
    <row r="551" spans="1:13" ht="12.75" customHeight="1">
      <c r="A551" s="212"/>
      <c r="B551" s="212"/>
      <c r="C551" s="212"/>
      <c r="D551" s="236"/>
      <c r="E551" s="212"/>
      <c r="F551" s="212"/>
      <c r="G551" s="212"/>
      <c r="J551" s="212"/>
      <c r="K551" s="237"/>
      <c r="L551" s="212"/>
      <c r="M551" s="212"/>
    </row>
    <row r="552" spans="1:13" ht="12.75" customHeight="1">
      <c r="A552" s="212"/>
      <c r="B552" s="212"/>
      <c r="C552" s="212"/>
      <c r="D552" s="236"/>
      <c r="E552" s="212"/>
      <c r="F552" s="212"/>
      <c r="G552" s="212"/>
      <c r="J552" s="212"/>
      <c r="K552" s="237"/>
      <c r="L552" s="212"/>
      <c r="M552" s="212"/>
    </row>
    <row r="553" spans="1:13" ht="12.75" customHeight="1">
      <c r="A553" s="212"/>
      <c r="B553" s="212"/>
      <c r="C553" s="212"/>
      <c r="D553" s="236"/>
      <c r="E553" s="212"/>
      <c r="F553" s="212"/>
      <c r="G553" s="212"/>
      <c r="J553" s="212"/>
      <c r="K553" s="237"/>
      <c r="L553" s="212"/>
      <c r="M553" s="212"/>
    </row>
    <row r="554" spans="1:13" ht="12.75" customHeight="1">
      <c r="A554" s="212"/>
      <c r="B554" s="212"/>
      <c r="C554" s="212"/>
      <c r="D554" s="236"/>
      <c r="E554" s="212"/>
      <c r="F554" s="212"/>
      <c r="G554" s="212"/>
      <c r="J554" s="212"/>
      <c r="K554" s="237"/>
      <c r="L554" s="212"/>
      <c r="M554" s="212"/>
    </row>
    <row r="555" spans="1:13" ht="12.75" customHeight="1">
      <c r="A555" s="212"/>
      <c r="B555" s="212"/>
      <c r="C555" s="212"/>
      <c r="D555" s="236"/>
      <c r="E555" s="212"/>
      <c r="F555" s="212"/>
      <c r="G555" s="212"/>
      <c r="J555" s="212"/>
      <c r="K555" s="237"/>
      <c r="L555" s="212"/>
      <c r="M555" s="212"/>
    </row>
    <row r="556" spans="1:13" ht="12.75" customHeight="1">
      <c r="A556" s="212"/>
      <c r="B556" s="212"/>
      <c r="C556" s="212"/>
      <c r="D556" s="236"/>
      <c r="E556" s="212"/>
      <c r="F556" s="212"/>
      <c r="G556" s="212"/>
      <c r="J556" s="212"/>
      <c r="K556" s="237"/>
      <c r="L556" s="212"/>
      <c r="M556" s="212"/>
    </row>
    <row r="557" spans="1:13" ht="12.75" customHeight="1">
      <c r="A557" s="212"/>
      <c r="B557" s="212"/>
      <c r="C557" s="212"/>
      <c r="D557" s="236"/>
      <c r="E557" s="212"/>
      <c r="F557" s="212"/>
      <c r="G557" s="212"/>
      <c r="J557" s="212"/>
      <c r="K557" s="237"/>
      <c r="L557" s="212"/>
      <c r="M557" s="212"/>
    </row>
    <row r="558" spans="1:13" ht="12.75" customHeight="1">
      <c r="A558" s="212"/>
      <c r="B558" s="212"/>
      <c r="C558" s="212"/>
      <c r="D558" s="236"/>
      <c r="E558" s="212"/>
      <c r="F558" s="212"/>
      <c r="G558" s="212"/>
      <c r="J558" s="212"/>
      <c r="K558" s="237"/>
      <c r="L558" s="212"/>
      <c r="M558" s="212"/>
    </row>
    <row r="559" spans="1:13" ht="12.75" customHeight="1">
      <c r="A559" s="212"/>
      <c r="B559" s="212"/>
      <c r="C559" s="212"/>
      <c r="D559" s="236"/>
      <c r="E559" s="212"/>
      <c r="F559" s="212"/>
      <c r="G559" s="212"/>
      <c r="J559" s="212"/>
      <c r="K559" s="237"/>
      <c r="L559" s="212"/>
      <c r="M559" s="212"/>
    </row>
    <row r="560" spans="1:13" ht="12.75" customHeight="1">
      <c r="A560" s="212"/>
      <c r="B560" s="212"/>
      <c r="C560" s="212"/>
      <c r="D560" s="236"/>
      <c r="E560" s="212"/>
      <c r="F560" s="212"/>
      <c r="G560" s="212"/>
      <c r="J560" s="212"/>
      <c r="K560" s="237"/>
      <c r="L560" s="212"/>
      <c r="M560" s="212"/>
    </row>
    <row r="561" spans="1:13" ht="12.75" customHeight="1">
      <c r="A561" s="212"/>
      <c r="B561" s="212"/>
      <c r="C561" s="212"/>
      <c r="D561" s="236"/>
      <c r="E561" s="212"/>
      <c r="F561" s="212"/>
      <c r="G561" s="212"/>
      <c r="J561" s="212"/>
      <c r="K561" s="237"/>
      <c r="L561" s="212"/>
      <c r="M561" s="212"/>
    </row>
    <row r="562" spans="1:13" ht="12.75" customHeight="1">
      <c r="A562" s="212"/>
      <c r="B562" s="212"/>
      <c r="C562" s="212"/>
      <c r="D562" s="236"/>
      <c r="E562" s="212"/>
      <c r="F562" s="212"/>
      <c r="G562" s="212"/>
      <c r="J562" s="212"/>
      <c r="K562" s="237"/>
      <c r="L562" s="212"/>
      <c r="M562" s="212"/>
    </row>
    <row r="563" spans="1:13" ht="12.75" customHeight="1">
      <c r="A563" s="212"/>
      <c r="B563" s="212"/>
      <c r="C563" s="212"/>
      <c r="D563" s="236"/>
      <c r="E563" s="212"/>
      <c r="F563" s="212"/>
      <c r="G563" s="212"/>
      <c r="J563" s="212"/>
      <c r="K563" s="237"/>
      <c r="L563" s="212"/>
      <c r="M563" s="212"/>
    </row>
    <row r="564" spans="1:13" ht="12.75" customHeight="1">
      <c r="A564" s="212"/>
      <c r="B564" s="212"/>
      <c r="C564" s="212"/>
      <c r="D564" s="236"/>
      <c r="E564" s="212"/>
      <c r="F564" s="212"/>
      <c r="G564" s="212"/>
      <c r="J564" s="212"/>
      <c r="K564" s="237"/>
      <c r="L564" s="212"/>
      <c r="M564" s="212"/>
    </row>
    <row r="565" spans="1:13" ht="12.75" customHeight="1">
      <c r="A565" s="212"/>
      <c r="B565" s="212"/>
      <c r="C565" s="212"/>
      <c r="D565" s="236"/>
      <c r="E565" s="212"/>
      <c r="F565" s="212"/>
      <c r="G565" s="212"/>
      <c r="J565" s="212"/>
      <c r="K565" s="237"/>
      <c r="L565" s="212"/>
      <c r="M565" s="212"/>
    </row>
    <row r="566" spans="1:13" ht="12.75" customHeight="1">
      <c r="A566" s="212"/>
      <c r="B566" s="212"/>
      <c r="C566" s="212"/>
      <c r="D566" s="236"/>
      <c r="E566" s="212"/>
      <c r="F566" s="212"/>
      <c r="G566" s="212"/>
      <c r="J566" s="212"/>
      <c r="K566" s="237"/>
      <c r="L566" s="212"/>
      <c r="M566" s="212"/>
    </row>
    <row r="567" spans="1:13" ht="12.75" customHeight="1">
      <c r="A567" s="212"/>
      <c r="B567" s="212"/>
      <c r="C567" s="212"/>
      <c r="D567" s="236"/>
      <c r="E567" s="212"/>
      <c r="F567" s="212"/>
      <c r="G567" s="212"/>
      <c r="J567" s="212"/>
      <c r="K567" s="237"/>
      <c r="L567" s="212"/>
      <c r="M567" s="212"/>
    </row>
    <row r="568" spans="1:13" ht="12.75" customHeight="1">
      <c r="A568" s="212"/>
      <c r="B568" s="212"/>
      <c r="C568" s="212"/>
      <c r="D568" s="236"/>
      <c r="E568" s="212"/>
      <c r="F568" s="212"/>
      <c r="G568" s="212"/>
      <c r="J568" s="212"/>
      <c r="K568" s="237"/>
      <c r="L568" s="212"/>
      <c r="M568" s="212"/>
    </row>
    <row r="569" spans="1:13" ht="12.75" customHeight="1">
      <c r="A569" s="212"/>
      <c r="B569" s="212"/>
      <c r="C569" s="212"/>
      <c r="D569" s="236"/>
      <c r="E569" s="212"/>
      <c r="F569" s="212"/>
      <c r="G569" s="212"/>
      <c r="J569" s="212"/>
      <c r="K569" s="237"/>
      <c r="L569" s="212"/>
      <c r="M569" s="212"/>
    </row>
    <row r="570" spans="1:13" ht="12.75" customHeight="1">
      <c r="A570" s="212"/>
      <c r="B570" s="212"/>
      <c r="C570" s="212"/>
      <c r="D570" s="236"/>
      <c r="E570" s="212"/>
      <c r="F570" s="212"/>
      <c r="G570" s="212"/>
      <c r="J570" s="212"/>
      <c r="K570" s="237"/>
      <c r="L570" s="212"/>
      <c r="M570" s="212"/>
    </row>
    <row r="571" spans="1:13" ht="12.75" customHeight="1">
      <c r="A571" s="212"/>
      <c r="B571" s="212"/>
      <c r="C571" s="212"/>
      <c r="D571" s="236"/>
      <c r="E571" s="212"/>
      <c r="F571" s="212"/>
      <c r="G571" s="212"/>
      <c r="J571" s="212"/>
      <c r="K571" s="237"/>
      <c r="L571" s="212"/>
      <c r="M571" s="212"/>
    </row>
    <row r="572" spans="1:13" ht="12.75" customHeight="1">
      <c r="A572" s="212"/>
      <c r="B572" s="212"/>
      <c r="C572" s="212"/>
      <c r="D572" s="236"/>
      <c r="E572" s="212"/>
      <c r="F572" s="212"/>
      <c r="G572" s="212"/>
      <c r="J572" s="212"/>
      <c r="K572" s="237"/>
      <c r="L572" s="212"/>
      <c r="M572" s="212"/>
    </row>
    <row r="573" spans="1:13" ht="12.75" customHeight="1">
      <c r="A573" s="212"/>
      <c r="B573" s="212"/>
      <c r="C573" s="212"/>
      <c r="D573" s="236"/>
      <c r="E573" s="212"/>
      <c r="F573" s="212"/>
      <c r="G573" s="212"/>
      <c r="J573" s="212"/>
      <c r="K573" s="237"/>
      <c r="L573" s="212"/>
      <c r="M573" s="212"/>
    </row>
    <row r="574" spans="1:13" ht="12.75" customHeight="1">
      <c r="A574" s="212"/>
      <c r="B574" s="212"/>
      <c r="C574" s="212"/>
      <c r="D574" s="236"/>
      <c r="E574" s="212"/>
      <c r="F574" s="212"/>
      <c r="G574" s="212"/>
      <c r="J574" s="212"/>
      <c r="K574" s="237"/>
      <c r="L574" s="212"/>
      <c r="M574" s="212"/>
    </row>
    <row r="575" spans="1:13" ht="12.75" customHeight="1">
      <c r="A575" s="212"/>
      <c r="B575" s="212"/>
      <c r="C575" s="212"/>
      <c r="D575" s="236"/>
      <c r="E575" s="212"/>
      <c r="F575" s="212"/>
      <c r="G575" s="212"/>
      <c r="J575" s="212"/>
      <c r="K575" s="237"/>
      <c r="L575" s="212"/>
      <c r="M575" s="212"/>
    </row>
    <row r="576" spans="1:13" ht="12.75" customHeight="1">
      <c r="A576" s="212"/>
      <c r="B576" s="212"/>
      <c r="C576" s="212"/>
      <c r="D576" s="236"/>
      <c r="E576" s="212"/>
      <c r="F576" s="212"/>
      <c r="G576" s="212"/>
      <c r="J576" s="212"/>
      <c r="K576" s="237"/>
      <c r="L576" s="212"/>
      <c r="M576" s="212"/>
    </row>
    <row r="577" spans="1:13" ht="12.75" customHeight="1">
      <c r="A577" s="212"/>
      <c r="B577" s="212"/>
      <c r="C577" s="212"/>
      <c r="D577" s="236"/>
      <c r="E577" s="212"/>
      <c r="F577" s="212"/>
      <c r="G577" s="212"/>
      <c r="J577" s="212"/>
      <c r="K577" s="237"/>
      <c r="L577" s="212"/>
      <c r="M577" s="212"/>
    </row>
    <row r="578" spans="1:13" ht="12.75" customHeight="1">
      <c r="A578" s="212"/>
      <c r="B578" s="212"/>
      <c r="C578" s="212"/>
      <c r="D578" s="236"/>
      <c r="E578" s="212"/>
      <c r="F578" s="212"/>
      <c r="G578" s="212"/>
      <c r="J578" s="212"/>
      <c r="K578" s="237"/>
      <c r="L578" s="212"/>
      <c r="M578" s="212"/>
    </row>
    <row r="579" spans="1:13" ht="12.75" customHeight="1">
      <c r="A579" s="212"/>
      <c r="B579" s="212"/>
      <c r="C579" s="212"/>
      <c r="D579" s="236"/>
      <c r="E579" s="212"/>
      <c r="F579" s="212"/>
      <c r="G579" s="212"/>
      <c r="J579" s="212"/>
      <c r="K579" s="237"/>
      <c r="L579" s="212"/>
      <c r="M579" s="212"/>
    </row>
    <row r="580" spans="1:13" ht="12.75" customHeight="1">
      <c r="A580" s="212"/>
      <c r="B580" s="212"/>
      <c r="C580" s="212"/>
      <c r="D580" s="236"/>
      <c r="E580" s="212"/>
      <c r="F580" s="212"/>
      <c r="G580" s="212"/>
      <c r="J580" s="212"/>
      <c r="K580" s="237"/>
      <c r="L580" s="212"/>
      <c r="M580" s="212"/>
    </row>
    <row r="581" spans="1:13" ht="12.75" customHeight="1">
      <c r="A581" s="212"/>
      <c r="B581" s="212"/>
      <c r="C581" s="212"/>
      <c r="D581" s="236"/>
      <c r="E581" s="212"/>
      <c r="F581" s="212"/>
      <c r="G581" s="212"/>
      <c r="J581" s="212"/>
      <c r="K581" s="237"/>
      <c r="L581" s="212"/>
      <c r="M581" s="212"/>
    </row>
    <row r="582" spans="1:13" ht="12.75" customHeight="1">
      <c r="A582" s="212"/>
      <c r="B582" s="212"/>
      <c r="C582" s="212"/>
      <c r="D582" s="236"/>
      <c r="E582" s="212"/>
      <c r="F582" s="212"/>
      <c r="G582" s="212"/>
      <c r="J582" s="212"/>
      <c r="K582" s="237"/>
      <c r="L582" s="212"/>
      <c r="M582" s="212"/>
    </row>
    <row r="583" spans="1:13" ht="12.75" customHeight="1">
      <c r="A583" s="212"/>
      <c r="B583" s="212"/>
      <c r="C583" s="212"/>
      <c r="D583" s="236"/>
      <c r="E583" s="212"/>
      <c r="F583" s="212"/>
      <c r="G583" s="212"/>
      <c r="J583" s="212"/>
      <c r="K583" s="237"/>
      <c r="L583" s="212"/>
      <c r="M583" s="212"/>
    </row>
    <row r="584" spans="1:13" ht="12.75" customHeight="1">
      <c r="A584" s="212"/>
      <c r="B584" s="212"/>
      <c r="C584" s="212"/>
      <c r="D584" s="236"/>
      <c r="E584" s="212"/>
      <c r="F584" s="212"/>
      <c r="G584" s="212"/>
      <c r="J584" s="212"/>
      <c r="K584" s="237"/>
      <c r="L584" s="212"/>
      <c r="M584" s="212"/>
    </row>
    <row r="585" spans="1:13" ht="12.75" customHeight="1">
      <c r="A585" s="212"/>
      <c r="B585" s="212"/>
      <c r="C585" s="212"/>
      <c r="D585" s="236"/>
      <c r="E585" s="212"/>
      <c r="F585" s="212"/>
      <c r="G585" s="212"/>
      <c r="J585" s="212"/>
      <c r="K585" s="237"/>
      <c r="L585" s="212"/>
      <c r="M585" s="212"/>
    </row>
    <row r="586" spans="1:13" ht="12.75" customHeight="1">
      <c r="A586" s="212"/>
      <c r="B586" s="212"/>
      <c r="C586" s="212"/>
      <c r="D586" s="236"/>
      <c r="E586" s="212"/>
      <c r="F586" s="212"/>
      <c r="G586" s="212"/>
      <c r="J586" s="212"/>
      <c r="K586" s="237"/>
      <c r="L586" s="212"/>
      <c r="M586" s="212"/>
    </row>
    <row r="587" spans="1:13" ht="12.75" customHeight="1">
      <c r="A587" s="212"/>
      <c r="B587" s="212"/>
      <c r="C587" s="212"/>
      <c r="D587" s="236"/>
      <c r="E587" s="212"/>
      <c r="F587" s="212"/>
      <c r="G587" s="212"/>
      <c r="J587" s="212"/>
      <c r="K587" s="237"/>
      <c r="L587" s="212"/>
      <c r="M587" s="212"/>
    </row>
    <row r="588" spans="1:13" ht="12.75" customHeight="1">
      <c r="A588" s="212"/>
      <c r="B588" s="212"/>
      <c r="C588" s="212"/>
      <c r="D588" s="236"/>
      <c r="E588" s="212"/>
      <c r="F588" s="212"/>
      <c r="G588" s="212"/>
      <c r="J588" s="212"/>
      <c r="K588" s="237"/>
      <c r="L588" s="212"/>
      <c r="M588" s="212"/>
    </row>
    <row r="589" spans="1:13" ht="12.75" customHeight="1">
      <c r="A589" s="212"/>
      <c r="B589" s="212"/>
      <c r="C589" s="212"/>
      <c r="D589" s="236"/>
      <c r="E589" s="212"/>
      <c r="F589" s="212"/>
      <c r="G589" s="212"/>
      <c r="J589" s="212"/>
      <c r="K589" s="237"/>
      <c r="L589" s="212"/>
      <c r="M589" s="212"/>
    </row>
    <row r="590" spans="1:13" ht="12.75" customHeight="1">
      <c r="A590" s="212"/>
      <c r="B590" s="212"/>
      <c r="C590" s="212"/>
      <c r="D590" s="236"/>
      <c r="E590" s="212"/>
      <c r="F590" s="212"/>
      <c r="G590" s="212"/>
      <c r="J590" s="212"/>
      <c r="K590" s="237"/>
      <c r="L590" s="212"/>
      <c r="M590" s="212"/>
    </row>
    <row r="591" spans="1:13" ht="12.75" customHeight="1">
      <c r="A591" s="212"/>
      <c r="B591" s="212"/>
      <c r="C591" s="212"/>
      <c r="D591" s="236"/>
      <c r="E591" s="212"/>
      <c r="F591" s="212"/>
      <c r="G591" s="212"/>
      <c r="J591" s="212"/>
      <c r="K591" s="237"/>
      <c r="L591" s="212"/>
      <c r="M591" s="212"/>
    </row>
    <row r="592" spans="1:13" ht="12.75" customHeight="1">
      <c r="A592" s="212"/>
      <c r="B592" s="212"/>
      <c r="C592" s="212"/>
      <c r="D592" s="236"/>
      <c r="E592" s="212"/>
      <c r="F592" s="212"/>
      <c r="G592" s="212"/>
      <c r="J592" s="212"/>
      <c r="K592" s="237"/>
      <c r="L592" s="212"/>
      <c r="M592" s="212"/>
    </row>
    <row r="593" spans="1:13" ht="12.75" customHeight="1">
      <c r="A593" s="212"/>
      <c r="B593" s="212"/>
      <c r="C593" s="212"/>
      <c r="D593" s="236"/>
      <c r="E593" s="212"/>
      <c r="F593" s="212"/>
      <c r="G593" s="212"/>
      <c r="J593" s="212"/>
      <c r="K593" s="237"/>
      <c r="L593" s="212"/>
      <c r="M593" s="212"/>
    </row>
    <row r="594" spans="1:13" ht="12.75" customHeight="1">
      <c r="A594" s="212"/>
      <c r="B594" s="212"/>
      <c r="C594" s="212"/>
      <c r="D594" s="236"/>
      <c r="E594" s="212"/>
      <c r="F594" s="212"/>
      <c r="G594" s="212"/>
      <c r="J594" s="212"/>
      <c r="K594" s="237"/>
      <c r="L594" s="212"/>
      <c r="M594" s="212"/>
    </row>
    <row r="595" spans="1:13" ht="12.75" customHeight="1">
      <c r="A595" s="212"/>
      <c r="B595" s="212"/>
      <c r="C595" s="212"/>
      <c r="D595" s="236"/>
      <c r="E595" s="212"/>
      <c r="F595" s="212"/>
      <c r="G595" s="212"/>
      <c r="J595" s="212"/>
      <c r="K595" s="237"/>
      <c r="L595" s="212"/>
      <c r="M595" s="212"/>
    </row>
    <row r="596" spans="1:13" ht="12.75" customHeight="1">
      <c r="A596" s="212"/>
      <c r="B596" s="212"/>
      <c r="C596" s="212"/>
      <c r="D596" s="236"/>
      <c r="E596" s="212"/>
      <c r="F596" s="212"/>
      <c r="G596" s="212"/>
      <c r="J596" s="212"/>
      <c r="K596" s="237"/>
      <c r="L596" s="212"/>
      <c r="M596" s="212"/>
    </row>
    <row r="597" spans="1:13" ht="12.75" customHeight="1">
      <c r="A597" s="212"/>
      <c r="B597" s="212"/>
      <c r="C597" s="212"/>
      <c r="D597" s="236"/>
      <c r="E597" s="212"/>
      <c r="F597" s="212"/>
      <c r="G597" s="212"/>
      <c r="J597" s="212"/>
      <c r="K597" s="237"/>
      <c r="L597" s="212"/>
      <c r="M597" s="212"/>
    </row>
    <row r="598" spans="1:13" ht="12.75" customHeight="1">
      <c r="A598" s="212"/>
      <c r="B598" s="212"/>
      <c r="C598" s="212"/>
      <c r="D598" s="236"/>
      <c r="E598" s="212"/>
      <c r="F598" s="212"/>
      <c r="G598" s="212"/>
      <c r="J598" s="212"/>
      <c r="K598" s="237"/>
      <c r="L598" s="212"/>
      <c r="M598" s="212"/>
    </row>
    <row r="599" spans="1:13" ht="12.75" customHeight="1">
      <c r="A599" s="212"/>
      <c r="B599" s="212"/>
      <c r="C599" s="212"/>
      <c r="D599" s="236"/>
      <c r="E599" s="212"/>
      <c r="F599" s="212"/>
      <c r="G599" s="212"/>
      <c r="J599" s="212"/>
      <c r="K599" s="237"/>
      <c r="L599" s="212"/>
      <c r="M599" s="212"/>
    </row>
    <row r="600" spans="1:13" ht="12.75" customHeight="1">
      <c r="A600" s="212"/>
      <c r="B600" s="212"/>
      <c r="C600" s="212"/>
      <c r="D600" s="236"/>
      <c r="E600" s="212"/>
      <c r="F600" s="212"/>
      <c r="G600" s="212"/>
      <c r="J600" s="212"/>
      <c r="K600" s="237"/>
      <c r="L600" s="212"/>
      <c r="M600" s="212"/>
    </row>
    <row r="601" spans="1:13" ht="12.75" customHeight="1">
      <c r="A601" s="212"/>
      <c r="B601" s="212"/>
      <c r="C601" s="212"/>
      <c r="D601" s="236"/>
      <c r="E601" s="212"/>
      <c r="F601" s="212"/>
      <c r="G601" s="212"/>
      <c r="J601" s="212"/>
      <c r="K601" s="237"/>
      <c r="L601" s="212"/>
      <c r="M601" s="212"/>
    </row>
    <row r="602" spans="1:13" ht="12.75" customHeight="1">
      <c r="A602" s="212"/>
      <c r="B602" s="212"/>
      <c r="C602" s="212"/>
      <c r="D602" s="236"/>
      <c r="E602" s="212"/>
      <c r="F602" s="212"/>
      <c r="G602" s="212"/>
      <c r="J602" s="212"/>
      <c r="K602" s="237"/>
      <c r="L602" s="212"/>
      <c r="M602" s="212"/>
    </row>
    <row r="603" spans="1:13" ht="12.75" customHeight="1">
      <c r="A603" s="212"/>
      <c r="B603" s="212"/>
      <c r="C603" s="212"/>
      <c r="D603" s="236"/>
      <c r="E603" s="212"/>
      <c r="F603" s="212"/>
      <c r="G603" s="212"/>
      <c r="J603" s="212"/>
      <c r="K603" s="237"/>
      <c r="L603" s="212"/>
      <c r="M603" s="212"/>
    </row>
    <row r="604" spans="1:13" ht="12.75" customHeight="1">
      <c r="A604" s="212"/>
      <c r="B604" s="212"/>
      <c r="C604" s="212"/>
      <c r="D604" s="236"/>
      <c r="E604" s="212"/>
      <c r="F604" s="212"/>
      <c r="G604" s="212"/>
      <c r="J604" s="212"/>
      <c r="K604" s="237"/>
      <c r="L604" s="212"/>
      <c r="M604" s="212"/>
    </row>
    <row r="605" spans="1:13" ht="12.75" customHeight="1">
      <c r="A605" s="212"/>
      <c r="B605" s="212"/>
      <c r="C605" s="212"/>
      <c r="D605" s="236"/>
      <c r="E605" s="212"/>
      <c r="F605" s="212"/>
      <c r="G605" s="212"/>
      <c r="J605" s="212"/>
      <c r="K605" s="237"/>
      <c r="L605" s="212"/>
      <c r="M605" s="212"/>
    </row>
    <row r="606" spans="1:13" ht="12.75" customHeight="1">
      <c r="A606" s="212"/>
      <c r="B606" s="212"/>
      <c r="C606" s="212"/>
      <c r="D606" s="236"/>
      <c r="E606" s="212"/>
      <c r="F606" s="212"/>
      <c r="G606" s="212"/>
      <c r="J606" s="212"/>
      <c r="K606" s="237"/>
      <c r="L606" s="212"/>
      <c r="M606" s="212"/>
    </row>
    <row r="607" spans="1:13" ht="12.75" customHeight="1">
      <c r="A607" s="212"/>
      <c r="B607" s="212"/>
      <c r="C607" s="212"/>
      <c r="D607" s="236"/>
      <c r="E607" s="212"/>
      <c r="F607" s="212"/>
      <c r="G607" s="212"/>
      <c r="J607" s="212"/>
      <c r="K607" s="237"/>
      <c r="L607" s="212"/>
      <c r="M607" s="212"/>
    </row>
    <row r="608" spans="1:13" ht="12.75" customHeight="1">
      <c r="A608" s="212"/>
      <c r="B608" s="212"/>
      <c r="C608" s="212"/>
      <c r="D608" s="236"/>
      <c r="E608" s="212"/>
      <c r="F608" s="212"/>
      <c r="G608" s="212"/>
      <c r="J608" s="212"/>
      <c r="K608" s="237"/>
      <c r="L608" s="212"/>
      <c r="M608" s="212"/>
    </row>
    <row r="609" spans="1:13" ht="12.75" customHeight="1">
      <c r="A609" s="212"/>
      <c r="B609" s="212"/>
      <c r="C609" s="212"/>
      <c r="D609" s="236"/>
      <c r="E609" s="212"/>
      <c r="F609" s="212"/>
      <c r="G609" s="212"/>
      <c r="J609" s="212"/>
      <c r="K609" s="237"/>
      <c r="L609" s="212"/>
      <c r="M609" s="212"/>
    </row>
    <row r="610" spans="1:13" ht="12.75" customHeight="1">
      <c r="A610" s="212"/>
      <c r="B610" s="212"/>
      <c r="C610" s="212"/>
      <c r="D610" s="236"/>
      <c r="E610" s="212"/>
      <c r="F610" s="212"/>
      <c r="G610" s="212"/>
      <c r="J610" s="212"/>
      <c r="K610" s="237"/>
      <c r="L610" s="212"/>
      <c r="M610" s="212"/>
    </row>
    <row r="611" spans="1:13" ht="12.75" customHeight="1">
      <c r="A611" s="212"/>
      <c r="B611" s="212"/>
      <c r="C611" s="212"/>
      <c r="D611" s="236"/>
      <c r="E611" s="212"/>
      <c r="F611" s="212"/>
      <c r="G611" s="212"/>
      <c r="J611" s="212"/>
      <c r="K611" s="237"/>
      <c r="L611" s="212"/>
      <c r="M611" s="212"/>
    </row>
    <row r="612" spans="1:13" ht="12.75" customHeight="1">
      <c r="A612" s="212"/>
      <c r="B612" s="212"/>
      <c r="C612" s="212"/>
      <c r="D612" s="236"/>
      <c r="E612" s="212"/>
      <c r="F612" s="212"/>
      <c r="G612" s="212"/>
      <c r="J612" s="212"/>
      <c r="K612" s="237"/>
      <c r="L612" s="212"/>
      <c r="M612" s="212"/>
    </row>
    <row r="613" spans="1:13" ht="12.75" customHeight="1">
      <c r="A613" s="212"/>
      <c r="B613" s="212"/>
      <c r="C613" s="212"/>
      <c r="D613" s="236"/>
      <c r="E613" s="212"/>
      <c r="F613" s="212"/>
      <c r="G613" s="212"/>
      <c r="J613" s="212"/>
      <c r="K613" s="237"/>
      <c r="L613" s="212"/>
      <c r="M613" s="212"/>
    </row>
    <row r="614" spans="1:13" ht="12.75" customHeight="1">
      <c r="A614" s="212"/>
      <c r="B614" s="212"/>
      <c r="C614" s="212"/>
      <c r="D614" s="236"/>
      <c r="E614" s="212"/>
      <c r="F614" s="212"/>
      <c r="G614" s="212"/>
      <c r="J614" s="212"/>
      <c r="K614" s="237"/>
      <c r="L614" s="212"/>
      <c r="M614" s="212"/>
    </row>
    <row r="615" spans="1:13" ht="12.75" customHeight="1">
      <c r="A615" s="212"/>
      <c r="B615" s="212"/>
      <c r="C615" s="212"/>
      <c r="D615" s="236"/>
      <c r="E615" s="212"/>
      <c r="F615" s="212"/>
      <c r="G615" s="212"/>
      <c r="J615" s="212"/>
      <c r="K615" s="237"/>
      <c r="L615" s="212"/>
      <c r="M615" s="212"/>
    </row>
    <row r="616" spans="1:13" ht="12.75" customHeight="1">
      <c r="A616" s="212"/>
      <c r="B616" s="212"/>
      <c r="C616" s="212"/>
      <c r="D616" s="236"/>
      <c r="E616" s="212"/>
      <c r="F616" s="212"/>
      <c r="G616" s="212"/>
      <c r="J616" s="212"/>
      <c r="K616" s="237"/>
      <c r="L616" s="212"/>
      <c r="M616" s="212"/>
    </row>
    <row r="617" spans="1:13" ht="12.75" customHeight="1">
      <c r="A617" s="212"/>
      <c r="B617" s="212"/>
      <c r="C617" s="212"/>
      <c r="D617" s="236"/>
      <c r="E617" s="212"/>
      <c r="F617" s="212"/>
      <c r="G617" s="212"/>
      <c r="J617" s="212"/>
      <c r="K617" s="237"/>
      <c r="L617" s="212"/>
      <c r="M617" s="212"/>
    </row>
    <row r="618" spans="1:13" ht="12.75" customHeight="1">
      <c r="A618" s="212"/>
      <c r="B618" s="212"/>
      <c r="C618" s="212"/>
      <c r="D618" s="236"/>
      <c r="E618" s="212"/>
      <c r="F618" s="212"/>
      <c r="G618" s="212"/>
      <c r="J618" s="212"/>
      <c r="K618" s="237"/>
      <c r="L618" s="212"/>
      <c r="M618" s="212"/>
    </row>
    <row r="619" spans="1:13" ht="12.75" customHeight="1">
      <c r="A619" s="212"/>
      <c r="B619" s="212"/>
      <c r="C619" s="212"/>
      <c r="D619" s="236"/>
      <c r="E619" s="212"/>
      <c r="F619" s="212"/>
      <c r="G619" s="212"/>
      <c r="J619" s="212"/>
      <c r="K619" s="237"/>
      <c r="L619" s="212"/>
      <c r="M619" s="212"/>
    </row>
    <row r="620" spans="1:13" ht="12.75" customHeight="1">
      <c r="A620" s="212"/>
      <c r="B620" s="212"/>
      <c r="C620" s="212"/>
      <c r="D620" s="236"/>
      <c r="E620" s="212"/>
      <c r="F620" s="212"/>
      <c r="G620" s="212"/>
      <c r="J620" s="212"/>
      <c r="K620" s="237"/>
      <c r="L620" s="212"/>
      <c r="M620" s="212"/>
    </row>
    <row r="621" spans="1:13" ht="12.75" customHeight="1">
      <c r="A621" s="212"/>
      <c r="B621" s="212"/>
      <c r="C621" s="212"/>
      <c r="D621" s="236"/>
      <c r="E621" s="212"/>
      <c r="F621" s="212"/>
      <c r="G621" s="212"/>
      <c r="J621" s="212"/>
      <c r="K621" s="237"/>
      <c r="L621" s="212"/>
      <c r="M621" s="212"/>
    </row>
    <row r="622" spans="1:13" ht="12.75" customHeight="1">
      <c r="A622" s="212"/>
      <c r="B622" s="212"/>
      <c r="C622" s="212"/>
      <c r="D622" s="236"/>
      <c r="E622" s="212"/>
      <c r="F622" s="212"/>
      <c r="G622" s="212"/>
      <c r="J622" s="212"/>
      <c r="K622" s="237"/>
      <c r="L622" s="212"/>
      <c r="M622" s="212"/>
    </row>
    <row r="623" spans="1:13" ht="12.75" customHeight="1">
      <c r="A623" s="212"/>
      <c r="B623" s="212"/>
      <c r="C623" s="212"/>
      <c r="D623" s="236"/>
      <c r="E623" s="212"/>
      <c r="F623" s="212"/>
      <c r="G623" s="212"/>
      <c r="J623" s="212"/>
      <c r="K623" s="237"/>
      <c r="L623" s="212"/>
      <c r="M623" s="212"/>
    </row>
    <row r="624" spans="1:13" ht="12.75" customHeight="1">
      <c r="A624" s="212"/>
      <c r="B624" s="212"/>
      <c r="C624" s="212"/>
      <c r="D624" s="236"/>
      <c r="E624" s="212"/>
      <c r="F624" s="212"/>
      <c r="G624" s="212"/>
      <c r="J624" s="212"/>
      <c r="K624" s="237"/>
      <c r="L624" s="212"/>
      <c r="M624" s="212"/>
    </row>
    <row r="625" spans="1:13" ht="12.75" customHeight="1">
      <c r="A625" s="212"/>
      <c r="B625" s="212"/>
      <c r="C625" s="212"/>
      <c r="D625" s="236"/>
      <c r="E625" s="212"/>
      <c r="F625" s="212"/>
      <c r="G625" s="212"/>
      <c r="J625" s="212"/>
      <c r="K625" s="237"/>
      <c r="L625" s="212"/>
      <c r="M625" s="212"/>
    </row>
    <row r="626" spans="1:13" ht="12.75" customHeight="1">
      <c r="A626" s="212"/>
      <c r="B626" s="212"/>
      <c r="C626" s="212"/>
      <c r="D626" s="236"/>
      <c r="E626" s="212"/>
      <c r="F626" s="212"/>
      <c r="G626" s="212"/>
      <c r="J626" s="212"/>
      <c r="K626" s="237"/>
      <c r="L626" s="212"/>
      <c r="M626" s="212"/>
    </row>
    <row r="627" spans="1:13" ht="12.75" customHeight="1">
      <c r="A627" s="212"/>
      <c r="B627" s="212"/>
      <c r="C627" s="212"/>
      <c r="D627" s="236"/>
      <c r="E627" s="212"/>
      <c r="F627" s="212"/>
      <c r="G627" s="212"/>
      <c r="J627" s="212"/>
      <c r="K627" s="237"/>
      <c r="L627" s="212"/>
      <c r="M627" s="212"/>
    </row>
    <row r="628" spans="1:13" ht="12.75" customHeight="1">
      <c r="A628" s="212"/>
      <c r="B628" s="212"/>
      <c r="C628" s="212"/>
      <c r="D628" s="236"/>
      <c r="E628" s="212"/>
      <c r="F628" s="212"/>
      <c r="G628" s="212"/>
      <c r="J628" s="212"/>
      <c r="K628" s="237"/>
      <c r="L628" s="212"/>
      <c r="M628" s="212"/>
    </row>
    <row r="629" spans="1:13" ht="12.75" customHeight="1">
      <c r="A629" s="212"/>
      <c r="B629" s="212"/>
      <c r="C629" s="212"/>
      <c r="D629" s="236"/>
      <c r="E629" s="212"/>
      <c r="F629" s="212"/>
      <c r="G629" s="212"/>
      <c r="J629" s="212"/>
      <c r="K629" s="237"/>
      <c r="L629" s="212"/>
      <c r="M629" s="212"/>
    </row>
    <row r="630" spans="1:13" ht="12.75" customHeight="1">
      <c r="A630" s="212"/>
      <c r="B630" s="212"/>
      <c r="C630" s="212"/>
      <c r="D630" s="236"/>
      <c r="E630" s="212"/>
      <c r="F630" s="212"/>
      <c r="G630" s="212"/>
      <c r="J630" s="212"/>
      <c r="K630" s="237"/>
      <c r="L630" s="212"/>
      <c r="M630" s="212"/>
    </row>
    <row r="631" spans="1:13" ht="12.75" customHeight="1">
      <c r="A631" s="212"/>
      <c r="B631" s="212"/>
      <c r="C631" s="212"/>
      <c r="D631" s="236"/>
      <c r="E631" s="212"/>
      <c r="F631" s="212"/>
      <c r="G631" s="212"/>
      <c r="J631" s="212"/>
      <c r="K631" s="237"/>
      <c r="L631" s="212"/>
      <c r="M631" s="212"/>
    </row>
    <row r="632" spans="1:13" ht="12.75" customHeight="1">
      <c r="A632" s="212"/>
      <c r="B632" s="212"/>
      <c r="C632" s="212"/>
      <c r="D632" s="236"/>
      <c r="E632" s="212"/>
      <c r="F632" s="212"/>
      <c r="G632" s="212"/>
      <c r="J632" s="212"/>
      <c r="K632" s="237"/>
      <c r="L632" s="212"/>
      <c r="M632" s="212"/>
    </row>
    <row r="633" spans="1:13" ht="12.75" customHeight="1">
      <c r="A633" s="212"/>
      <c r="B633" s="212"/>
      <c r="C633" s="212"/>
      <c r="D633" s="236"/>
      <c r="E633" s="212"/>
      <c r="F633" s="212"/>
      <c r="G633" s="212"/>
      <c r="J633" s="212"/>
      <c r="K633" s="237"/>
      <c r="L633" s="212"/>
      <c r="M633" s="212"/>
    </row>
    <row r="634" spans="1:13" ht="12.75" customHeight="1">
      <c r="A634" s="212"/>
      <c r="B634" s="212"/>
      <c r="C634" s="212"/>
      <c r="D634" s="236"/>
      <c r="E634" s="212"/>
      <c r="F634" s="212"/>
      <c r="G634" s="212"/>
      <c r="J634" s="212"/>
      <c r="K634" s="237"/>
      <c r="L634" s="212"/>
      <c r="M634" s="212"/>
    </row>
    <row r="635" spans="1:13" ht="12.75" customHeight="1">
      <c r="A635" s="212"/>
      <c r="B635" s="212"/>
      <c r="C635" s="212"/>
      <c r="D635" s="236"/>
      <c r="E635" s="212"/>
      <c r="F635" s="212"/>
      <c r="G635" s="212"/>
      <c r="J635" s="212"/>
      <c r="K635" s="237"/>
      <c r="L635" s="212"/>
      <c r="M635" s="212"/>
    </row>
    <row r="636" spans="1:13" ht="12.75" customHeight="1">
      <c r="A636" s="212"/>
      <c r="B636" s="212"/>
      <c r="C636" s="212"/>
      <c r="D636" s="236"/>
      <c r="E636" s="212"/>
      <c r="F636" s="212"/>
      <c r="G636" s="212"/>
      <c r="J636" s="212"/>
      <c r="K636" s="237"/>
      <c r="L636" s="212"/>
      <c r="M636" s="212"/>
    </row>
    <row r="637" spans="1:13" ht="12.75" customHeight="1">
      <c r="A637" s="212"/>
      <c r="B637" s="212"/>
      <c r="C637" s="212"/>
      <c r="D637" s="236"/>
      <c r="E637" s="212"/>
      <c r="F637" s="212"/>
      <c r="G637" s="212"/>
      <c r="J637" s="212"/>
      <c r="K637" s="237"/>
      <c r="L637" s="212"/>
      <c r="M637" s="212"/>
    </row>
    <row r="638" spans="1:13" ht="12.75" customHeight="1">
      <c r="A638" s="212"/>
      <c r="B638" s="212"/>
      <c r="C638" s="212"/>
      <c r="D638" s="236"/>
      <c r="E638" s="212"/>
      <c r="F638" s="212"/>
      <c r="G638" s="212"/>
      <c r="J638" s="212"/>
      <c r="K638" s="237"/>
      <c r="L638" s="212"/>
      <c r="M638" s="212"/>
    </row>
    <row r="639" spans="1:13" ht="12.75" customHeight="1">
      <c r="A639" s="212"/>
      <c r="B639" s="212"/>
      <c r="C639" s="212"/>
      <c r="D639" s="236"/>
      <c r="E639" s="212"/>
      <c r="F639" s="212"/>
      <c r="G639" s="212"/>
      <c r="J639" s="212"/>
      <c r="K639" s="237"/>
      <c r="L639" s="212"/>
      <c r="M639" s="212"/>
    </row>
    <row r="640" spans="1:13" ht="12.75" customHeight="1">
      <c r="A640" s="212"/>
      <c r="B640" s="212"/>
      <c r="C640" s="212"/>
      <c r="D640" s="236"/>
      <c r="E640" s="212"/>
      <c r="F640" s="212"/>
      <c r="G640" s="212"/>
      <c r="J640" s="212"/>
      <c r="K640" s="237"/>
      <c r="L640" s="212"/>
      <c r="M640" s="212"/>
    </row>
    <row r="641" spans="1:13" ht="12.75" customHeight="1">
      <c r="A641" s="212"/>
      <c r="B641" s="212"/>
      <c r="C641" s="212"/>
      <c r="D641" s="236"/>
      <c r="E641" s="212"/>
      <c r="F641" s="212"/>
      <c r="G641" s="212"/>
      <c r="J641" s="212"/>
      <c r="K641" s="237"/>
      <c r="L641" s="212"/>
      <c r="M641" s="212"/>
    </row>
    <row r="642" spans="1:13" ht="12.75" customHeight="1">
      <c r="A642" s="212"/>
      <c r="B642" s="212"/>
      <c r="C642" s="212"/>
      <c r="D642" s="236"/>
      <c r="E642" s="212"/>
      <c r="F642" s="212"/>
      <c r="G642" s="212"/>
      <c r="J642" s="212"/>
      <c r="K642" s="237"/>
      <c r="L642" s="212"/>
      <c r="M642" s="212"/>
    </row>
    <row r="643" spans="1:13" ht="12.75" customHeight="1">
      <c r="A643" s="212"/>
      <c r="B643" s="212"/>
      <c r="C643" s="212"/>
      <c r="D643" s="236"/>
      <c r="E643" s="212"/>
      <c r="F643" s="212"/>
      <c r="G643" s="212"/>
      <c r="J643" s="212"/>
      <c r="K643" s="237"/>
      <c r="L643" s="212"/>
      <c r="M643" s="212"/>
    </row>
    <row r="644" spans="1:13" ht="12.75" customHeight="1">
      <c r="A644" s="212"/>
      <c r="B644" s="212"/>
      <c r="C644" s="212"/>
      <c r="D644" s="236"/>
      <c r="E644" s="212"/>
      <c r="F644" s="212"/>
      <c r="G644" s="212"/>
      <c r="J644" s="212"/>
      <c r="K644" s="237"/>
      <c r="L644" s="212"/>
      <c r="M644" s="212"/>
    </row>
    <row r="645" spans="1:13" ht="12.75" customHeight="1">
      <c r="A645" s="212"/>
      <c r="B645" s="212"/>
      <c r="C645" s="212"/>
      <c r="D645" s="236"/>
      <c r="E645" s="212"/>
      <c r="F645" s="212"/>
      <c r="G645" s="212"/>
      <c r="J645" s="212"/>
      <c r="K645" s="237"/>
      <c r="L645" s="212"/>
      <c r="M645" s="212"/>
    </row>
    <row r="646" spans="1:13" ht="12.75" customHeight="1">
      <c r="A646" s="212"/>
      <c r="B646" s="212"/>
      <c r="C646" s="212"/>
      <c r="D646" s="236"/>
      <c r="E646" s="212"/>
      <c r="F646" s="212"/>
      <c r="G646" s="212"/>
      <c r="J646" s="212"/>
      <c r="K646" s="237"/>
      <c r="L646" s="212"/>
      <c r="M646" s="212"/>
    </row>
    <row r="647" spans="1:13" ht="12.75" customHeight="1">
      <c r="A647" s="212"/>
      <c r="B647" s="212"/>
      <c r="C647" s="212"/>
      <c r="D647" s="236"/>
      <c r="E647" s="212"/>
      <c r="F647" s="212"/>
      <c r="G647" s="212"/>
      <c r="J647" s="212"/>
      <c r="K647" s="237"/>
      <c r="L647" s="212"/>
      <c r="M647" s="212"/>
    </row>
    <row r="648" spans="1:13" ht="12.75" customHeight="1">
      <c r="A648" s="212"/>
      <c r="B648" s="212"/>
      <c r="C648" s="212"/>
      <c r="D648" s="236"/>
      <c r="E648" s="212"/>
      <c r="F648" s="212"/>
      <c r="G648" s="212"/>
      <c r="J648" s="212"/>
      <c r="K648" s="237"/>
      <c r="L648" s="212"/>
      <c r="M648" s="212"/>
    </row>
    <row r="649" spans="1:13" ht="12.75" customHeight="1">
      <c r="A649" s="212"/>
      <c r="B649" s="212"/>
      <c r="C649" s="212"/>
      <c r="D649" s="236"/>
      <c r="E649" s="212"/>
      <c r="F649" s="212"/>
      <c r="G649" s="212"/>
      <c r="J649" s="212"/>
      <c r="K649" s="237"/>
      <c r="L649" s="212"/>
      <c r="M649" s="212"/>
    </row>
    <row r="650" spans="1:13" ht="12.75" customHeight="1">
      <c r="A650" s="212"/>
      <c r="B650" s="212"/>
      <c r="C650" s="212"/>
      <c r="D650" s="236"/>
      <c r="E650" s="212"/>
      <c r="F650" s="212"/>
      <c r="G650" s="212"/>
      <c r="J650" s="212"/>
      <c r="K650" s="237"/>
      <c r="L650" s="212"/>
      <c r="M650" s="212"/>
    </row>
    <row r="651" spans="1:13" ht="12.75" customHeight="1">
      <c r="A651" s="212"/>
      <c r="B651" s="212"/>
      <c r="C651" s="212"/>
      <c r="D651" s="236"/>
      <c r="E651" s="212"/>
      <c r="F651" s="212"/>
      <c r="G651" s="212"/>
      <c r="J651" s="212"/>
      <c r="K651" s="237"/>
      <c r="L651" s="212"/>
      <c r="M651" s="212"/>
    </row>
    <row r="652" spans="1:13" ht="12.75" customHeight="1">
      <c r="A652" s="212"/>
      <c r="B652" s="212"/>
      <c r="C652" s="212"/>
      <c r="D652" s="236"/>
      <c r="E652" s="212"/>
      <c r="F652" s="212"/>
      <c r="G652" s="212"/>
      <c r="J652" s="212"/>
      <c r="K652" s="237"/>
      <c r="L652" s="212"/>
      <c r="M652" s="212"/>
    </row>
    <row r="653" spans="1:13" ht="12.75" customHeight="1">
      <c r="A653" s="212"/>
      <c r="B653" s="212"/>
      <c r="C653" s="212"/>
      <c r="D653" s="236"/>
      <c r="E653" s="212"/>
      <c r="F653" s="212"/>
      <c r="G653" s="212"/>
      <c r="J653" s="212"/>
      <c r="K653" s="237"/>
      <c r="L653" s="212"/>
      <c r="M653" s="212"/>
    </row>
    <row r="654" spans="1:13" ht="12.75" customHeight="1">
      <c r="A654" s="212"/>
      <c r="B654" s="212"/>
      <c r="C654" s="212"/>
      <c r="D654" s="236"/>
      <c r="E654" s="212"/>
      <c r="F654" s="212"/>
      <c r="G654" s="212"/>
      <c r="J654" s="212"/>
      <c r="K654" s="237"/>
      <c r="L654" s="212"/>
      <c r="M654" s="212"/>
    </row>
    <row r="655" spans="1:13" ht="12.75" customHeight="1">
      <c r="A655" s="212"/>
      <c r="B655" s="212"/>
      <c r="C655" s="212"/>
      <c r="D655" s="236"/>
      <c r="E655" s="212"/>
      <c r="F655" s="212"/>
      <c r="G655" s="212"/>
      <c r="J655" s="212"/>
      <c r="K655" s="237"/>
      <c r="L655" s="212"/>
      <c r="M655" s="212"/>
    </row>
    <row r="656" spans="1:13" ht="12.75" customHeight="1">
      <c r="A656" s="212"/>
      <c r="B656" s="212"/>
      <c r="C656" s="212"/>
      <c r="D656" s="236"/>
      <c r="E656" s="212"/>
      <c r="F656" s="212"/>
      <c r="G656" s="212"/>
      <c r="J656" s="212"/>
      <c r="K656" s="237"/>
      <c r="L656" s="212"/>
      <c r="M656" s="212"/>
    </row>
    <row r="657" spans="1:13" ht="12.75" customHeight="1">
      <c r="A657" s="212"/>
      <c r="B657" s="212"/>
      <c r="C657" s="212"/>
      <c r="D657" s="236"/>
      <c r="E657" s="212"/>
      <c r="F657" s="212"/>
      <c r="G657" s="212"/>
      <c r="J657" s="212"/>
      <c r="K657" s="237"/>
      <c r="L657" s="212"/>
      <c r="M657" s="212"/>
    </row>
    <row r="658" spans="1:13" ht="12.75" customHeight="1">
      <c r="A658" s="212"/>
      <c r="B658" s="212"/>
      <c r="C658" s="212"/>
      <c r="D658" s="236"/>
      <c r="E658" s="212"/>
      <c r="F658" s="212"/>
      <c r="G658" s="212"/>
      <c r="J658" s="212"/>
      <c r="K658" s="237"/>
      <c r="L658" s="212"/>
      <c r="M658" s="212"/>
    </row>
    <row r="659" spans="1:13" ht="12.75" customHeight="1">
      <c r="A659" s="212"/>
      <c r="B659" s="212"/>
      <c r="C659" s="212"/>
      <c r="D659" s="236"/>
      <c r="E659" s="212"/>
      <c r="F659" s="212"/>
      <c r="G659" s="212"/>
      <c r="J659" s="212"/>
      <c r="K659" s="237"/>
      <c r="L659" s="212"/>
      <c r="M659" s="212"/>
    </row>
    <row r="660" spans="1:13" ht="12.75" customHeight="1">
      <c r="A660" s="212"/>
      <c r="B660" s="212"/>
      <c r="C660" s="212"/>
      <c r="D660" s="236"/>
      <c r="E660" s="212"/>
      <c r="F660" s="212"/>
      <c r="G660" s="212"/>
      <c r="J660" s="212"/>
      <c r="K660" s="237"/>
      <c r="L660" s="212"/>
      <c r="M660" s="212"/>
    </row>
    <row r="661" spans="1:13" ht="12.75" customHeight="1">
      <c r="A661" s="212"/>
      <c r="B661" s="212"/>
      <c r="C661" s="212"/>
      <c r="D661" s="236"/>
      <c r="E661" s="212"/>
      <c r="F661" s="212"/>
      <c r="G661" s="212"/>
      <c r="J661" s="212"/>
      <c r="K661" s="237"/>
      <c r="L661" s="212"/>
      <c r="M661" s="212"/>
    </row>
    <row r="662" spans="1:13" ht="12.75" customHeight="1">
      <c r="A662" s="212"/>
      <c r="B662" s="212"/>
      <c r="C662" s="212"/>
      <c r="D662" s="236"/>
      <c r="E662" s="212"/>
      <c r="F662" s="212"/>
      <c r="G662" s="212"/>
      <c r="J662" s="212"/>
      <c r="K662" s="237"/>
      <c r="L662" s="212"/>
      <c r="M662" s="212"/>
    </row>
    <row r="663" spans="1:13" ht="12.75" customHeight="1">
      <c r="A663" s="212"/>
      <c r="B663" s="212"/>
      <c r="C663" s="212"/>
      <c r="D663" s="236"/>
      <c r="E663" s="212"/>
      <c r="F663" s="212"/>
      <c r="G663" s="212"/>
      <c r="J663" s="212"/>
      <c r="K663" s="237"/>
      <c r="L663" s="212"/>
      <c r="M663" s="212"/>
    </row>
    <row r="664" spans="1:13" ht="12.75" customHeight="1">
      <c r="A664" s="212"/>
      <c r="B664" s="212"/>
      <c r="C664" s="212"/>
      <c r="D664" s="236"/>
      <c r="E664" s="212"/>
      <c r="F664" s="212"/>
      <c r="G664" s="212"/>
      <c r="J664" s="212"/>
      <c r="K664" s="237"/>
      <c r="L664" s="212"/>
      <c r="M664" s="212"/>
    </row>
    <row r="665" spans="1:13" ht="12.75" customHeight="1">
      <c r="A665" s="212"/>
      <c r="B665" s="212"/>
      <c r="C665" s="212"/>
      <c r="D665" s="236"/>
      <c r="E665" s="212"/>
      <c r="F665" s="212"/>
      <c r="G665" s="212"/>
      <c r="J665" s="212"/>
      <c r="K665" s="237"/>
      <c r="L665" s="212"/>
      <c r="M665" s="212"/>
    </row>
    <row r="666" spans="1:13" ht="12.75" customHeight="1">
      <c r="A666" s="212"/>
      <c r="B666" s="212"/>
      <c r="C666" s="212"/>
      <c r="D666" s="236"/>
      <c r="E666" s="212"/>
      <c r="F666" s="212"/>
      <c r="G666" s="212"/>
      <c r="J666" s="212"/>
      <c r="K666" s="237"/>
      <c r="L666" s="212"/>
      <c r="M666" s="212"/>
    </row>
    <row r="667" spans="1:13" ht="12.75" customHeight="1">
      <c r="A667" s="212"/>
      <c r="B667" s="212"/>
      <c r="C667" s="212"/>
      <c r="D667" s="236"/>
      <c r="E667" s="212"/>
      <c r="F667" s="212"/>
      <c r="G667" s="212"/>
      <c r="J667" s="212"/>
      <c r="K667" s="237"/>
      <c r="L667" s="212"/>
      <c r="M667" s="212"/>
    </row>
    <row r="668" spans="1:13" ht="12.75" customHeight="1">
      <c r="A668" s="212"/>
      <c r="B668" s="212"/>
      <c r="C668" s="212"/>
      <c r="D668" s="236"/>
      <c r="E668" s="212"/>
      <c r="F668" s="212"/>
      <c r="G668" s="212"/>
      <c r="J668" s="212"/>
      <c r="K668" s="237"/>
      <c r="L668" s="212"/>
      <c r="M668" s="212"/>
    </row>
    <row r="669" spans="1:13" ht="12.75" customHeight="1">
      <c r="A669" s="212"/>
      <c r="B669" s="212"/>
      <c r="C669" s="212"/>
      <c r="D669" s="236"/>
      <c r="E669" s="212"/>
      <c r="F669" s="212"/>
      <c r="G669" s="212"/>
      <c r="J669" s="212"/>
      <c r="K669" s="237"/>
      <c r="L669" s="212"/>
      <c r="M669" s="212"/>
    </row>
    <row r="670" spans="1:13" ht="12.75" customHeight="1">
      <c r="A670" s="212"/>
      <c r="B670" s="212"/>
      <c r="C670" s="212"/>
      <c r="D670" s="236"/>
      <c r="E670" s="212"/>
      <c r="F670" s="212"/>
      <c r="G670" s="212"/>
      <c r="J670" s="212"/>
      <c r="K670" s="237"/>
      <c r="L670" s="212"/>
      <c r="M670" s="212"/>
    </row>
    <row r="671" spans="1:13" ht="12.75" customHeight="1">
      <c r="A671" s="212"/>
      <c r="B671" s="212"/>
      <c r="C671" s="212"/>
      <c r="D671" s="236"/>
      <c r="E671" s="212"/>
      <c r="F671" s="212"/>
      <c r="G671" s="212"/>
      <c r="J671" s="212"/>
      <c r="K671" s="237"/>
      <c r="L671" s="212"/>
      <c r="M671" s="212"/>
    </row>
    <row r="672" spans="1:13" ht="12.75" customHeight="1">
      <c r="A672" s="212"/>
      <c r="B672" s="212"/>
      <c r="C672" s="212"/>
      <c r="D672" s="236"/>
      <c r="E672" s="212"/>
      <c r="F672" s="212"/>
      <c r="G672" s="212"/>
      <c r="J672" s="212"/>
      <c r="K672" s="237"/>
      <c r="L672" s="212"/>
      <c r="M672" s="212"/>
    </row>
    <row r="673" spans="1:13" ht="12.75" customHeight="1">
      <c r="A673" s="212"/>
      <c r="B673" s="212"/>
      <c r="C673" s="212"/>
      <c r="D673" s="236"/>
      <c r="E673" s="212"/>
      <c r="F673" s="212"/>
      <c r="G673" s="212"/>
      <c r="J673" s="212"/>
      <c r="K673" s="237"/>
      <c r="L673" s="212"/>
      <c r="M673" s="212"/>
    </row>
    <row r="674" spans="1:13" ht="12.75" customHeight="1">
      <c r="A674" s="212"/>
      <c r="B674" s="212"/>
      <c r="C674" s="212"/>
      <c r="D674" s="236"/>
      <c r="E674" s="212"/>
      <c r="F674" s="212"/>
      <c r="G674" s="212"/>
      <c r="J674" s="212"/>
      <c r="K674" s="237"/>
      <c r="L674" s="212"/>
      <c r="M674" s="212"/>
    </row>
    <row r="675" spans="1:13" ht="12.75" customHeight="1">
      <c r="A675" s="212"/>
      <c r="B675" s="212"/>
      <c r="C675" s="212"/>
      <c r="D675" s="236"/>
      <c r="E675" s="212"/>
      <c r="F675" s="212"/>
      <c r="G675" s="212"/>
      <c r="J675" s="212"/>
      <c r="K675" s="237"/>
      <c r="L675" s="212"/>
      <c r="M675" s="212"/>
    </row>
    <row r="676" spans="1:13" ht="12.75" customHeight="1">
      <c r="A676" s="212"/>
      <c r="B676" s="212"/>
      <c r="C676" s="212"/>
      <c r="D676" s="236"/>
      <c r="E676" s="212"/>
      <c r="F676" s="212"/>
      <c r="G676" s="212"/>
      <c r="J676" s="212"/>
      <c r="K676" s="237"/>
      <c r="L676" s="212"/>
      <c r="M676" s="212"/>
    </row>
    <row r="677" spans="1:13" ht="12.75" customHeight="1">
      <c r="A677" s="212"/>
      <c r="B677" s="212"/>
      <c r="C677" s="212"/>
      <c r="D677" s="236"/>
      <c r="E677" s="212"/>
      <c r="F677" s="212"/>
      <c r="G677" s="212"/>
      <c r="J677" s="212"/>
      <c r="K677" s="237"/>
      <c r="L677" s="212"/>
      <c r="M677" s="212"/>
    </row>
    <row r="678" spans="1:13" ht="12.75" customHeight="1">
      <c r="A678" s="212"/>
      <c r="B678" s="212"/>
      <c r="C678" s="212"/>
      <c r="D678" s="236"/>
      <c r="E678" s="212"/>
      <c r="F678" s="212"/>
      <c r="G678" s="212"/>
      <c r="J678" s="212"/>
      <c r="K678" s="237"/>
      <c r="L678" s="212"/>
      <c r="M678" s="212"/>
    </row>
    <row r="679" spans="1:13" ht="12.75" customHeight="1">
      <c r="A679" s="212"/>
      <c r="B679" s="212"/>
      <c r="C679" s="212"/>
      <c r="D679" s="236"/>
      <c r="E679" s="212"/>
      <c r="F679" s="212"/>
      <c r="G679" s="212"/>
      <c r="J679" s="212"/>
      <c r="K679" s="237"/>
      <c r="L679" s="212"/>
      <c r="M679" s="212"/>
    </row>
    <row r="680" spans="1:13" ht="12.75" customHeight="1">
      <c r="A680" s="212"/>
      <c r="B680" s="212"/>
      <c r="C680" s="212"/>
      <c r="D680" s="236"/>
      <c r="E680" s="212"/>
      <c r="F680" s="212"/>
      <c r="G680" s="212"/>
      <c r="J680" s="212"/>
      <c r="K680" s="237"/>
      <c r="L680" s="212"/>
      <c r="M680" s="212"/>
    </row>
    <row r="681" spans="1:13" ht="12.75" customHeight="1">
      <c r="A681" s="212"/>
      <c r="B681" s="212"/>
      <c r="C681" s="212"/>
      <c r="D681" s="236"/>
      <c r="E681" s="212"/>
      <c r="F681" s="212"/>
      <c r="G681" s="212"/>
      <c r="J681" s="212"/>
      <c r="K681" s="237"/>
      <c r="L681" s="212"/>
      <c r="M681" s="212"/>
    </row>
    <row r="682" spans="1:13" ht="12.75" customHeight="1">
      <c r="A682" s="212"/>
      <c r="B682" s="212"/>
      <c r="C682" s="212"/>
      <c r="D682" s="236"/>
      <c r="E682" s="212"/>
      <c r="F682" s="212"/>
      <c r="G682" s="212"/>
      <c r="J682" s="212"/>
      <c r="K682" s="237"/>
      <c r="L682" s="212"/>
      <c r="M682" s="212"/>
    </row>
    <row r="683" spans="1:13" ht="12.75" customHeight="1">
      <c r="A683" s="212"/>
      <c r="B683" s="212"/>
      <c r="C683" s="212"/>
      <c r="D683" s="236"/>
      <c r="E683" s="212"/>
      <c r="F683" s="212"/>
      <c r="G683" s="212"/>
      <c r="J683" s="212"/>
      <c r="K683" s="237"/>
      <c r="L683" s="212"/>
      <c r="M683" s="212"/>
    </row>
    <row r="684" spans="1:13" ht="12.75" customHeight="1">
      <c r="A684" s="212"/>
      <c r="B684" s="212"/>
      <c r="C684" s="212"/>
      <c r="D684" s="236"/>
      <c r="E684" s="212"/>
      <c r="F684" s="212"/>
      <c r="G684" s="212"/>
      <c r="J684" s="212"/>
      <c r="K684" s="237"/>
      <c r="L684" s="212"/>
      <c r="M684" s="212"/>
    </row>
    <row r="685" spans="1:13" ht="12.75" customHeight="1">
      <c r="A685" s="212"/>
      <c r="B685" s="212"/>
      <c r="C685" s="212"/>
      <c r="D685" s="236"/>
      <c r="E685" s="212"/>
      <c r="F685" s="212"/>
      <c r="G685" s="212"/>
      <c r="J685" s="212"/>
      <c r="K685" s="237"/>
      <c r="L685" s="212"/>
      <c r="M685" s="212"/>
    </row>
    <row r="686" spans="1:13" ht="12.75" customHeight="1">
      <c r="A686" s="212"/>
      <c r="B686" s="212"/>
      <c r="C686" s="212"/>
      <c r="D686" s="236"/>
      <c r="E686" s="212"/>
      <c r="F686" s="212"/>
      <c r="G686" s="212"/>
      <c r="J686" s="212"/>
      <c r="K686" s="237"/>
      <c r="L686" s="212"/>
      <c r="M686" s="212"/>
    </row>
    <row r="687" spans="1:13" ht="12.75" customHeight="1">
      <c r="A687" s="212"/>
      <c r="B687" s="212"/>
      <c r="C687" s="212"/>
      <c r="D687" s="236"/>
      <c r="E687" s="212"/>
      <c r="F687" s="212"/>
      <c r="G687" s="212"/>
      <c r="J687" s="212"/>
      <c r="K687" s="237"/>
      <c r="L687" s="212"/>
      <c r="M687" s="212"/>
    </row>
    <row r="688" spans="1:13" ht="12.75" customHeight="1">
      <c r="A688" s="212"/>
      <c r="B688" s="212"/>
      <c r="C688" s="212"/>
      <c r="D688" s="236"/>
      <c r="E688" s="212"/>
      <c r="F688" s="212"/>
      <c r="G688" s="212"/>
      <c r="J688" s="212"/>
      <c r="K688" s="237"/>
      <c r="L688" s="212"/>
      <c r="M688" s="212"/>
    </row>
    <row r="689" spans="1:13" ht="12.75" customHeight="1">
      <c r="A689" s="212"/>
      <c r="B689" s="212"/>
      <c r="C689" s="212"/>
      <c r="D689" s="236"/>
      <c r="E689" s="212"/>
      <c r="F689" s="212"/>
      <c r="G689" s="212"/>
      <c r="J689" s="212"/>
      <c r="K689" s="237"/>
      <c r="L689" s="212"/>
      <c r="M689" s="212"/>
    </row>
    <row r="690" spans="1:13" ht="12.75" customHeight="1">
      <c r="A690" s="212"/>
      <c r="B690" s="212"/>
      <c r="C690" s="212"/>
      <c r="D690" s="236"/>
      <c r="E690" s="212"/>
      <c r="F690" s="212"/>
      <c r="G690" s="212"/>
      <c r="J690" s="212"/>
      <c r="K690" s="237"/>
      <c r="L690" s="212"/>
      <c r="M690" s="212"/>
    </row>
    <row r="691" spans="1:13" ht="12.75" customHeight="1">
      <c r="A691" s="212"/>
      <c r="B691" s="212"/>
      <c r="C691" s="212"/>
      <c r="D691" s="236"/>
      <c r="E691" s="212"/>
      <c r="F691" s="212"/>
      <c r="G691" s="212"/>
      <c r="J691" s="212"/>
      <c r="K691" s="237"/>
      <c r="L691" s="212"/>
      <c r="M691" s="212"/>
    </row>
    <row r="692" spans="1:13" ht="12.75" customHeight="1">
      <c r="A692" s="212"/>
      <c r="B692" s="212"/>
      <c r="C692" s="212"/>
      <c r="D692" s="236"/>
      <c r="E692" s="212"/>
      <c r="F692" s="212"/>
      <c r="G692" s="212"/>
      <c r="J692" s="212"/>
      <c r="K692" s="237"/>
      <c r="L692" s="212"/>
      <c r="M692" s="212"/>
    </row>
    <row r="693" spans="1:13" ht="12.75" customHeight="1">
      <c r="A693" s="212"/>
      <c r="B693" s="212"/>
      <c r="C693" s="212"/>
      <c r="D693" s="236"/>
      <c r="E693" s="212"/>
      <c r="F693" s="212"/>
      <c r="G693" s="212"/>
      <c r="J693" s="212"/>
      <c r="K693" s="237"/>
      <c r="L693" s="212"/>
      <c r="M693" s="212"/>
    </row>
    <row r="694" spans="1:13" ht="12.75" customHeight="1">
      <c r="A694" s="212"/>
      <c r="B694" s="212"/>
      <c r="C694" s="212"/>
      <c r="D694" s="236"/>
      <c r="E694" s="212"/>
      <c r="F694" s="212"/>
      <c r="G694" s="212"/>
      <c r="J694" s="212"/>
      <c r="K694" s="237"/>
      <c r="L694" s="212"/>
      <c r="M694" s="212"/>
    </row>
    <row r="695" spans="1:13" ht="12.75" customHeight="1">
      <c r="A695" s="212"/>
      <c r="B695" s="212"/>
      <c r="C695" s="212"/>
      <c r="D695" s="236"/>
      <c r="E695" s="212"/>
      <c r="F695" s="212"/>
      <c r="G695" s="212"/>
      <c r="J695" s="212"/>
      <c r="K695" s="237"/>
      <c r="L695" s="212"/>
      <c r="M695" s="212"/>
    </row>
    <row r="696" spans="1:13" ht="12.75" customHeight="1">
      <c r="A696" s="212"/>
      <c r="B696" s="212"/>
      <c r="C696" s="212"/>
      <c r="D696" s="236"/>
      <c r="E696" s="212"/>
      <c r="F696" s="212"/>
      <c r="G696" s="212"/>
      <c r="J696" s="212"/>
      <c r="K696" s="237"/>
      <c r="L696" s="212"/>
      <c r="M696" s="212"/>
    </row>
    <row r="697" spans="1:13" ht="12.75" customHeight="1">
      <c r="A697" s="212"/>
      <c r="B697" s="212"/>
      <c r="C697" s="212"/>
      <c r="D697" s="236"/>
      <c r="E697" s="212"/>
      <c r="F697" s="212"/>
      <c r="G697" s="212"/>
      <c r="J697" s="212"/>
      <c r="K697" s="237"/>
      <c r="L697" s="212"/>
      <c r="M697" s="212"/>
    </row>
    <row r="698" spans="1:13" ht="12.75" customHeight="1">
      <c r="A698" s="212"/>
      <c r="B698" s="212"/>
      <c r="C698" s="212"/>
      <c r="D698" s="236"/>
      <c r="E698" s="212"/>
      <c r="F698" s="212"/>
      <c r="G698" s="212"/>
      <c r="J698" s="212"/>
      <c r="K698" s="237"/>
      <c r="L698" s="212"/>
      <c r="M698" s="212"/>
    </row>
    <row r="699" spans="1:13" ht="12.75" customHeight="1">
      <c r="A699" s="212"/>
      <c r="B699" s="212"/>
      <c r="C699" s="212"/>
      <c r="D699" s="236"/>
      <c r="E699" s="212"/>
      <c r="F699" s="212"/>
      <c r="G699" s="212"/>
      <c r="J699" s="212"/>
      <c r="K699" s="237"/>
      <c r="L699" s="212"/>
      <c r="M699" s="212"/>
    </row>
    <row r="700" spans="1:13" ht="12.75" customHeight="1">
      <c r="A700" s="212"/>
      <c r="B700" s="212"/>
      <c r="C700" s="212"/>
      <c r="D700" s="236"/>
      <c r="E700" s="212"/>
      <c r="F700" s="212"/>
      <c r="G700" s="212"/>
      <c r="J700" s="212"/>
      <c r="K700" s="237"/>
      <c r="L700" s="212"/>
      <c r="M700" s="212"/>
    </row>
    <row r="701" spans="1:13" ht="12.75" customHeight="1">
      <c r="A701" s="212"/>
      <c r="B701" s="212"/>
      <c r="C701" s="212"/>
      <c r="D701" s="236"/>
      <c r="E701" s="212"/>
      <c r="F701" s="212"/>
      <c r="G701" s="212"/>
      <c r="J701" s="212"/>
      <c r="K701" s="237"/>
      <c r="L701" s="212"/>
      <c r="M701" s="212"/>
    </row>
    <row r="702" spans="1:13" ht="12.75" customHeight="1">
      <c r="A702" s="212"/>
      <c r="B702" s="212"/>
      <c r="C702" s="212"/>
      <c r="D702" s="236"/>
      <c r="E702" s="212"/>
      <c r="F702" s="212"/>
      <c r="G702" s="212"/>
      <c r="J702" s="212"/>
      <c r="K702" s="237"/>
      <c r="L702" s="212"/>
      <c r="M702" s="212"/>
    </row>
    <row r="703" spans="1:13" ht="12.75" customHeight="1">
      <c r="A703" s="212"/>
      <c r="B703" s="212"/>
      <c r="C703" s="212"/>
      <c r="D703" s="236"/>
      <c r="E703" s="212"/>
      <c r="F703" s="212"/>
      <c r="G703" s="212"/>
      <c r="J703" s="212"/>
      <c r="K703" s="237"/>
      <c r="L703" s="212"/>
      <c r="M703" s="212"/>
    </row>
    <row r="704" spans="1:13" ht="12.75" customHeight="1">
      <c r="A704" s="212"/>
      <c r="B704" s="212"/>
      <c r="C704" s="212"/>
      <c r="D704" s="236"/>
      <c r="E704" s="212"/>
      <c r="F704" s="212"/>
      <c r="G704" s="212"/>
      <c r="J704" s="212"/>
      <c r="K704" s="237"/>
      <c r="L704" s="212"/>
      <c r="M704" s="212"/>
    </row>
    <row r="705" spans="1:13" ht="12.75" customHeight="1">
      <c r="A705" s="212"/>
      <c r="B705" s="212"/>
      <c r="C705" s="212"/>
      <c r="D705" s="236"/>
      <c r="E705" s="212"/>
      <c r="F705" s="212"/>
      <c r="G705" s="212"/>
      <c r="J705" s="212"/>
      <c r="K705" s="237"/>
      <c r="L705" s="212"/>
      <c r="M705" s="212"/>
    </row>
    <row r="706" spans="1:13" ht="12.75" customHeight="1">
      <c r="A706" s="212"/>
      <c r="B706" s="212"/>
      <c r="C706" s="212"/>
      <c r="D706" s="236"/>
      <c r="E706" s="212"/>
      <c r="F706" s="212"/>
      <c r="G706" s="212"/>
      <c r="J706" s="212"/>
      <c r="K706" s="237"/>
      <c r="L706" s="212"/>
      <c r="M706" s="212"/>
    </row>
    <row r="707" spans="1:13" ht="12.75" customHeight="1">
      <c r="A707" s="212"/>
      <c r="B707" s="212"/>
      <c r="C707" s="212"/>
      <c r="D707" s="236"/>
      <c r="E707" s="212"/>
      <c r="F707" s="212"/>
      <c r="G707" s="212"/>
      <c r="J707" s="212"/>
      <c r="K707" s="237"/>
      <c r="L707" s="212"/>
      <c r="M707" s="212"/>
    </row>
    <row r="708" spans="1:13" ht="12.75" customHeight="1">
      <c r="A708" s="212"/>
      <c r="B708" s="212"/>
      <c r="C708" s="212"/>
      <c r="D708" s="236"/>
      <c r="E708" s="212"/>
      <c r="F708" s="212"/>
      <c r="G708" s="212"/>
      <c r="J708" s="212"/>
      <c r="K708" s="237"/>
      <c r="L708" s="212"/>
      <c r="M708" s="212"/>
    </row>
    <row r="709" spans="1:13" ht="12.75" customHeight="1">
      <c r="A709" s="212"/>
      <c r="B709" s="212"/>
      <c r="C709" s="212"/>
      <c r="D709" s="236"/>
      <c r="E709" s="212"/>
      <c r="F709" s="212"/>
      <c r="G709" s="212"/>
      <c r="J709" s="212"/>
      <c r="K709" s="237"/>
      <c r="L709" s="212"/>
      <c r="M709" s="212"/>
    </row>
    <row r="710" spans="1:13" ht="12.75" customHeight="1">
      <c r="A710" s="212"/>
      <c r="B710" s="212"/>
      <c r="C710" s="212"/>
      <c r="D710" s="236"/>
      <c r="E710" s="212"/>
      <c r="F710" s="212"/>
      <c r="G710" s="212"/>
      <c r="J710" s="212"/>
      <c r="K710" s="237"/>
      <c r="L710" s="212"/>
      <c r="M710" s="212"/>
    </row>
    <row r="711" spans="1:13" ht="12.75" customHeight="1">
      <c r="A711" s="212"/>
      <c r="B711" s="212"/>
      <c r="C711" s="212"/>
      <c r="D711" s="236"/>
      <c r="E711" s="212"/>
      <c r="F711" s="212"/>
      <c r="G711" s="212"/>
      <c r="J711" s="212"/>
      <c r="K711" s="237"/>
      <c r="L711" s="212"/>
      <c r="M711" s="212"/>
    </row>
    <row r="712" spans="1:13" ht="12.75" customHeight="1">
      <c r="A712" s="212"/>
      <c r="B712" s="212"/>
      <c r="C712" s="212"/>
      <c r="D712" s="236"/>
      <c r="E712" s="212"/>
      <c r="F712" s="212"/>
      <c r="G712" s="212"/>
      <c r="J712" s="212"/>
      <c r="K712" s="237"/>
      <c r="L712" s="212"/>
      <c r="M712" s="212"/>
    </row>
    <row r="713" spans="1:13" ht="12.75" customHeight="1">
      <c r="A713" s="212"/>
      <c r="B713" s="212"/>
      <c r="C713" s="212"/>
      <c r="D713" s="236"/>
      <c r="E713" s="212"/>
      <c r="F713" s="212"/>
      <c r="G713" s="212"/>
      <c r="J713" s="212"/>
      <c r="K713" s="237"/>
      <c r="L713" s="212"/>
      <c r="M713" s="212"/>
    </row>
    <row r="714" spans="1:13" ht="12.75" customHeight="1">
      <c r="A714" s="212"/>
      <c r="B714" s="212"/>
      <c r="C714" s="212"/>
      <c r="D714" s="236"/>
      <c r="E714" s="212"/>
      <c r="F714" s="212"/>
      <c r="G714" s="212"/>
      <c r="J714" s="212"/>
      <c r="K714" s="237"/>
      <c r="L714" s="212"/>
      <c r="M714" s="212"/>
    </row>
    <row r="715" spans="1:13" ht="12.75" customHeight="1">
      <c r="A715" s="212"/>
      <c r="B715" s="212"/>
      <c r="C715" s="212"/>
      <c r="D715" s="236"/>
      <c r="E715" s="212"/>
      <c r="F715" s="212"/>
      <c r="G715" s="212"/>
      <c r="J715" s="212"/>
      <c r="K715" s="237"/>
      <c r="L715" s="212"/>
      <c r="M715" s="212"/>
    </row>
    <row r="716" spans="1:13" ht="12.75" customHeight="1">
      <c r="A716" s="212"/>
      <c r="B716" s="212"/>
      <c r="C716" s="212"/>
      <c r="D716" s="236"/>
      <c r="E716" s="212"/>
      <c r="F716" s="212"/>
      <c r="G716" s="212"/>
      <c r="J716" s="212"/>
      <c r="K716" s="237"/>
      <c r="L716" s="212"/>
      <c r="M716" s="212"/>
    </row>
    <row r="717" spans="1:13" ht="12.75" customHeight="1">
      <c r="A717" s="212"/>
      <c r="B717" s="212"/>
      <c r="C717" s="212"/>
      <c r="D717" s="236"/>
      <c r="E717" s="212"/>
      <c r="F717" s="212"/>
      <c r="G717" s="212"/>
      <c r="J717" s="212"/>
      <c r="K717" s="237"/>
      <c r="L717" s="212"/>
      <c r="M717" s="212"/>
    </row>
    <row r="718" spans="1:13" ht="12.75" customHeight="1">
      <c r="A718" s="212"/>
      <c r="B718" s="212"/>
      <c r="C718" s="212"/>
      <c r="D718" s="236"/>
      <c r="E718" s="212"/>
      <c r="F718" s="212"/>
      <c r="G718" s="212"/>
      <c r="J718" s="212"/>
      <c r="K718" s="237"/>
      <c r="L718" s="212"/>
      <c r="M718" s="212"/>
    </row>
    <row r="719" spans="1:13" ht="12.75" customHeight="1">
      <c r="A719" s="212"/>
      <c r="B719" s="212"/>
      <c r="C719" s="212"/>
      <c r="D719" s="236"/>
      <c r="E719" s="212"/>
      <c r="F719" s="212"/>
      <c r="G719" s="212"/>
      <c r="J719" s="212"/>
      <c r="K719" s="237"/>
      <c r="L719" s="212"/>
      <c r="M719" s="212"/>
    </row>
    <row r="720" spans="1:13" ht="12.75" customHeight="1">
      <c r="A720" s="212"/>
      <c r="B720" s="212"/>
      <c r="C720" s="212"/>
      <c r="D720" s="236"/>
      <c r="E720" s="212"/>
      <c r="F720" s="212"/>
      <c r="G720" s="212"/>
      <c r="J720" s="212"/>
      <c r="K720" s="237"/>
      <c r="L720" s="212"/>
      <c r="M720" s="212"/>
    </row>
    <row r="721" spans="1:13" ht="12.75" customHeight="1">
      <c r="A721" s="212"/>
      <c r="B721" s="212"/>
      <c r="C721" s="212"/>
      <c r="D721" s="236"/>
      <c r="E721" s="212"/>
      <c r="F721" s="212"/>
      <c r="G721" s="212"/>
      <c r="J721" s="212"/>
      <c r="K721" s="237"/>
      <c r="L721" s="212"/>
      <c r="M721" s="212"/>
    </row>
    <row r="722" spans="1:13" ht="12.75" customHeight="1">
      <c r="A722" s="212"/>
      <c r="B722" s="212"/>
      <c r="C722" s="212"/>
      <c r="D722" s="236"/>
      <c r="E722" s="212"/>
      <c r="F722" s="212"/>
      <c r="G722" s="212"/>
      <c r="J722" s="212"/>
      <c r="K722" s="237"/>
      <c r="L722" s="212"/>
      <c r="M722" s="212"/>
    </row>
    <row r="723" spans="1:13" ht="12.75" customHeight="1">
      <c r="A723" s="212"/>
      <c r="B723" s="212"/>
      <c r="C723" s="212"/>
      <c r="D723" s="236"/>
      <c r="E723" s="212"/>
      <c r="F723" s="212"/>
      <c r="G723" s="212"/>
      <c r="J723" s="212"/>
      <c r="K723" s="237"/>
      <c r="L723" s="212"/>
      <c r="M723" s="212"/>
    </row>
    <row r="724" spans="1:13" ht="12.75" customHeight="1">
      <c r="A724" s="212"/>
      <c r="B724" s="212"/>
      <c r="C724" s="212"/>
      <c r="D724" s="236"/>
      <c r="E724" s="212"/>
      <c r="F724" s="212"/>
      <c r="G724" s="212"/>
      <c r="J724" s="212"/>
      <c r="K724" s="237"/>
      <c r="L724" s="212"/>
      <c r="M724" s="212"/>
    </row>
    <row r="725" spans="1:13" ht="12.75" customHeight="1">
      <c r="A725" s="212"/>
      <c r="B725" s="212"/>
      <c r="C725" s="212"/>
      <c r="D725" s="236"/>
      <c r="E725" s="212"/>
      <c r="F725" s="212"/>
      <c r="G725" s="212"/>
      <c r="J725" s="212"/>
      <c r="K725" s="237"/>
      <c r="L725" s="212"/>
      <c r="M725" s="212"/>
    </row>
    <row r="726" spans="1:13" ht="12.75" customHeight="1">
      <c r="A726" s="212"/>
      <c r="B726" s="212"/>
      <c r="C726" s="212"/>
      <c r="D726" s="236"/>
      <c r="E726" s="212"/>
      <c r="F726" s="212"/>
      <c r="G726" s="212"/>
      <c r="J726" s="212"/>
      <c r="K726" s="237"/>
      <c r="L726" s="212"/>
      <c r="M726" s="212"/>
    </row>
    <row r="727" spans="1:13" ht="12.75" customHeight="1">
      <c r="A727" s="212"/>
      <c r="B727" s="212"/>
      <c r="C727" s="212"/>
      <c r="D727" s="236"/>
      <c r="E727" s="212"/>
      <c r="F727" s="212"/>
      <c r="G727" s="212"/>
      <c r="J727" s="212"/>
      <c r="K727" s="237"/>
      <c r="L727" s="212"/>
      <c r="M727" s="212"/>
    </row>
    <row r="728" spans="1:13" ht="12.75" customHeight="1">
      <c r="A728" s="212"/>
      <c r="B728" s="212"/>
      <c r="C728" s="212"/>
      <c r="D728" s="236"/>
      <c r="E728" s="212"/>
      <c r="F728" s="212"/>
      <c r="G728" s="212"/>
      <c r="J728" s="212"/>
      <c r="K728" s="237"/>
      <c r="L728" s="212"/>
      <c r="M728" s="212"/>
    </row>
    <row r="729" spans="1:13" ht="12.75" customHeight="1">
      <c r="A729" s="212"/>
      <c r="B729" s="212"/>
      <c r="C729" s="212"/>
      <c r="D729" s="236"/>
      <c r="E729" s="212"/>
      <c r="F729" s="212"/>
      <c r="G729" s="212"/>
      <c r="J729" s="212"/>
      <c r="K729" s="237"/>
      <c r="L729" s="212"/>
      <c r="M729" s="212"/>
    </row>
    <row r="730" spans="1:13" ht="12.75" customHeight="1">
      <c r="A730" s="212"/>
      <c r="B730" s="212"/>
      <c r="C730" s="212"/>
      <c r="D730" s="236"/>
      <c r="E730" s="212"/>
      <c r="F730" s="212"/>
      <c r="G730" s="212"/>
      <c r="J730" s="212"/>
      <c r="K730" s="237"/>
      <c r="L730" s="212"/>
      <c r="M730" s="212"/>
    </row>
    <row r="731" spans="1:13" ht="12.75" customHeight="1">
      <c r="A731" s="212"/>
      <c r="B731" s="212"/>
      <c r="C731" s="212"/>
      <c r="D731" s="236"/>
      <c r="E731" s="212"/>
      <c r="F731" s="212"/>
      <c r="G731" s="212"/>
      <c r="J731" s="212"/>
      <c r="K731" s="237"/>
      <c r="L731" s="212"/>
      <c r="M731" s="212"/>
    </row>
    <row r="732" spans="1:13" ht="12.75" customHeight="1">
      <c r="A732" s="212"/>
      <c r="B732" s="212"/>
      <c r="C732" s="212"/>
      <c r="D732" s="236"/>
      <c r="E732" s="212"/>
      <c r="F732" s="212"/>
      <c r="G732" s="212"/>
      <c r="J732" s="212"/>
      <c r="K732" s="237"/>
      <c r="L732" s="212"/>
      <c r="M732" s="212"/>
    </row>
    <row r="733" spans="1:13" ht="12.75" customHeight="1">
      <c r="A733" s="212"/>
      <c r="B733" s="212"/>
      <c r="C733" s="212"/>
      <c r="D733" s="236"/>
      <c r="E733" s="212"/>
      <c r="F733" s="212"/>
      <c r="G733" s="212"/>
      <c r="J733" s="212"/>
      <c r="K733" s="237"/>
      <c r="L733" s="212"/>
      <c r="M733" s="212"/>
    </row>
    <row r="734" spans="1:13" ht="12.75" customHeight="1">
      <c r="A734" s="212"/>
      <c r="B734" s="212"/>
      <c r="C734" s="212"/>
      <c r="D734" s="236"/>
      <c r="E734" s="212"/>
      <c r="F734" s="212"/>
      <c r="G734" s="212"/>
      <c r="J734" s="212"/>
      <c r="K734" s="237"/>
      <c r="L734" s="212"/>
      <c r="M734" s="212"/>
    </row>
    <row r="735" spans="1:13" ht="12.75" customHeight="1">
      <c r="A735" s="212"/>
      <c r="B735" s="212"/>
      <c r="C735" s="212"/>
      <c r="D735" s="236"/>
      <c r="E735" s="212"/>
      <c r="F735" s="212"/>
      <c r="G735" s="212"/>
      <c r="J735" s="212"/>
      <c r="K735" s="237"/>
      <c r="L735" s="212"/>
      <c r="M735" s="212"/>
    </row>
    <row r="736" spans="1:13" ht="12.75" customHeight="1">
      <c r="A736" s="212"/>
      <c r="B736" s="212"/>
      <c r="C736" s="212"/>
      <c r="D736" s="236"/>
      <c r="E736" s="212"/>
      <c r="F736" s="212"/>
      <c r="G736" s="212"/>
      <c r="J736" s="212"/>
      <c r="K736" s="237"/>
      <c r="L736" s="212"/>
      <c r="M736" s="212"/>
    </row>
    <row r="737" spans="1:13" ht="12.75" customHeight="1">
      <c r="A737" s="212"/>
      <c r="B737" s="212"/>
      <c r="C737" s="212"/>
      <c r="D737" s="236"/>
      <c r="E737" s="212"/>
      <c r="F737" s="212"/>
      <c r="G737" s="212"/>
      <c r="J737" s="212"/>
      <c r="K737" s="237"/>
      <c r="L737" s="212"/>
      <c r="M737" s="212"/>
    </row>
    <row r="738" spans="1:13" ht="12.75" customHeight="1">
      <c r="A738" s="212"/>
      <c r="B738" s="212"/>
      <c r="C738" s="212"/>
      <c r="D738" s="236"/>
      <c r="E738" s="212"/>
      <c r="F738" s="212"/>
      <c r="G738" s="212"/>
      <c r="J738" s="212"/>
      <c r="K738" s="237"/>
      <c r="L738" s="212"/>
      <c r="M738" s="212"/>
    </row>
    <row r="739" spans="1:13" ht="12.75" customHeight="1">
      <c r="A739" s="212"/>
      <c r="B739" s="212"/>
      <c r="C739" s="212"/>
      <c r="D739" s="236"/>
      <c r="E739" s="212"/>
      <c r="F739" s="212"/>
      <c r="G739" s="212"/>
      <c r="J739" s="212"/>
      <c r="K739" s="237"/>
      <c r="L739" s="212"/>
      <c r="M739" s="212"/>
    </row>
    <row r="740" spans="1:13" ht="12.75" customHeight="1">
      <c r="A740" s="212"/>
      <c r="B740" s="212"/>
      <c r="C740" s="212"/>
      <c r="D740" s="236"/>
      <c r="E740" s="212"/>
      <c r="F740" s="212"/>
      <c r="G740" s="212"/>
      <c r="J740" s="212"/>
      <c r="K740" s="237"/>
      <c r="L740" s="212"/>
      <c r="M740" s="212"/>
    </row>
    <row r="741" spans="1:13" ht="12.75" customHeight="1">
      <c r="A741" s="212"/>
      <c r="B741" s="212"/>
      <c r="C741" s="212"/>
      <c r="D741" s="236"/>
      <c r="E741" s="212"/>
      <c r="F741" s="212"/>
      <c r="G741" s="212"/>
      <c r="J741" s="212"/>
      <c r="K741" s="237"/>
      <c r="L741" s="212"/>
      <c r="M741" s="212"/>
    </row>
    <row r="742" spans="1:13" ht="12.75" customHeight="1">
      <c r="A742" s="212"/>
      <c r="B742" s="212"/>
      <c r="C742" s="212"/>
      <c r="D742" s="236"/>
      <c r="E742" s="212"/>
      <c r="F742" s="212"/>
      <c r="G742" s="212"/>
      <c r="J742" s="212"/>
      <c r="K742" s="237"/>
      <c r="L742" s="212"/>
      <c r="M742" s="212"/>
    </row>
    <row r="743" spans="1:13" ht="12.75" customHeight="1">
      <c r="A743" s="212"/>
      <c r="B743" s="212"/>
      <c r="C743" s="212"/>
      <c r="D743" s="236"/>
      <c r="E743" s="212"/>
      <c r="F743" s="212"/>
      <c r="G743" s="212"/>
      <c r="J743" s="212"/>
      <c r="K743" s="237"/>
      <c r="L743" s="212"/>
      <c r="M743" s="212"/>
    </row>
    <row r="744" spans="1:13" ht="12.75" customHeight="1">
      <c r="A744" s="212"/>
      <c r="B744" s="212"/>
      <c r="C744" s="212"/>
      <c r="D744" s="236"/>
      <c r="E744" s="212"/>
      <c r="F744" s="212"/>
      <c r="G744" s="212"/>
      <c r="J744" s="212"/>
      <c r="K744" s="237"/>
      <c r="L744" s="212"/>
      <c r="M744" s="212"/>
    </row>
    <row r="745" spans="1:13" ht="12.75" customHeight="1">
      <c r="A745" s="212"/>
      <c r="B745" s="212"/>
      <c r="C745" s="212"/>
      <c r="D745" s="236"/>
      <c r="E745" s="212"/>
      <c r="F745" s="212"/>
      <c r="G745" s="212"/>
      <c r="J745" s="212"/>
      <c r="K745" s="237"/>
      <c r="L745" s="212"/>
      <c r="M745" s="212"/>
    </row>
    <row r="746" spans="1:13" ht="12.75" customHeight="1">
      <c r="A746" s="212"/>
      <c r="B746" s="212"/>
      <c r="C746" s="212"/>
      <c r="D746" s="236"/>
      <c r="E746" s="212"/>
      <c r="F746" s="212"/>
      <c r="G746" s="212"/>
      <c r="J746" s="212"/>
      <c r="K746" s="237"/>
      <c r="L746" s="212"/>
      <c r="M746" s="212"/>
    </row>
    <row r="747" spans="1:13" ht="12.75" customHeight="1">
      <c r="A747" s="212"/>
      <c r="B747" s="212"/>
      <c r="C747" s="212"/>
      <c r="D747" s="236"/>
      <c r="E747" s="212"/>
      <c r="F747" s="212"/>
      <c r="G747" s="212"/>
      <c r="J747" s="212"/>
      <c r="K747" s="237"/>
      <c r="L747" s="212"/>
      <c r="M747" s="212"/>
    </row>
    <row r="748" spans="1:13" ht="12.75" customHeight="1">
      <c r="A748" s="212"/>
      <c r="B748" s="212"/>
      <c r="C748" s="212"/>
      <c r="D748" s="236"/>
      <c r="E748" s="212"/>
      <c r="F748" s="212"/>
      <c r="G748" s="212"/>
      <c r="J748" s="212"/>
      <c r="K748" s="237"/>
      <c r="L748" s="212"/>
      <c r="M748" s="212"/>
    </row>
    <row r="749" spans="1:13" ht="12.75" customHeight="1">
      <c r="A749" s="212"/>
      <c r="B749" s="212"/>
      <c r="C749" s="212"/>
      <c r="D749" s="236"/>
      <c r="E749" s="212"/>
      <c r="F749" s="212"/>
      <c r="G749" s="212"/>
      <c r="J749" s="212"/>
      <c r="K749" s="237"/>
      <c r="L749" s="212"/>
      <c r="M749" s="212"/>
    </row>
    <row r="750" spans="1:13" ht="12.75" customHeight="1">
      <c r="A750" s="212"/>
      <c r="B750" s="212"/>
      <c r="C750" s="212"/>
      <c r="D750" s="236"/>
      <c r="E750" s="212"/>
      <c r="F750" s="212"/>
      <c r="G750" s="212"/>
      <c r="J750" s="212"/>
      <c r="K750" s="237"/>
      <c r="L750" s="212"/>
      <c r="M750" s="212"/>
    </row>
    <row r="751" spans="1:13" ht="12.75" customHeight="1">
      <c r="A751" s="212"/>
      <c r="B751" s="212"/>
      <c r="C751" s="212"/>
      <c r="D751" s="236"/>
      <c r="E751" s="212"/>
      <c r="F751" s="212"/>
      <c r="G751" s="212"/>
      <c r="J751" s="212"/>
      <c r="K751" s="237"/>
      <c r="L751" s="212"/>
      <c r="M751" s="212"/>
    </row>
    <row r="752" spans="1:13" ht="12.75" customHeight="1">
      <c r="A752" s="212"/>
      <c r="B752" s="212"/>
      <c r="C752" s="212"/>
      <c r="D752" s="236"/>
      <c r="E752" s="212"/>
      <c r="F752" s="212"/>
      <c r="G752" s="212"/>
      <c r="J752" s="212"/>
      <c r="K752" s="237"/>
      <c r="L752" s="212"/>
      <c r="M752" s="212"/>
    </row>
    <row r="753" spans="1:13" ht="12.75" customHeight="1">
      <c r="A753" s="212"/>
      <c r="B753" s="212"/>
      <c r="C753" s="212"/>
      <c r="D753" s="236"/>
      <c r="E753" s="212"/>
      <c r="F753" s="212"/>
      <c r="G753" s="212"/>
      <c r="J753" s="212"/>
      <c r="K753" s="237"/>
      <c r="L753" s="212"/>
      <c r="M753" s="212"/>
    </row>
    <row r="754" spans="1:13" ht="12.75" customHeight="1">
      <c r="A754" s="212"/>
      <c r="B754" s="212"/>
      <c r="C754" s="212"/>
      <c r="D754" s="236"/>
      <c r="E754" s="212"/>
      <c r="F754" s="212"/>
      <c r="G754" s="212"/>
      <c r="J754" s="212"/>
      <c r="K754" s="237"/>
      <c r="L754" s="212"/>
      <c r="M754" s="212"/>
    </row>
    <row r="755" spans="1:13" ht="12.75" customHeight="1">
      <c r="A755" s="212"/>
      <c r="B755" s="212"/>
      <c r="C755" s="212"/>
      <c r="D755" s="236"/>
      <c r="E755" s="212"/>
      <c r="F755" s="212"/>
      <c r="G755" s="212"/>
      <c r="J755" s="212"/>
      <c r="K755" s="237"/>
      <c r="L755" s="212"/>
      <c r="M755" s="212"/>
    </row>
    <row r="756" spans="1:13" ht="12.75" customHeight="1">
      <c r="A756" s="212"/>
      <c r="B756" s="212"/>
      <c r="C756" s="212"/>
      <c r="D756" s="236"/>
      <c r="E756" s="212"/>
      <c r="F756" s="212"/>
      <c r="G756" s="212"/>
      <c r="J756" s="212"/>
      <c r="K756" s="237"/>
      <c r="L756" s="212"/>
      <c r="M756" s="212"/>
    </row>
    <row r="757" spans="1:13" ht="12.75" customHeight="1">
      <c r="A757" s="212"/>
      <c r="B757" s="212"/>
      <c r="C757" s="212"/>
      <c r="D757" s="236"/>
      <c r="E757" s="212"/>
      <c r="F757" s="212"/>
      <c r="G757" s="212"/>
      <c r="J757" s="212"/>
      <c r="K757" s="237"/>
      <c r="L757" s="212"/>
      <c r="M757" s="212"/>
    </row>
    <row r="758" spans="1:13" ht="12.75" customHeight="1">
      <c r="A758" s="212"/>
      <c r="B758" s="212"/>
      <c r="C758" s="212"/>
      <c r="D758" s="236"/>
      <c r="E758" s="212"/>
      <c r="F758" s="212"/>
      <c r="G758" s="212"/>
      <c r="J758" s="212"/>
      <c r="K758" s="237"/>
      <c r="L758" s="212"/>
      <c r="M758" s="212"/>
    </row>
    <row r="759" spans="1:13" ht="12.75" customHeight="1">
      <c r="A759" s="212"/>
      <c r="B759" s="212"/>
      <c r="C759" s="212"/>
      <c r="D759" s="236"/>
      <c r="E759" s="212"/>
      <c r="F759" s="212"/>
      <c r="G759" s="212"/>
      <c r="J759" s="212"/>
      <c r="K759" s="237"/>
      <c r="L759" s="212"/>
      <c r="M759" s="212"/>
    </row>
    <row r="760" spans="1:13" ht="12.75" customHeight="1">
      <c r="A760" s="212"/>
      <c r="B760" s="212"/>
      <c r="C760" s="212"/>
      <c r="D760" s="236"/>
      <c r="E760" s="212"/>
      <c r="F760" s="212"/>
      <c r="G760" s="212"/>
      <c r="J760" s="212"/>
      <c r="K760" s="237"/>
      <c r="L760" s="212"/>
      <c r="M760" s="212"/>
    </row>
    <row r="761" spans="1:13" ht="12.75" customHeight="1">
      <c r="A761" s="212"/>
      <c r="B761" s="212"/>
      <c r="C761" s="212"/>
      <c r="D761" s="236"/>
      <c r="E761" s="212"/>
      <c r="F761" s="212"/>
      <c r="G761" s="212"/>
      <c r="J761" s="212"/>
      <c r="K761" s="237"/>
      <c r="L761" s="212"/>
      <c r="M761" s="212"/>
    </row>
    <row r="762" spans="1:13" ht="12.75" customHeight="1">
      <c r="A762" s="212"/>
      <c r="B762" s="212"/>
      <c r="C762" s="212"/>
      <c r="D762" s="236"/>
      <c r="E762" s="212"/>
      <c r="F762" s="212"/>
      <c r="G762" s="212"/>
      <c r="J762" s="212"/>
      <c r="K762" s="237"/>
      <c r="L762" s="212"/>
      <c r="M762" s="212"/>
    </row>
    <row r="763" spans="1:13" ht="12.75" customHeight="1">
      <c r="A763" s="212"/>
      <c r="B763" s="212"/>
      <c r="C763" s="212"/>
      <c r="D763" s="236"/>
      <c r="E763" s="212"/>
      <c r="F763" s="212"/>
      <c r="G763" s="212"/>
      <c r="J763" s="212"/>
      <c r="K763" s="237"/>
      <c r="L763" s="212"/>
      <c r="M763" s="212"/>
    </row>
    <row r="764" spans="1:13" ht="12.75" customHeight="1">
      <c r="A764" s="212"/>
      <c r="B764" s="212"/>
      <c r="C764" s="212"/>
      <c r="D764" s="236"/>
      <c r="E764" s="212"/>
      <c r="F764" s="212"/>
      <c r="G764" s="212"/>
      <c r="J764" s="212"/>
      <c r="K764" s="237"/>
      <c r="L764" s="212"/>
      <c r="M764" s="212"/>
    </row>
    <row r="765" spans="1:13" ht="12.75" customHeight="1">
      <c r="A765" s="212"/>
      <c r="B765" s="212"/>
      <c r="C765" s="212"/>
      <c r="D765" s="236"/>
      <c r="E765" s="212"/>
      <c r="F765" s="212"/>
      <c r="G765" s="212"/>
      <c r="J765" s="212"/>
      <c r="K765" s="237"/>
      <c r="L765" s="212"/>
      <c r="M765" s="212"/>
    </row>
    <row r="766" spans="1:13" ht="12.75" customHeight="1">
      <c r="A766" s="212"/>
      <c r="B766" s="212"/>
      <c r="C766" s="212"/>
      <c r="D766" s="236"/>
      <c r="E766" s="212"/>
      <c r="F766" s="212"/>
      <c r="G766" s="212"/>
      <c r="J766" s="212"/>
      <c r="K766" s="237"/>
      <c r="L766" s="212"/>
      <c r="M766" s="212"/>
    </row>
    <row r="767" spans="1:13" ht="12.75" customHeight="1">
      <c r="A767" s="212"/>
      <c r="B767" s="212"/>
      <c r="C767" s="212"/>
      <c r="D767" s="236"/>
      <c r="E767" s="212"/>
      <c r="F767" s="212"/>
      <c r="G767" s="212"/>
      <c r="J767" s="212"/>
      <c r="K767" s="237"/>
      <c r="L767" s="212"/>
      <c r="M767" s="212"/>
    </row>
    <row r="768" spans="1:13" ht="12.75" customHeight="1">
      <c r="A768" s="212"/>
      <c r="B768" s="212"/>
      <c r="C768" s="212"/>
      <c r="D768" s="236"/>
      <c r="E768" s="212"/>
      <c r="F768" s="212"/>
      <c r="G768" s="212"/>
      <c r="J768" s="212"/>
      <c r="K768" s="237"/>
      <c r="L768" s="212"/>
      <c r="M768" s="212"/>
    </row>
    <row r="769" spans="1:13" ht="12.75" customHeight="1">
      <c r="A769" s="212"/>
      <c r="B769" s="212"/>
      <c r="C769" s="212"/>
      <c r="D769" s="236"/>
      <c r="E769" s="212"/>
      <c r="F769" s="212"/>
      <c r="G769" s="212"/>
      <c r="J769" s="212"/>
      <c r="K769" s="237"/>
      <c r="L769" s="212"/>
      <c r="M769" s="212"/>
    </row>
    <row r="770" spans="1:13" ht="12.75" customHeight="1">
      <c r="A770" s="212"/>
      <c r="B770" s="212"/>
      <c r="C770" s="212"/>
      <c r="D770" s="236"/>
      <c r="E770" s="212"/>
      <c r="F770" s="212"/>
      <c r="G770" s="212"/>
      <c r="J770" s="212"/>
      <c r="K770" s="237"/>
      <c r="L770" s="212"/>
      <c r="M770" s="212"/>
    </row>
    <row r="771" spans="1:13" ht="12.75" customHeight="1">
      <c r="A771" s="212"/>
      <c r="B771" s="212"/>
      <c r="C771" s="212"/>
      <c r="D771" s="236"/>
      <c r="E771" s="212"/>
      <c r="F771" s="212"/>
      <c r="G771" s="212"/>
      <c r="J771" s="212"/>
      <c r="K771" s="237"/>
      <c r="L771" s="212"/>
      <c r="M771" s="212"/>
    </row>
    <row r="772" spans="1:13" ht="12.75" customHeight="1">
      <c r="A772" s="212"/>
      <c r="B772" s="212"/>
      <c r="C772" s="212"/>
      <c r="D772" s="236"/>
      <c r="E772" s="212"/>
      <c r="F772" s="212"/>
      <c r="G772" s="212"/>
      <c r="J772" s="212"/>
      <c r="K772" s="237"/>
      <c r="L772" s="212"/>
      <c r="M772" s="212"/>
    </row>
    <row r="773" spans="1:13" ht="12.75" customHeight="1">
      <c r="A773" s="212"/>
      <c r="B773" s="212"/>
      <c r="C773" s="212"/>
      <c r="D773" s="236"/>
      <c r="E773" s="212"/>
      <c r="F773" s="212"/>
      <c r="G773" s="212"/>
      <c r="J773" s="212"/>
      <c r="K773" s="237"/>
      <c r="L773" s="212"/>
      <c r="M773" s="212"/>
    </row>
    <row r="774" spans="1:13" ht="12.75" customHeight="1">
      <c r="A774" s="212"/>
      <c r="B774" s="212"/>
      <c r="C774" s="212"/>
      <c r="D774" s="236"/>
      <c r="E774" s="212"/>
      <c r="F774" s="212"/>
      <c r="G774" s="212"/>
      <c r="J774" s="212"/>
      <c r="K774" s="237"/>
      <c r="L774" s="212"/>
      <c r="M774" s="212"/>
    </row>
    <row r="775" spans="1:13" ht="12.75" customHeight="1">
      <c r="A775" s="212"/>
      <c r="B775" s="212"/>
      <c r="C775" s="212"/>
      <c r="D775" s="236"/>
      <c r="E775" s="212"/>
      <c r="F775" s="212"/>
      <c r="G775" s="212"/>
      <c r="J775" s="212"/>
      <c r="K775" s="237"/>
      <c r="L775" s="212"/>
      <c r="M775" s="212"/>
    </row>
    <row r="776" spans="1:13" ht="12.75" customHeight="1">
      <c r="A776" s="212"/>
      <c r="B776" s="212"/>
      <c r="C776" s="212"/>
      <c r="D776" s="236"/>
      <c r="E776" s="212"/>
      <c r="F776" s="212"/>
      <c r="G776" s="212"/>
      <c r="J776" s="212"/>
      <c r="K776" s="237"/>
      <c r="L776" s="212"/>
      <c r="M776" s="212"/>
    </row>
    <row r="777" spans="1:13" ht="12.75" customHeight="1">
      <c r="A777" s="212"/>
      <c r="B777" s="212"/>
      <c r="C777" s="212"/>
      <c r="D777" s="236"/>
      <c r="E777" s="212"/>
      <c r="F777" s="212"/>
      <c r="G777" s="212"/>
      <c r="J777" s="212"/>
      <c r="K777" s="237"/>
      <c r="L777" s="212"/>
      <c r="M777" s="212"/>
    </row>
    <row r="778" spans="1:13" ht="12.75" customHeight="1">
      <c r="A778" s="212"/>
      <c r="B778" s="212"/>
      <c r="C778" s="212"/>
      <c r="D778" s="236"/>
      <c r="E778" s="212"/>
      <c r="F778" s="212"/>
      <c r="G778" s="212"/>
      <c r="J778" s="212"/>
      <c r="K778" s="237"/>
      <c r="L778" s="212"/>
      <c r="M778" s="212"/>
    </row>
    <row r="779" spans="1:13" ht="12.75" customHeight="1">
      <c r="A779" s="212"/>
      <c r="B779" s="212"/>
      <c r="C779" s="212"/>
      <c r="D779" s="236"/>
      <c r="E779" s="212"/>
      <c r="F779" s="212"/>
      <c r="G779" s="212"/>
      <c r="J779" s="212"/>
      <c r="K779" s="237"/>
      <c r="L779" s="212"/>
      <c r="M779" s="212"/>
    </row>
    <row r="780" spans="1:13" ht="12.75" customHeight="1">
      <c r="A780" s="212"/>
      <c r="B780" s="212"/>
      <c r="C780" s="212"/>
      <c r="D780" s="236"/>
      <c r="E780" s="212"/>
      <c r="F780" s="212"/>
      <c r="G780" s="212"/>
      <c r="J780" s="212"/>
      <c r="K780" s="237"/>
      <c r="L780" s="212"/>
      <c r="M780" s="212"/>
    </row>
    <row r="781" spans="1:13" ht="12.75" customHeight="1">
      <c r="A781" s="212"/>
      <c r="B781" s="212"/>
      <c r="C781" s="212"/>
      <c r="D781" s="236"/>
      <c r="E781" s="212"/>
      <c r="F781" s="212"/>
      <c r="G781" s="212"/>
      <c r="J781" s="212"/>
      <c r="K781" s="237"/>
      <c r="L781" s="212"/>
      <c r="M781" s="212"/>
    </row>
    <row r="782" spans="1:13" ht="12.75" customHeight="1">
      <c r="A782" s="212"/>
      <c r="B782" s="212"/>
      <c r="C782" s="212"/>
      <c r="D782" s="236"/>
      <c r="E782" s="212"/>
      <c r="F782" s="212"/>
      <c r="G782" s="212"/>
      <c r="J782" s="212"/>
      <c r="K782" s="237"/>
      <c r="L782" s="212"/>
      <c r="M782" s="212"/>
    </row>
    <row r="783" spans="1:13" ht="12.75" customHeight="1">
      <c r="A783" s="212"/>
      <c r="B783" s="212"/>
      <c r="C783" s="212"/>
      <c r="D783" s="236"/>
      <c r="E783" s="212"/>
      <c r="F783" s="212"/>
      <c r="G783" s="212"/>
      <c r="J783" s="212"/>
      <c r="K783" s="237"/>
      <c r="L783" s="212"/>
      <c r="M783" s="212"/>
    </row>
    <row r="784" spans="1:13" ht="12.75" customHeight="1">
      <c r="A784" s="212"/>
      <c r="B784" s="212"/>
      <c r="C784" s="212"/>
      <c r="D784" s="236"/>
      <c r="E784" s="212"/>
      <c r="F784" s="212"/>
      <c r="G784" s="212"/>
      <c r="J784" s="212"/>
      <c r="K784" s="237"/>
      <c r="L784" s="212"/>
      <c r="M784" s="212"/>
    </row>
    <row r="785" spans="1:13" ht="12.75" customHeight="1">
      <c r="A785" s="212"/>
      <c r="B785" s="212"/>
      <c r="C785" s="212"/>
      <c r="D785" s="236"/>
      <c r="E785" s="212"/>
      <c r="F785" s="212"/>
      <c r="G785" s="212"/>
      <c r="J785" s="212"/>
      <c r="K785" s="237"/>
      <c r="L785" s="212"/>
      <c r="M785" s="212"/>
    </row>
    <row r="786" spans="1:13" ht="12.75" customHeight="1">
      <c r="A786" s="212"/>
      <c r="B786" s="212"/>
      <c r="C786" s="212"/>
      <c r="D786" s="236"/>
      <c r="E786" s="212"/>
      <c r="F786" s="212"/>
      <c r="G786" s="212"/>
      <c r="J786" s="212"/>
      <c r="K786" s="237"/>
      <c r="L786" s="212"/>
      <c r="M786" s="212"/>
    </row>
    <row r="787" spans="1:13" ht="12.75" customHeight="1">
      <c r="A787" s="212"/>
      <c r="B787" s="212"/>
      <c r="C787" s="212"/>
      <c r="D787" s="236"/>
      <c r="E787" s="212"/>
      <c r="F787" s="212"/>
      <c r="G787" s="212"/>
      <c r="J787" s="212"/>
      <c r="K787" s="237"/>
      <c r="L787" s="212"/>
      <c r="M787" s="212"/>
    </row>
    <row r="788" spans="1:13" ht="12.75" customHeight="1">
      <c r="A788" s="212"/>
      <c r="B788" s="212"/>
      <c r="C788" s="212"/>
      <c r="D788" s="236"/>
      <c r="E788" s="212"/>
      <c r="F788" s="212"/>
      <c r="G788" s="212"/>
      <c r="J788" s="212"/>
      <c r="K788" s="237"/>
      <c r="L788" s="212"/>
      <c r="M788" s="212"/>
    </row>
    <row r="789" spans="1:13" ht="12.75" customHeight="1">
      <c r="A789" s="212"/>
      <c r="B789" s="212"/>
      <c r="C789" s="212"/>
      <c r="D789" s="236"/>
      <c r="E789" s="212"/>
      <c r="F789" s="212"/>
      <c r="G789" s="212"/>
      <c r="J789" s="212"/>
      <c r="K789" s="237"/>
      <c r="L789" s="212"/>
      <c r="M789" s="212"/>
    </row>
    <row r="790" spans="1:13" ht="12.75" customHeight="1">
      <c r="A790" s="212"/>
      <c r="B790" s="212"/>
      <c r="C790" s="212"/>
      <c r="D790" s="236"/>
      <c r="E790" s="212"/>
      <c r="F790" s="212"/>
      <c r="G790" s="212"/>
      <c r="J790" s="212"/>
      <c r="K790" s="237"/>
      <c r="L790" s="212"/>
      <c r="M790" s="212"/>
    </row>
    <row r="791" spans="1:13" ht="12.75" customHeight="1">
      <c r="A791" s="212"/>
      <c r="B791" s="212"/>
      <c r="C791" s="212"/>
      <c r="D791" s="236"/>
      <c r="E791" s="212"/>
      <c r="F791" s="212"/>
      <c r="G791" s="212"/>
      <c r="J791" s="212"/>
      <c r="K791" s="237"/>
      <c r="L791" s="212"/>
      <c r="M791" s="212"/>
    </row>
    <row r="792" spans="1:13" ht="12.75" customHeight="1">
      <c r="A792" s="212"/>
      <c r="B792" s="212"/>
      <c r="C792" s="212"/>
      <c r="D792" s="236"/>
      <c r="E792" s="212"/>
      <c r="F792" s="212"/>
      <c r="G792" s="212"/>
      <c r="J792" s="212"/>
      <c r="K792" s="237"/>
      <c r="L792" s="212"/>
      <c r="M792" s="212"/>
    </row>
    <row r="793" spans="1:13" ht="12.75" customHeight="1">
      <c r="A793" s="212"/>
      <c r="B793" s="212"/>
      <c r="C793" s="212"/>
      <c r="D793" s="236"/>
      <c r="E793" s="212"/>
      <c r="F793" s="212"/>
      <c r="G793" s="212"/>
      <c r="J793" s="212"/>
      <c r="K793" s="237"/>
      <c r="L793" s="212"/>
      <c r="M793" s="212"/>
    </row>
    <row r="794" spans="1:13" ht="12.75" customHeight="1">
      <c r="A794" s="212"/>
      <c r="B794" s="212"/>
      <c r="C794" s="212"/>
      <c r="D794" s="236"/>
      <c r="E794" s="212"/>
      <c r="F794" s="212"/>
      <c r="G794" s="212"/>
      <c r="J794" s="212"/>
      <c r="K794" s="237"/>
      <c r="L794" s="212"/>
      <c r="M794" s="212"/>
    </row>
    <row r="795" spans="1:13" ht="12.75" customHeight="1">
      <c r="A795" s="212"/>
      <c r="B795" s="212"/>
      <c r="C795" s="212"/>
      <c r="D795" s="236"/>
      <c r="E795" s="212"/>
      <c r="F795" s="212"/>
      <c r="G795" s="212"/>
      <c r="J795" s="212"/>
      <c r="K795" s="237"/>
      <c r="L795" s="212"/>
      <c r="M795" s="212"/>
    </row>
    <row r="796" spans="1:13" ht="12.75" customHeight="1">
      <c r="A796" s="212"/>
      <c r="B796" s="212"/>
      <c r="C796" s="212"/>
      <c r="D796" s="236"/>
      <c r="E796" s="212"/>
      <c r="F796" s="212"/>
      <c r="G796" s="212"/>
      <c r="J796" s="212"/>
      <c r="K796" s="237"/>
      <c r="L796" s="212"/>
      <c r="M796" s="212"/>
    </row>
    <row r="797" spans="1:13" ht="12.75" customHeight="1">
      <c r="A797" s="212"/>
      <c r="B797" s="212"/>
      <c r="C797" s="212"/>
      <c r="D797" s="236"/>
      <c r="E797" s="212"/>
      <c r="F797" s="212"/>
      <c r="G797" s="212"/>
      <c r="J797" s="212"/>
      <c r="K797" s="237"/>
      <c r="L797" s="212"/>
      <c r="M797" s="212"/>
    </row>
    <row r="798" spans="1:13" ht="12.75" customHeight="1">
      <c r="A798" s="212"/>
      <c r="B798" s="212"/>
      <c r="C798" s="212"/>
      <c r="D798" s="236"/>
      <c r="E798" s="212"/>
      <c r="F798" s="212"/>
      <c r="G798" s="212"/>
      <c r="J798" s="212"/>
      <c r="K798" s="237"/>
      <c r="L798" s="212"/>
      <c r="M798" s="212"/>
    </row>
    <row r="799" spans="1:13" ht="12.75" customHeight="1">
      <c r="A799" s="212"/>
      <c r="B799" s="212"/>
      <c r="C799" s="212"/>
      <c r="D799" s="236"/>
      <c r="E799" s="212"/>
      <c r="F799" s="212"/>
      <c r="G799" s="212"/>
      <c r="J799" s="212"/>
      <c r="K799" s="237"/>
      <c r="L799" s="212"/>
      <c r="M799" s="212"/>
    </row>
    <row r="800" spans="1:13" ht="12.75" customHeight="1">
      <c r="A800" s="212"/>
      <c r="B800" s="212"/>
      <c r="C800" s="212"/>
      <c r="D800" s="236"/>
      <c r="E800" s="212"/>
      <c r="F800" s="212"/>
      <c r="G800" s="212"/>
      <c r="J800" s="212"/>
      <c r="K800" s="237"/>
      <c r="L800" s="212"/>
      <c r="M800" s="212"/>
    </row>
    <row r="801" spans="1:13" ht="12.75" customHeight="1">
      <c r="A801" s="212"/>
      <c r="B801" s="212"/>
      <c r="C801" s="212"/>
      <c r="D801" s="236"/>
      <c r="E801" s="212"/>
      <c r="F801" s="212"/>
      <c r="G801" s="212"/>
      <c r="J801" s="212"/>
      <c r="K801" s="237"/>
      <c r="L801" s="212"/>
      <c r="M801" s="212"/>
    </row>
    <row r="802" spans="1:13" ht="12.75" customHeight="1">
      <c r="A802" s="212"/>
      <c r="B802" s="212"/>
      <c r="C802" s="212"/>
      <c r="D802" s="236"/>
      <c r="E802" s="212"/>
      <c r="F802" s="212"/>
      <c r="G802" s="212"/>
      <c r="J802" s="212"/>
      <c r="K802" s="237"/>
      <c r="L802" s="212"/>
      <c r="M802" s="212"/>
    </row>
    <row r="803" spans="1:13" ht="12.75" customHeight="1">
      <c r="A803" s="212"/>
      <c r="B803" s="212"/>
      <c r="C803" s="212"/>
      <c r="D803" s="236"/>
      <c r="E803" s="212"/>
      <c r="F803" s="212"/>
      <c r="G803" s="212"/>
      <c r="J803" s="212"/>
      <c r="K803" s="237"/>
      <c r="L803" s="212"/>
      <c r="M803" s="212"/>
    </row>
    <row r="804" spans="1:13" ht="12.75" customHeight="1">
      <c r="A804" s="212"/>
      <c r="B804" s="212"/>
      <c r="C804" s="212"/>
      <c r="D804" s="236"/>
      <c r="E804" s="212"/>
      <c r="F804" s="212"/>
      <c r="G804" s="212"/>
      <c r="J804" s="212"/>
      <c r="K804" s="237"/>
      <c r="L804" s="212"/>
      <c r="M804" s="212"/>
    </row>
    <row r="805" spans="1:13" ht="12.75" customHeight="1">
      <c r="A805" s="212"/>
      <c r="B805" s="212"/>
      <c r="C805" s="212"/>
      <c r="D805" s="236"/>
      <c r="E805" s="212"/>
      <c r="F805" s="212"/>
      <c r="G805" s="212"/>
      <c r="J805" s="212"/>
      <c r="K805" s="237"/>
      <c r="L805" s="212"/>
      <c r="M805" s="212"/>
    </row>
    <row r="806" spans="1:13" ht="12.75" customHeight="1">
      <c r="A806" s="212"/>
      <c r="B806" s="212"/>
      <c r="C806" s="212"/>
      <c r="D806" s="236"/>
      <c r="E806" s="212"/>
      <c r="F806" s="212"/>
      <c r="G806" s="212"/>
      <c r="J806" s="212"/>
      <c r="K806" s="237"/>
      <c r="L806" s="212"/>
      <c r="M806" s="212"/>
    </row>
    <row r="807" spans="1:13" ht="12.75" customHeight="1">
      <c r="A807" s="212"/>
      <c r="B807" s="212"/>
      <c r="C807" s="212"/>
      <c r="D807" s="236"/>
      <c r="E807" s="212"/>
      <c r="F807" s="212"/>
      <c r="G807" s="212"/>
      <c r="J807" s="212"/>
      <c r="K807" s="237"/>
      <c r="L807" s="212"/>
      <c r="M807" s="212"/>
    </row>
    <row r="808" spans="1:13" ht="12.75" customHeight="1">
      <c r="A808" s="212"/>
      <c r="B808" s="212"/>
      <c r="C808" s="212"/>
      <c r="D808" s="236"/>
      <c r="E808" s="212"/>
      <c r="F808" s="212"/>
      <c r="G808" s="212"/>
      <c r="J808" s="212"/>
      <c r="K808" s="237"/>
      <c r="L808" s="212"/>
      <c r="M808" s="212"/>
    </row>
    <row r="809" spans="1:13" ht="12.75" customHeight="1">
      <c r="A809" s="212"/>
      <c r="B809" s="212"/>
      <c r="C809" s="212"/>
      <c r="D809" s="236"/>
      <c r="E809" s="212"/>
      <c r="F809" s="212"/>
      <c r="G809" s="212"/>
      <c r="J809" s="212"/>
      <c r="K809" s="237"/>
      <c r="L809" s="212"/>
      <c r="M809" s="212"/>
    </row>
    <row r="810" spans="1:13" ht="12.75" customHeight="1">
      <c r="A810" s="212"/>
      <c r="B810" s="212"/>
      <c r="C810" s="212"/>
      <c r="D810" s="236"/>
      <c r="E810" s="212"/>
      <c r="F810" s="212"/>
      <c r="G810" s="212"/>
      <c r="J810" s="212"/>
      <c r="K810" s="237"/>
      <c r="L810" s="212"/>
      <c r="M810" s="212"/>
    </row>
    <row r="811" spans="1:13" ht="12.75" customHeight="1">
      <c r="A811" s="212"/>
      <c r="B811" s="212"/>
      <c r="C811" s="212"/>
      <c r="D811" s="236"/>
      <c r="E811" s="212"/>
      <c r="F811" s="212"/>
      <c r="G811" s="212"/>
      <c r="J811" s="212"/>
      <c r="K811" s="237"/>
      <c r="L811" s="212"/>
      <c r="M811" s="212"/>
    </row>
    <row r="812" spans="1:13" ht="12.75" customHeight="1">
      <c r="A812" s="212"/>
      <c r="B812" s="212"/>
      <c r="C812" s="212"/>
      <c r="D812" s="236"/>
      <c r="E812" s="212"/>
      <c r="F812" s="212"/>
      <c r="G812" s="212"/>
      <c r="J812" s="212"/>
      <c r="K812" s="237"/>
      <c r="L812" s="212"/>
      <c r="M812" s="212"/>
    </row>
    <row r="813" spans="1:13" ht="12.75" customHeight="1">
      <c r="A813" s="212"/>
      <c r="B813" s="212"/>
      <c r="C813" s="212"/>
      <c r="D813" s="236"/>
      <c r="E813" s="212"/>
      <c r="F813" s="212"/>
      <c r="G813" s="212"/>
      <c r="J813" s="212"/>
      <c r="K813" s="237"/>
      <c r="L813" s="212"/>
      <c r="M813" s="212"/>
    </row>
    <row r="814" spans="1:13" ht="12.75" customHeight="1">
      <c r="A814" s="212"/>
      <c r="B814" s="212"/>
      <c r="C814" s="212"/>
      <c r="D814" s="236"/>
      <c r="E814" s="212"/>
      <c r="F814" s="212"/>
      <c r="G814" s="212"/>
      <c r="J814" s="212"/>
      <c r="K814" s="237"/>
      <c r="L814" s="212"/>
      <c r="M814" s="212"/>
    </row>
    <row r="815" spans="1:13" ht="12.75" customHeight="1">
      <c r="A815" s="212"/>
      <c r="B815" s="212"/>
      <c r="C815" s="212"/>
      <c r="D815" s="236"/>
      <c r="E815" s="212"/>
      <c r="F815" s="212"/>
      <c r="G815" s="212"/>
      <c r="J815" s="212"/>
      <c r="K815" s="237"/>
      <c r="L815" s="212"/>
      <c r="M815" s="212"/>
    </row>
    <row r="816" spans="1:13" ht="12.75" customHeight="1">
      <c r="A816" s="212"/>
      <c r="B816" s="212"/>
      <c r="C816" s="212"/>
      <c r="D816" s="236"/>
      <c r="E816" s="212"/>
      <c r="F816" s="212"/>
      <c r="G816" s="212"/>
      <c r="J816" s="212"/>
      <c r="K816" s="237"/>
      <c r="L816" s="212"/>
      <c r="M816" s="212"/>
    </row>
    <row r="817" spans="1:13" ht="12.75" customHeight="1">
      <c r="A817" s="212"/>
      <c r="B817" s="212"/>
      <c r="C817" s="212"/>
      <c r="D817" s="236"/>
      <c r="E817" s="212"/>
      <c r="F817" s="212"/>
      <c r="G817" s="212"/>
      <c r="J817" s="212"/>
      <c r="K817" s="237"/>
      <c r="L817" s="212"/>
      <c r="M817" s="212"/>
    </row>
    <row r="818" spans="1:13" ht="12.75" customHeight="1">
      <c r="A818" s="212"/>
      <c r="B818" s="212"/>
      <c r="C818" s="212"/>
      <c r="D818" s="236"/>
      <c r="E818" s="212"/>
      <c r="F818" s="212"/>
      <c r="G818" s="212"/>
      <c r="J818" s="212"/>
      <c r="K818" s="237"/>
      <c r="L818" s="212"/>
      <c r="M818" s="212"/>
    </row>
    <row r="819" spans="1:13" ht="12.75" customHeight="1">
      <c r="A819" s="212"/>
      <c r="B819" s="212"/>
      <c r="C819" s="212"/>
      <c r="D819" s="236"/>
      <c r="E819" s="212"/>
      <c r="F819" s="212"/>
      <c r="G819" s="212"/>
      <c r="J819" s="212"/>
      <c r="K819" s="237"/>
      <c r="L819" s="212"/>
      <c r="M819" s="212"/>
    </row>
    <row r="820" spans="1:13" ht="12.75" customHeight="1">
      <c r="A820" s="212"/>
      <c r="B820" s="212"/>
      <c r="C820" s="212"/>
      <c r="D820" s="236"/>
      <c r="E820" s="212"/>
      <c r="F820" s="212"/>
      <c r="G820" s="212"/>
      <c r="J820" s="212"/>
      <c r="K820" s="237"/>
      <c r="L820" s="212"/>
      <c r="M820" s="212"/>
    </row>
    <row r="821" spans="1:13" ht="12.75" customHeight="1">
      <c r="A821" s="212"/>
      <c r="B821" s="212"/>
      <c r="C821" s="212"/>
      <c r="D821" s="236"/>
      <c r="E821" s="212"/>
      <c r="F821" s="212"/>
      <c r="G821" s="212"/>
      <c r="J821" s="212"/>
      <c r="K821" s="237"/>
      <c r="L821" s="212"/>
      <c r="M821" s="212"/>
    </row>
    <row r="822" spans="1:13" ht="12.75" customHeight="1">
      <c r="A822" s="212"/>
      <c r="B822" s="212"/>
      <c r="C822" s="212"/>
      <c r="D822" s="236"/>
      <c r="E822" s="212"/>
      <c r="F822" s="212"/>
      <c r="G822" s="212"/>
      <c r="J822" s="212"/>
      <c r="K822" s="237"/>
      <c r="L822" s="212"/>
      <c r="M822" s="212"/>
    </row>
    <row r="823" spans="1:13" ht="12.75" customHeight="1">
      <c r="A823" s="212"/>
      <c r="B823" s="212"/>
      <c r="C823" s="212"/>
      <c r="D823" s="236"/>
      <c r="E823" s="212"/>
      <c r="F823" s="212"/>
      <c r="G823" s="212"/>
      <c r="J823" s="212"/>
      <c r="K823" s="237"/>
      <c r="L823" s="212"/>
      <c r="M823" s="212"/>
    </row>
    <row r="824" spans="1:13" ht="12.75" customHeight="1">
      <c r="A824" s="212"/>
      <c r="B824" s="212"/>
      <c r="C824" s="212"/>
      <c r="D824" s="236"/>
      <c r="E824" s="212"/>
      <c r="F824" s="212"/>
      <c r="G824" s="212"/>
      <c r="J824" s="212"/>
      <c r="K824" s="237"/>
      <c r="L824" s="212"/>
      <c r="M824" s="212"/>
    </row>
    <row r="825" spans="1:13" ht="12.75" customHeight="1">
      <c r="A825" s="212"/>
      <c r="B825" s="212"/>
      <c r="C825" s="212"/>
      <c r="D825" s="236"/>
      <c r="E825" s="212"/>
      <c r="F825" s="212"/>
      <c r="G825" s="212"/>
      <c r="J825" s="212"/>
      <c r="K825" s="237"/>
      <c r="L825" s="212"/>
      <c r="M825" s="212"/>
    </row>
    <row r="826" spans="1:13" ht="12.75" customHeight="1">
      <c r="A826" s="212"/>
      <c r="B826" s="212"/>
      <c r="C826" s="212"/>
      <c r="D826" s="236"/>
      <c r="E826" s="212"/>
      <c r="F826" s="212"/>
      <c r="G826" s="212"/>
      <c r="J826" s="212"/>
      <c r="K826" s="237"/>
      <c r="L826" s="212"/>
      <c r="M826" s="212"/>
    </row>
    <row r="827" spans="1:13" ht="12.75" customHeight="1">
      <c r="A827" s="212"/>
      <c r="B827" s="212"/>
      <c r="C827" s="212"/>
      <c r="D827" s="236"/>
      <c r="E827" s="212"/>
      <c r="F827" s="212"/>
      <c r="G827" s="212"/>
      <c r="J827" s="212"/>
      <c r="K827" s="237"/>
      <c r="L827" s="212"/>
      <c r="M827" s="212"/>
    </row>
    <row r="828" spans="1:13" ht="12.75" customHeight="1">
      <c r="A828" s="212"/>
      <c r="B828" s="212"/>
      <c r="C828" s="212"/>
      <c r="D828" s="236"/>
      <c r="E828" s="212"/>
      <c r="F828" s="212"/>
      <c r="G828" s="212"/>
      <c r="J828" s="212"/>
      <c r="K828" s="237"/>
      <c r="L828" s="212"/>
      <c r="M828" s="212"/>
    </row>
    <row r="829" spans="1:13" ht="12.75" customHeight="1">
      <c r="A829" s="212"/>
      <c r="B829" s="212"/>
      <c r="C829" s="212"/>
      <c r="D829" s="236"/>
      <c r="E829" s="212"/>
      <c r="F829" s="212"/>
      <c r="G829" s="212"/>
      <c r="J829" s="212"/>
      <c r="K829" s="237"/>
      <c r="L829" s="212"/>
      <c r="M829" s="212"/>
    </row>
    <row r="830" spans="1:13" ht="12.75" customHeight="1">
      <c r="A830" s="212"/>
      <c r="B830" s="212"/>
      <c r="C830" s="212"/>
      <c r="D830" s="236"/>
      <c r="E830" s="212"/>
      <c r="F830" s="212"/>
      <c r="G830" s="212"/>
      <c r="J830" s="212"/>
      <c r="K830" s="237"/>
      <c r="L830" s="212"/>
      <c r="M830" s="212"/>
    </row>
    <row r="831" spans="1:13" ht="12.75" customHeight="1">
      <c r="A831" s="212"/>
      <c r="B831" s="212"/>
      <c r="C831" s="212"/>
      <c r="D831" s="236"/>
      <c r="E831" s="212"/>
      <c r="F831" s="212"/>
      <c r="G831" s="212"/>
      <c r="J831" s="212"/>
      <c r="K831" s="237"/>
      <c r="L831" s="212"/>
      <c r="M831" s="212"/>
    </row>
    <row r="832" spans="1:13" ht="12.75" customHeight="1">
      <c r="A832" s="212"/>
      <c r="B832" s="212"/>
      <c r="C832" s="212"/>
      <c r="D832" s="236"/>
      <c r="E832" s="212"/>
      <c r="F832" s="212"/>
      <c r="G832" s="212"/>
      <c r="J832" s="212"/>
      <c r="K832" s="237"/>
      <c r="L832" s="212"/>
      <c r="M832" s="212"/>
    </row>
    <row r="833" spans="1:13" ht="12.75" customHeight="1">
      <c r="A833" s="212"/>
      <c r="B833" s="212"/>
      <c r="C833" s="212"/>
      <c r="D833" s="236"/>
      <c r="E833" s="212"/>
      <c r="F833" s="212"/>
      <c r="G833" s="212"/>
      <c r="J833" s="212"/>
      <c r="K833" s="237"/>
      <c r="L833" s="212"/>
      <c r="M833" s="212"/>
    </row>
    <row r="834" spans="1:13" ht="12.75" customHeight="1">
      <c r="A834" s="212"/>
      <c r="B834" s="212"/>
      <c r="C834" s="212"/>
      <c r="D834" s="236"/>
      <c r="E834" s="212"/>
      <c r="F834" s="212"/>
      <c r="G834" s="212"/>
      <c r="J834" s="212"/>
      <c r="K834" s="237"/>
      <c r="L834" s="212"/>
      <c r="M834" s="212"/>
    </row>
    <row r="835" spans="1:13" ht="12.75" customHeight="1">
      <c r="A835" s="212"/>
      <c r="B835" s="212"/>
      <c r="C835" s="212"/>
      <c r="D835" s="236"/>
      <c r="E835" s="212"/>
      <c r="F835" s="212"/>
      <c r="G835" s="212"/>
      <c r="J835" s="212"/>
      <c r="K835" s="237"/>
      <c r="L835" s="212"/>
      <c r="M835" s="212"/>
    </row>
    <row r="836" spans="1:13" ht="12.75" customHeight="1">
      <c r="A836" s="212"/>
      <c r="B836" s="212"/>
      <c r="C836" s="212"/>
      <c r="D836" s="236"/>
      <c r="E836" s="212"/>
      <c r="F836" s="212"/>
      <c r="G836" s="212"/>
      <c r="J836" s="212"/>
      <c r="K836" s="237"/>
      <c r="L836" s="212"/>
      <c r="M836" s="212"/>
    </row>
    <row r="837" spans="1:13" ht="12.75" customHeight="1">
      <c r="A837" s="212"/>
      <c r="B837" s="212"/>
      <c r="C837" s="212"/>
      <c r="D837" s="236"/>
      <c r="E837" s="212"/>
      <c r="F837" s="212"/>
      <c r="G837" s="212"/>
      <c r="J837" s="212"/>
      <c r="K837" s="237"/>
      <c r="L837" s="212"/>
      <c r="M837" s="212"/>
    </row>
    <row r="838" spans="1:13" ht="12.75" customHeight="1">
      <c r="A838" s="212"/>
      <c r="B838" s="212"/>
      <c r="C838" s="212"/>
      <c r="D838" s="236"/>
      <c r="E838" s="212"/>
      <c r="F838" s="212"/>
      <c r="G838" s="212"/>
      <c r="J838" s="212"/>
      <c r="K838" s="237"/>
      <c r="L838" s="212"/>
      <c r="M838" s="212"/>
    </row>
    <row r="839" spans="1:13" ht="12.75" customHeight="1">
      <c r="A839" s="212"/>
      <c r="B839" s="212"/>
      <c r="C839" s="212"/>
      <c r="D839" s="236"/>
      <c r="E839" s="212"/>
      <c r="F839" s="212"/>
      <c r="G839" s="212"/>
      <c r="J839" s="212"/>
      <c r="K839" s="237"/>
      <c r="L839" s="212"/>
      <c r="M839" s="212"/>
    </row>
    <row r="840" spans="1:13" ht="12.75" customHeight="1">
      <c r="A840" s="212"/>
      <c r="B840" s="212"/>
      <c r="C840" s="212"/>
      <c r="D840" s="236"/>
      <c r="E840" s="212"/>
      <c r="F840" s="212"/>
      <c r="G840" s="212"/>
      <c r="J840" s="212"/>
      <c r="K840" s="237"/>
      <c r="L840" s="212"/>
      <c r="M840" s="212"/>
    </row>
    <row r="841" spans="1:13" ht="12.75" customHeight="1">
      <c r="A841" s="212"/>
      <c r="B841" s="212"/>
      <c r="C841" s="212"/>
      <c r="D841" s="236"/>
      <c r="E841" s="212"/>
      <c r="F841" s="212"/>
      <c r="G841" s="212"/>
      <c r="J841" s="212"/>
      <c r="K841" s="237"/>
      <c r="L841" s="212"/>
      <c r="M841" s="212"/>
    </row>
    <row r="842" spans="1:13" ht="12.75" customHeight="1">
      <c r="A842" s="212"/>
      <c r="B842" s="212"/>
      <c r="C842" s="212"/>
      <c r="D842" s="236"/>
      <c r="E842" s="212"/>
      <c r="F842" s="212"/>
      <c r="G842" s="212"/>
      <c r="J842" s="212"/>
      <c r="K842" s="237"/>
      <c r="L842" s="212"/>
      <c r="M842" s="212"/>
    </row>
    <row r="843" spans="1:13" ht="12.75" customHeight="1">
      <c r="A843" s="212"/>
      <c r="B843" s="212"/>
      <c r="C843" s="212"/>
      <c r="D843" s="236"/>
      <c r="E843" s="212"/>
      <c r="F843" s="212"/>
      <c r="G843" s="212"/>
      <c r="J843" s="212"/>
      <c r="K843" s="237"/>
      <c r="L843" s="212"/>
      <c r="M843" s="212"/>
    </row>
    <row r="844" spans="1:13" ht="12.75" customHeight="1">
      <c r="A844" s="212"/>
      <c r="B844" s="212"/>
      <c r="C844" s="212"/>
      <c r="D844" s="236"/>
      <c r="E844" s="212"/>
      <c r="F844" s="212"/>
      <c r="G844" s="212"/>
      <c r="J844" s="212"/>
      <c r="K844" s="237"/>
      <c r="L844" s="212"/>
      <c r="M844" s="212"/>
    </row>
    <row r="845" spans="1:13" ht="12.75" customHeight="1">
      <c r="A845" s="212"/>
      <c r="B845" s="212"/>
      <c r="C845" s="212"/>
      <c r="D845" s="236"/>
      <c r="E845" s="212"/>
      <c r="F845" s="212"/>
      <c r="G845" s="212"/>
      <c r="J845" s="212"/>
      <c r="K845" s="237"/>
      <c r="L845" s="212"/>
      <c r="M845" s="212"/>
    </row>
    <row r="846" spans="1:13" ht="12.75" customHeight="1">
      <c r="A846" s="212"/>
      <c r="B846" s="212"/>
      <c r="C846" s="212"/>
      <c r="D846" s="236"/>
      <c r="E846" s="212"/>
      <c r="F846" s="212"/>
      <c r="G846" s="212"/>
      <c r="J846" s="212"/>
      <c r="K846" s="237"/>
      <c r="L846" s="212"/>
      <c r="M846" s="212"/>
    </row>
    <row r="847" spans="1:13" ht="12.75" customHeight="1">
      <c r="A847" s="212"/>
      <c r="B847" s="212"/>
      <c r="C847" s="212"/>
      <c r="D847" s="236"/>
      <c r="E847" s="212"/>
      <c r="F847" s="212"/>
      <c r="G847" s="212"/>
      <c r="J847" s="212"/>
      <c r="K847" s="237"/>
      <c r="L847" s="212"/>
      <c r="M847" s="212"/>
    </row>
    <row r="848" spans="1:13" ht="12.75" customHeight="1">
      <c r="A848" s="212"/>
      <c r="B848" s="212"/>
      <c r="C848" s="212"/>
      <c r="D848" s="236"/>
      <c r="E848" s="212"/>
      <c r="F848" s="212"/>
      <c r="G848" s="212"/>
      <c r="J848" s="212"/>
      <c r="K848" s="237"/>
      <c r="L848" s="212"/>
      <c r="M848" s="212"/>
    </row>
    <row r="849" spans="1:13" ht="12.75" customHeight="1">
      <c r="A849" s="212"/>
      <c r="B849" s="212"/>
      <c r="C849" s="212"/>
      <c r="D849" s="236"/>
      <c r="E849" s="212"/>
      <c r="F849" s="212"/>
      <c r="G849" s="212"/>
      <c r="J849" s="212"/>
      <c r="K849" s="237"/>
      <c r="L849" s="212"/>
      <c r="M849" s="212"/>
    </row>
    <row r="850" spans="1:13" ht="12.75" customHeight="1">
      <c r="A850" s="212"/>
      <c r="B850" s="212"/>
      <c r="C850" s="212"/>
      <c r="D850" s="236"/>
      <c r="E850" s="212"/>
      <c r="F850" s="212"/>
      <c r="G850" s="212"/>
      <c r="J850" s="212"/>
      <c r="K850" s="237"/>
      <c r="L850" s="212"/>
      <c r="M850" s="212"/>
    </row>
    <row r="851" spans="1:13" ht="12.75" customHeight="1">
      <c r="A851" s="212"/>
      <c r="B851" s="212"/>
      <c r="C851" s="212"/>
      <c r="D851" s="236"/>
      <c r="E851" s="212"/>
      <c r="F851" s="212"/>
      <c r="G851" s="212"/>
      <c r="J851" s="212"/>
      <c r="K851" s="237"/>
      <c r="L851" s="212"/>
      <c r="M851" s="212"/>
    </row>
    <row r="852" spans="1:13" ht="12.75" customHeight="1">
      <c r="A852" s="212"/>
      <c r="B852" s="212"/>
      <c r="C852" s="212"/>
      <c r="D852" s="236"/>
      <c r="E852" s="212"/>
      <c r="F852" s="212"/>
      <c r="G852" s="212"/>
      <c r="J852" s="212"/>
      <c r="K852" s="237"/>
      <c r="L852" s="212"/>
      <c r="M852" s="212"/>
    </row>
    <row r="853" spans="1:13" ht="12.75" customHeight="1">
      <c r="A853" s="212"/>
      <c r="B853" s="212"/>
      <c r="C853" s="212"/>
      <c r="D853" s="236"/>
      <c r="E853" s="212"/>
      <c r="F853" s="212"/>
      <c r="G853" s="212"/>
      <c r="J853" s="212"/>
      <c r="K853" s="237"/>
      <c r="L853" s="212"/>
      <c r="M853" s="212"/>
    </row>
    <row r="854" spans="1:13" ht="12.75" customHeight="1">
      <c r="A854" s="212"/>
      <c r="B854" s="212"/>
      <c r="C854" s="212"/>
      <c r="D854" s="236"/>
      <c r="E854" s="212"/>
      <c r="F854" s="212"/>
      <c r="G854" s="212"/>
      <c r="J854" s="212"/>
      <c r="K854" s="237"/>
      <c r="L854" s="212"/>
      <c r="M854" s="212"/>
    </row>
    <row r="855" spans="1:13" ht="12.75" customHeight="1">
      <c r="A855" s="212"/>
      <c r="B855" s="212"/>
      <c r="C855" s="212"/>
      <c r="D855" s="236"/>
      <c r="E855" s="212"/>
      <c r="F855" s="212"/>
      <c r="G855" s="212"/>
      <c r="J855" s="212"/>
      <c r="K855" s="237"/>
      <c r="L855" s="212"/>
      <c r="M855" s="212"/>
    </row>
    <row r="856" spans="1:13" ht="12.75" customHeight="1">
      <c r="A856" s="212"/>
      <c r="B856" s="212"/>
      <c r="C856" s="212"/>
      <c r="D856" s="236"/>
      <c r="E856" s="212"/>
      <c r="F856" s="212"/>
      <c r="G856" s="212"/>
      <c r="J856" s="212"/>
      <c r="K856" s="237"/>
      <c r="L856" s="212"/>
      <c r="M856" s="212"/>
    </row>
    <row r="857" spans="1:13" ht="12.75" customHeight="1">
      <c r="A857" s="212"/>
      <c r="B857" s="212"/>
      <c r="C857" s="212"/>
      <c r="D857" s="236"/>
      <c r="E857" s="212"/>
      <c r="F857" s="212"/>
      <c r="G857" s="212"/>
      <c r="J857" s="212"/>
      <c r="K857" s="237"/>
      <c r="L857" s="212"/>
      <c r="M857" s="212"/>
    </row>
    <row r="858" spans="1:13" ht="12.75" customHeight="1">
      <c r="A858" s="212"/>
      <c r="B858" s="212"/>
      <c r="C858" s="212"/>
      <c r="D858" s="236"/>
      <c r="E858" s="212"/>
      <c r="F858" s="212"/>
      <c r="G858" s="212"/>
      <c r="J858" s="212"/>
      <c r="K858" s="237"/>
      <c r="L858" s="212"/>
      <c r="M858" s="212"/>
    </row>
    <row r="859" spans="1:13" ht="12.75" customHeight="1">
      <c r="A859" s="212"/>
      <c r="B859" s="212"/>
      <c r="C859" s="212"/>
      <c r="D859" s="236"/>
      <c r="E859" s="212"/>
      <c r="F859" s="212"/>
      <c r="G859" s="212"/>
      <c r="J859" s="212"/>
      <c r="K859" s="237"/>
      <c r="L859" s="212"/>
      <c r="M859" s="212"/>
    </row>
    <row r="860" spans="1:13" ht="12.75" customHeight="1">
      <c r="A860" s="212"/>
      <c r="B860" s="212"/>
      <c r="C860" s="212"/>
      <c r="D860" s="236"/>
      <c r="E860" s="212"/>
      <c r="F860" s="212"/>
      <c r="G860" s="212"/>
      <c r="J860" s="212"/>
      <c r="K860" s="237"/>
      <c r="L860" s="212"/>
      <c r="M860" s="212"/>
    </row>
    <row r="861" spans="1:13" ht="12.75" customHeight="1">
      <c r="A861" s="212"/>
      <c r="B861" s="212"/>
      <c r="C861" s="212"/>
      <c r="D861" s="236"/>
      <c r="E861" s="212"/>
      <c r="F861" s="212"/>
      <c r="G861" s="212"/>
      <c r="J861" s="212"/>
      <c r="K861" s="237"/>
      <c r="L861" s="212"/>
      <c r="M861" s="212"/>
    </row>
    <row r="862" spans="1:13" ht="12.75" customHeight="1">
      <c r="A862" s="212"/>
      <c r="B862" s="212"/>
      <c r="C862" s="212"/>
      <c r="D862" s="236"/>
      <c r="E862" s="212"/>
      <c r="F862" s="212"/>
      <c r="G862" s="212"/>
      <c r="J862" s="212"/>
      <c r="K862" s="237"/>
      <c r="L862" s="212"/>
      <c r="M862" s="212"/>
    </row>
    <row r="863" spans="1:13" ht="12.75" customHeight="1">
      <c r="A863" s="212"/>
      <c r="B863" s="212"/>
      <c r="C863" s="212"/>
      <c r="D863" s="236"/>
      <c r="E863" s="212"/>
      <c r="F863" s="212"/>
      <c r="G863" s="212"/>
      <c r="J863" s="212"/>
      <c r="K863" s="237"/>
      <c r="L863" s="212"/>
      <c r="M863" s="212"/>
    </row>
    <row r="864" spans="1:13" ht="12.75" customHeight="1">
      <c r="A864" s="212"/>
      <c r="B864" s="212"/>
      <c r="C864" s="212"/>
      <c r="D864" s="236"/>
      <c r="E864" s="212"/>
      <c r="F864" s="212"/>
      <c r="G864" s="212"/>
      <c r="J864" s="212"/>
      <c r="K864" s="237"/>
      <c r="L864" s="212"/>
      <c r="M864" s="212"/>
    </row>
    <row r="865" spans="1:13" ht="12.75" customHeight="1">
      <c r="A865" s="212"/>
      <c r="B865" s="212"/>
      <c r="C865" s="212"/>
      <c r="D865" s="236"/>
      <c r="E865" s="212"/>
      <c r="F865" s="212"/>
      <c r="G865" s="212"/>
      <c r="J865" s="212"/>
      <c r="K865" s="237"/>
      <c r="L865" s="212"/>
      <c r="M865" s="212"/>
    </row>
    <row r="866" spans="1:13" ht="12.75" customHeight="1">
      <c r="A866" s="212"/>
      <c r="B866" s="212"/>
      <c r="C866" s="212"/>
      <c r="D866" s="236"/>
      <c r="E866" s="212"/>
      <c r="F866" s="212"/>
      <c r="G866" s="212"/>
      <c r="J866" s="212"/>
      <c r="K866" s="237"/>
      <c r="L866" s="212"/>
      <c r="M866" s="212"/>
    </row>
    <row r="867" spans="1:13" ht="12.75" customHeight="1">
      <c r="A867" s="212"/>
      <c r="B867" s="212"/>
      <c r="C867" s="212"/>
      <c r="D867" s="236"/>
      <c r="E867" s="212"/>
      <c r="F867" s="212"/>
      <c r="G867" s="212"/>
      <c r="J867" s="212"/>
      <c r="K867" s="237"/>
      <c r="L867" s="212"/>
      <c r="M867" s="212"/>
    </row>
    <row r="868" spans="1:13" ht="12.75" customHeight="1">
      <c r="A868" s="212"/>
      <c r="B868" s="212"/>
      <c r="C868" s="212"/>
      <c r="D868" s="236"/>
      <c r="E868" s="212"/>
      <c r="F868" s="212"/>
      <c r="G868" s="212"/>
      <c r="J868" s="212"/>
      <c r="K868" s="237"/>
      <c r="L868" s="212"/>
      <c r="M868" s="212"/>
    </row>
    <row r="869" spans="1:13" ht="12.75" customHeight="1">
      <c r="A869" s="212"/>
      <c r="B869" s="212"/>
      <c r="C869" s="212"/>
      <c r="D869" s="236"/>
      <c r="E869" s="212"/>
      <c r="F869" s="212"/>
      <c r="G869" s="212"/>
      <c r="J869" s="212"/>
      <c r="K869" s="237"/>
      <c r="L869" s="212"/>
      <c r="M869" s="212"/>
    </row>
    <row r="870" spans="1:13" ht="12.75" customHeight="1">
      <c r="A870" s="212"/>
      <c r="B870" s="212"/>
      <c r="C870" s="212"/>
      <c r="D870" s="236"/>
      <c r="E870" s="212"/>
      <c r="F870" s="212"/>
      <c r="G870" s="212"/>
      <c r="J870" s="212"/>
      <c r="K870" s="237"/>
      <c r="L870" s="212"/>
      <c r="M870" s="212"/>
    </row>
    <row r="871" spans="1:13" ht="12.75" customHeight="1">
      <c r="A871" s="212"/>
      <c r="B871" s="212"/>
      <c r="C871" s="212"/>
      <c r="D871" s="236"/>
      <c r="E871" s="212"/>
      <c r="F871" s="212"/>
      <c r="G871" s="212"/>
      <c r="J871" s="212"/>
      <c r="K871" s="237"/>
      <c r="L871" s="212"/>
      <c r="M871" s="212"/>
    </row>
    <row r="872" spans="1:13" ht="12.75" customHeight="1">
      <c r="A872" s="212"/>
      <c r="B872" s="212"/>
      <c r="C872" s="212"/>
      <c r="D872" s="236"/>
      <c r="E872" s="212"/>
      <c r="F872" s="212"/>
      <c r="G872" s="212"/>
      <c r="J872" s="212"/>
      <c r="K872" s="237"/>
      <c r="L872" s="212"/>
      <c r="M872" s="212"/>
    </row>
    <row r="873" spans="1:13" ht="12.75" customHeight="1">
      <c r="A873" s="212"/>
      <c r="B873" s="212"/>
      <c r="C873" s="212"/>
      <c r="D873" s="236"/>
      <c r="E873" s="212"/>
      <c r="F873" s="212"/>
      <c r="G873" s="212"/>
      <c r="J873" s="212"/>
      <c r="K873" s="237"/>
      <c r="L873" s="212"/>
      <c r="M873" s="212"/>
    </row>
    <row r="874" spans="1:13" ht="12.75" customHeight="1">
      <c r="A874" s="212"/>
      <c r="B874" s="212"/>
      <c r="C874" s="212"/>
      <c r="D874" s="236"/>
      <c r="E874" s="212"/>
      <c r="F874" s="212"/>
      <c r="G874" s="212"/>
      <c r="J874" s="212"/>
      <c r="K874" s="237"/>
      <c r="L874" s="212"/>
      <c r="M874" s="212"/>
    </row>
    <row r="875" spans="1:13" ht="12.75" customHeight="1">
      <c r="A875" s="212"/>
      <c r="B875" s="212"/>
      <c r="C875" s="212"/>
      <c r="D875" s="236"/>
      <c r="E875" s="212"/>
      <c r="F875" s="212"/>
      <c r="G875" s="212"/>
      <c r="J875" s="212"/>
      <c r="K875" s="237"/>
      <c r="L875" s="212"/>
      <c r="M875" s="212"/>
    </row>
    <row r="876" spans="1:13" ht="12.75" customHeight="1">
      <c r="A876" s="212"/>
      <c r="B876" s="212"/>
      <c r="C876" s="212"/>
      <c r="D876" s="236"/>
      <c r="E876" s="212"/>
      <c r="F876" s="212"/>
      <c r="G876" s="212"/>
      <c r="J876" s="212"/>
      <c r="K876" s="237"/>
      <c r="L876" s="212"/>
      <c r="M876" s="212"/>
    </row>
    <row r="877" spans="1:13" ht="12.75" customHeight="1">
      <c r="A877" s="212"/>
      <c r="B877" s="212"/>
      <c r="C877" s="212"/>
      <c r="D877" s="236"/>
      <c r="E877" s="212"/>
      <c r="F877" s="212"/>
      <c r="G877" s="212"/>
      <c r="J877" s="212"/>
      <c r="K877" s="237"/>
      <c r="L877" s="212"/>
      <c r="M877" s="212"/>
    </row>
    <row r="878" spans="1:13" ht="12.75" customHeight="1">
      <c r="A878" s="212"/>
      <c r="B878" s="212"/>
      <c r="C878" s="212"/>
      <c r="D878" s="236"/>
      <c r="E878" s="212"/>
      <c r="F878" s="212"/>
      <c r="G878" s="212"/>
      <c r="J878" s="212"/>
      <c r="K878" s="237"/>
      <c r="L878" s="212"/>
      <c r="M878" s="212"/>
    </row>
    <row r="879" spans="1:13" ht="12.75" customHeight="1">
      <c r="A879" s="212"/>
      <c r="B879" s="212"/>
      <c r="C879" s="212"/>
      <c r="D879" s="236"/>
      <c r="E879" s="212"/>
      <c r="F879" s="212"/>
      <c r="G879" s="212"/>
      <c r="J879" s="212"/>
      <c r="K879" s="237"/>
      <c r="L879" s="212"/>
      <c r="M879" s="212"/>
    </row>
    <row r="880" spans="1:13" ht="12.75" customHeight="1">
      <c r="A880" s="212"/>
      <c r="B880" s="212"/>
      <c r="C880" s="212"/>
      <c r="D880" s="236"/>
      <c r="E880" s="212"/>
      <c r="F880" s="212"/>
      <c r="G880" s="212"/>
      <c r="J880" s="212"/>
      <c r="K880" s="237"/>
      <c r="L880" s="212"/>
      <c r="M880" s="212"/>
    </row>
    <row r="881" spans="1:13" ht="12.75" customHeight="1">
      <c r="A881" s="212"/>
      <c r="B881" s="212"/>
      <c r="C881" s="212"/>
      <c r="D881" s="236"/>
      <c r="E881" s="212"/>
      <c r="F881" s="212"/>
      <c r="G881" s="212"/>
      <c r="J881" s="212"/>
      <c r="K881" s="237"/>
      <c r="L881" s="212"/>
      <c r="M881" s="212"/>
    </row>
    <row r="882" spans="1:13" ht="12.75" customHeight="1">
      <c r="A882" s="212"/>
      <c r="B882" s="212"/>
      <c r="C882" s="212"/>
      <c r="D882" s="236"/>
      <c r="E882" s="212"/>
      <c r="F882" s="212"/>
      <c r="G882" s="212"/>
      <c r="J882" s="212"/>
      <c r="K882" s="237"/>
      <c r="L882" s="212"/>
      <c r="M882" s="212"/>
    </row>
    <row r="883" spans="1:13" ht="12.75" customHeight="1">
      <c r="A883" s="212"/>
      <c r="B883" s="212"/>
      <c r="C883" s="212"/>
      <c r="D883" s="236"/>
      <c r="E883" s="212"/>
      <c r="F883" s="212"/>
      <c r="G883" s="212"/>
      <c r="J883" s="212"/>
      <c r="K883" s="237"/>
      <c r="L883" s="212"/>
      <c r="M883" s="212"/>
    </row>
    <row r="884" spans="1:13" ht="12.75" customHeight="1">
      <c r="A884" s="212"/>
      <c r="B884" s="212"/>
      <c r="C884" s="212"/>
      <c r="D884" s="236"/>
      <c r="E884" s="212"/>
      <c r="F884" s="212"/>
      <c r="G884" s="212"/>
      <c r="J884" s="212"/>
      <c r="K884" s="237"/>
      <c r="L884" s="212"/>
      <c r="M884" s="212"/>
    </row>
    <row r="885" spans="1:13" ht="12.75" customHeight="1">
      <c r="A885" s="212"/>
      <c r="B885" s="212"/>
      <c r="C885" s="212"/>
      <c r="D885" s="236"/>
      <c r="E885" s="212"/>
      <c r="F885" s="212"/>
      <c r="G885" s="212"/>
      <c r="J885" s="212"/>
      <c r="K885" s="237"/>
      <c r="L885" s="212"/>
      <c r="M885" s="212"/>
    </row>
    <row r="886" spans="1:13" ht="12.75" customHeight="1">
      <c r="A886" s="212"/>
      <c r="B886" s="212"/>
      <c r="C886" s="212"/>
      <c r="D886" s="236"/>
      <c r="E886" s="212"/>
      <c r="F886" s="212"/>
      <c r="G886" s="212"/>
      <c r="J886" s="212"/>
      <c r="K886" s="237"/>
      <c r="L886" s="212"/>
      <c r="M886" s="212"/>
    </row>
    <row r="887" spans="1:13" ht="12.75" customHeight="1">
      <c r="A887" s="212"/>
      <c r="B887" s="212"/>
      <c r="C887" s="212"/>
      <c r="D887" s="236"/>
      <c r="E887" s="212"/>
      <c r="F887" s="212"/>
      <c r="G887" s="212"/>
      <c r="J887" s="212"/>
      <c r="K887" s="237"/>
      <c r="L887" s="212"/>
      <c r="M887" s="212"/>
    </row>
    <row r="888" spans="1:13" ht="12.75" customHeight="1">
      <c r="A888" s="212"/>
      <c r="B888" s="212"/>
      <c r="C888" s="212"/>
      <c r="D888" s="236"/>
      <c r="E888" s="212"/>
      <c r="F888" s="212"/>
      <c r="G888" s="212"/>
      <c r="J888" s="212"/>
      <c r="K888" s="237"/>
      <c r="L888" s="212"/>
      <c r="M888" s="212"/>
    </row>
    <row r="889" spans="1:13" ht="12.75" customHeight="1">
      <c r="A889" s="212"/>
      <c r="B889" s="212"/>
      <c r="C889" s="212"/>
      <c r="D889" s="236"/>
      <c r="E889" s="212"/>
      <c r="F889" s="212"/>
      <c r="G889" s="212"/>
      <c r="J889" s="212"/>
      <c r="K889" s="237"/>
      <c r="L889" s="212"/>
      <c r="M889" s="212"/>
    </row>
    <row r="890" spans="1:13" ht="12.75" customHeight="1">
      <c r="A890" s="212"/>
      <c r="B890" s="212"/>
      <c r="C890" s="212"/>
      <c r="D890" s="236"/>
      <c r="E890" s="212"/>
      <c r="F890" s="212"/>
      <c r="G890" s="212"/>
      <c r="J890" s="212"/>
      <c r="K890" s="237"/>
      <c r="L890" s="212"/>
      <c r="M890" s="212"/>
    </row>
    <row r="891" spans="1:13" ht="12.75" customHeight="1">
      <c r="A891" s="212"/>
      <c r="B891" s="212"/>
      <c r="C891" s="212"/>
      <c r="D891" s="236"/>
      <c r="E891" s="212"/>
      <c r="F891" s="212"/>
      <c r="G891" s="212"/>
      <c r="J891" s="212"/>
      <c r="K891" s="237"/>
      <c r="L891" s="212"/>
      <c r="M891" s="212"/>
    </row>
    <row r="892" spans="1:13" ht="12.75" customHeight="1">
      <c r="A892" s="212"/>
      <c r="B892" s="212"/>
      <c r="C892" s="212"/>
      <c r="D892" s="236"/>
      <c r="E892" s="212"/>
      <c r="F892" s="212"/>
      <c r="G892" s="212"/>
      <c r="J892" s="212"/>
      <c r="K892" s="237"/>
      <c r="L892" s="212"/>
      <c r="M892" s="212"/>
    </row>
    <row r="893" spans="1:13" ht="12.75" customHeight="1">
      <c r="A893" s="212"/>
      <c r="B893" s="212"/>
      <c r="C893" s="212"/>
      <c r="D893" s="236"/>
      <c r="E893" s="212"/>
      <c r="F893" s="212"/>
      <c r="G893" s="212"/>
      <c r="J893" s="212"/>
      <c r="K893" s="237"/>
      <c r="L893" s="212"/>
      <c r="M893" s="212"/>
    </row>
    <row r="894" spans="1:13" ht="12.75" customHeight="1">
      <c r="A894" s="212"/>
      <c r="B894" s="212"/>
      <c r="C894" s="212"/>
      <c r="D894" s="236"/>
      <c r="E894" s="212"/>
      <c r="F894" s="212"/>
      <c r="G894" s="212"/>
      <c r="J894" s="212"/>
      <c r="K894" s="237"/>
      <c r="L894" s="212"/>
      <c r="M894" s="212"/>
    </row>
    <row r="895" spans="1:13" ht="12.75" customHeight="1">
      <c r="A895" s="212"/>
      <c r="B895" s="212"/>
      <c r="C895" s="212"/>
      <c r="D895" s="236"/>
      <c r="E895" s="212"/>
      <c r="F895" s="212"/>
      <c r="G895" s="212"/>
      <c r="J895" s="212"/>
      <c r="K895" s="237"/>
      <c r="L895" s="212"/>
      <c r="M895" s="212"/>
    </row>
    <row r="896" spans="1:13" ht="12.75" customHeight="1">
      <c r="A896" s="212"/>
      <c r="B896" s="212"/>
      <c r="C896" s="212"/>
      <c r="D896" s="236"/>
      <c r="E896" s="212"/>
      <c r="F896" s="212"/>
      <c r="G896" s="212"/>
      <c r="J896" s="212"/>
      <c r="K896" s="237"/>
      <c r="L896" s="212"/>
      <c r="M896" s="212"/>
    </row>
    <row r="897" spans="1:13" ht="12.75" customHeight="1">
      <c r="A897" s="212"/>
      <c r="B897" s="212"/>
      <c r="C897" s="212"/>
      <c r="D897" s="236"/>
      <c r="E897" s="212"/>
      <c r="F897" s="212"/>
      <c r="G897" s="212"/>
      <c r="J897" s="212"/>
      <c r="K897" s="237"/>
      <c r="L897" s="212"/>
      <c r="M897" s="212"/>
    </row>
    <row r="898" spans="1:13" ht="12.75" customHeight="1">
      <c r="A898" s="212"/>
      <c r="B898" s="212"/>
      <c r="C898" s="212"/>
      <c r="D898" s="236"/>
      <c r="E898" s="212"/>
      <c r="F898" s="212"/>
      <c r="G898" s="212"/>
      <c r="J898" s="212"/>
      <c r="K898" s="237"/>
      <c r="L898" s="212"/>
      <c r="M898" s="212"/>
    </row>
    <row r="899" spans="1:13" ht="12.75" customHeight="1">
      <c r="A899" s="212"/>
      <c r="B899" s="212"/>
      <c r="C899" s="212"/>
      <c r="D899" s="236"/>
      <c r="E899" s="212"/>
      <c r="F899" s="212"/>
      <c r="G899" s="212"/>
      <c r="J899" s="212"/>
      <c r="K899" s="237"/>
      <c r="L899" s="212"/>
      <c r="M899" s="212"/>
    </row>
    <row r="900" spans="1:13" ht="12.75" customHeight="1">
      <c r="A900" s="212"/>
      <c r="B900" s="212"/>
      <c r="C900" s="212"/>
      <c r="D900" s="236"/>
      <c r="E900" s="212"/>
      <c r="F900" s="212"/>
      <c r="G900" s="212"/>
      <c r="J900" s="212"/>
      <c r="K900" s="237"/>
      <c r="L900" s="212"/>
      <c r="M900" s="212"/>
    </row>
    <row r="901" spans="1:13" ht="12.75" customHeight="1">
      <c r="A901" s="212"/>
      <c r="B901" s="212"/>
      <c r="C901" s="212"/>
      <c r="D901" s="236"/>
      <c r="E901" s="212"/>
      <c r="F901" s="212"/>
      <c r="G901" s="212"/>
      <c r="J901" s="212"/>
      <c r="K901" s="237"/>
      <c r="L901" s="212"/>
      <c r="M901" s="212"/>
    </row>
    <row r="902" spans="1:13" ht="12.75" customHeight="1">
      <c r="A902" s="212"/>
      <c r="B902" s="212"/>
      <c r="C902" s="212"/>
      <c r="D902" s="236"/>
      <c r="E902" s="212"/>
      <c r="F902" s="212"/>
      <c r="G902" s="212"/>
      <c r="J902" s="212"/>
      <c r="K902" s="237"/>
      <c r="L902" s="212"/>
      <c r="M902" s="212"/>
    </row>
    <row r="903" spans="1:13" ht="12.75" customHeight="1">
      <c r="A903" s="212"/>
      <c r="B903" s="212"/>
      <c r="C903" s="212"/>
      <c r="D903" s="236"/>
      <c r="E903" s="212"/>
      <c r="F903" s="212"/>
      <c r="G903" s="212"/>
      <c r="J903" s="212"/>
      <c r="K903" s="237"/>
      <c r="L903" s="212"/>
      <c r="M903" s="212"/>
    </row>
    <row r="904" spans="1:13" ht="12.75" customHeight="1">
      <c r="A904" s="212"/>
      <c r="B904" s="212"/>
      <c r="C904" s="212"/>
      <c r="D904" s="236"/>
      <c r="E904" s="212"/>
      <c r="F904" s="212"/>
      <c r="G904" s="212"/>
      <c r="J904" s="212"/>
      <c r="K904" s="237"/>
      <c r="L904" s="212"/>
      <c r="M904" s="212"/>
    </row>
    <row r="905" spans="1:13" ht="12.75" customHeight="1">
      <c r="A905" s="212"/>
      <c r="B905" s="212"/>
      <c r="C905" s="212"/>
      <c r="D905" s="236"/>
      <c r="E905" s="212"/>
      <c r="F905" s="212"/>
      <c r="G905" s="212"/>
      <c r="J905" s="212"/>
      <c r="K905" s="237"/>
      <c r="L905" s="212"/>
      <c r="M905" s="212"/>
    </row>
    <row r="906" spans="1:13" ht="12.75" customHeight="1">
      <c r="A906" s="212"/>
      <c r="B906" s="212"/>
      <c r="C906" s="212"/>
      <c r="D906" s="236"/>
      <c r="E906" s="212"/>
      <c r="F906" s="212"/>
      <c r="G906" s="212"/>
      <c r="J906" s="212"/>
      <c r="K906" s="237"/>
      <c r="L906" s="212"/>
      <c r="M906" s="212"/>
    </row>
    <row r="907" spans="1:13" ht="12.75" customHeight="1">
      <c r="A907" s="212"/>
      <c r="B907" s="212"/>
      <c r="C907" s="212"/>
      <c r="D907" s="236"/>
      <c r="E907" s="212"/>
      <c r="F907" s="212"/>
      <c r="G907" s="212"/>
      <c r="J907" s="212"/>
      <c r="K907" s="237"/>
      <c r="L907" s="212"/>
      <c r="M907" s="212"/>
    </row>
    <row r="908" spans="1:13" ht="12.75" customHeight="1">
      <c r="A908" s="212"/>
      <c r="B908" s="212"/>
      <c r="C908" s="212"/>
      <c r="D908" s="236"/>
      <c r="E908" s="212"/>
      <c r="F908" s="212"/>
      <c r="G908" s="212"/>
      <c r="J908" s="212"/>
      <c r="K908" s="237"/>
      <c r="L908" s="212"/>
      <c r="M908" s="212"/>
    </row>
    <row r="909" spans="1:13" ht="12.75" customHeight="1">
      <c r="A909" s="212"/>
      <c r="B909" s="212"/>
      <c r="C909" s="212"/>
      <c r="D909" s="236"/>
      <c r="E909" s="212"/>
      <c r="F909" s="212"/>
      <c r="G909" s="212"/>
      <c r="J909" s="212"/>
      <c r="K909" s="237"/>
      <c r="L909" s="212"/>
      <c r="M909" s="212"/>
    </row>
    <row r="910" spans="1:13" ht="12.75" customHeight="1">
      <c r="A910" s="212"/>
      <c r="B910" s="212"/>
      <c r="C910" s="212"/>
      <c r="D910" s="236"/>
      <c r="E910" s="212"/>
      <c r="F910" s="212"/>
      <c r="G910" s="212"/>
      <c r="J910" s="212"/>
      <c r="K910" s="237"/>
      <c r="L910" s="212"/>
      <c r="M910" s="212"/>
    </row>
    <row r="911" spans="1:13" ht="12.75" customHeight="1">
      <c r="A911" s="212"/>
      <c r="B911" s="212"/>
      <c r="C911" s="212"/>
      <c r="D911" s="236"/>
      <c r="E911" s="212"/>
      <c r="F911" s="212"/>
      <c r="G911" s="212"/>
      <c r="J911" s="212"/>
      <c r="K911" s="237"/>
      <c r="L911" s="212"/>
      <c r="M911" s="212"/>
    </row>
    <row r="912" spans="1:13" ht="12.75" customHeight="1">
      <c r="A912" s="212"/>
      <c r="B912" s="212"/>
      <c r="C912" s="212"/>
      <c r="D912" s="236"/>
      <c r="E912" s="212"/>
      <c r="F912" s="212"/>
      <c r="G912" s="212"/>
      <c r="J912" s="212"/>
      <c r="K912" s="237"/>
      <c r="L912" s="212"/>
      <c r="M912" s="212"/>
    </row>
    <row r="913" spans="1:13" ht="12.75" customHeight="1">
      <c r="A913" s="212"/>
      <c r="B913" s="212"/>
      <c r="C913" s="212"/>
      <c r="D913" s="236"/>
      <c r="E913" s="212"/>
      <c r="F913" s="212"/>
      <c r="G913" s="212"/>
      <c r="J913" s="212"/>
      <c r="K913" s="237"/>
      <c r="L913" s="212"/>
      <c r="M913" s="212"/>
    </row>
    <row r="914" spans="1:13" ht="12.75" customHeight="1">
      <c r="A914" s="212"/>
      <c r="B914" s="212"/>
      <c r="C914" s="212"/>
      <c r="D914" s="236"/>
      <c r="E914" s="212"/>
      <c r="F914" s="212"/>
      <c r="G914" s="212"/>
      <c r="J914" s="212"/>
      <c r="K914" s="237"/>
      <c r="L914" s="212"/>
      <c r="M914" s="212"/>
    </row>
    <row r="915" spans="1:13" ht="12.75" customHeight="1">
      <c r="A915" s="212"/>
      <c r="B915" s="212"/>
      <c r="C915" s="212"/>
      <c r="D915" s="236"/>
      <c r="E915" s="212"/>
      <c r="F915" s="212"/>
      <c r="G915" s="212"/>
      <c r="J915" s="212"/>
      <c r="K915" s="237"/>
      <c r="L915" s="212"/>
      <c r="M915" s="212"/>
    </row>
    <row r="916" spans="1:13" ht="12.75" customHeight="1">
      <c r="A916" s="212"/>
      <c r="B916" s="212"/>
      <c r="C916" s="212"/>
      <c r="D916" s="236"/>
      <c r="E916" s="212"/>
      <c r="F916" s="212"/>
      <c r="G916" s="212"/>
      <c r="J916" s="212"/>
      <c r="K916" s="237"/>
      <c r="L916" s="212"/>
      <c r="M916" s="212"/>
    </row>
    <row r="917" spans="1:13" ht="12.75" customHeight="1">
      <c r="A917" s="212"/>
      <c r="B917" s="212"/>
      <c r="C917" s="212"/>
      <c r="D917" s="236"/>
      <c r="E917" s="212"/>
      <c r="F917" s="212"/>
      <c r="G917" s="212"/>
      <c r="J917" s="212"/>
      <c r="K917" s="237"/>
      <c r="L917" s="212"/>
      <c r="M917" s="212"/>
    </row>
    <row r="918" spans="1:13" ht="12.75" customHeight="1">
      <c r="A918" s="212"/>
      <c r="B918" s="212"/>
      <c r="C918" s="212"/>
      <c r="D918" s="236"/>
      <c r="E918" s="212"/>
      <c r="F918" s="212"/>
      <c r="G918" s="212"/>
      <c r="J918" s="212"/>
      <c r="K918" s="237"/>
      <c r="L918" s="212"/>
      <c r="M918" s="212"/>
    </row>
    <row r="919" spans="1:13" ht="12.75" customHeight="1">
      <c r="A919" s="212"/>
      <c r="B919" s="212"/>
      <c r="C919" s="212"/>
      <c r="D919" s="236"/>
      <c r="E919" s="212"/>
      <c r="F919" s="212"/>
      <c r="G919" s="212"/>
      <c r="J919" s="212"/>
      <c r="K919" s="237"/>
      <c r="L919" s="212"/>
      <c r="M919" s="212"/>
    </row>
    <row r="920" spans="1:13" ht="12.75" customHeight="1">
      <c r="A920" s="212"/>
      <c r="B920" s="212"/>
      <c r="C920" s="212"/>
      <c r="D920" s="236"/>
      <c r="E920" s="212"/>
      <c r="F920" s="212"/>
      <c r="G920" s="212"/>
      <c r="J920" s="212"/>
      <c r="K920" s="237"/>
      <c r="L920" s="212"/>
      <c r="M920" s="212"/>
    </row>
    <row r="921" spans="1:13" ht="12.75" customHeight="1">
      <c r="A921" s="212"/>
      <c r="B921" s="212"/>
      <c r="C921" s="212"/>
      <c r="D921" s="236"/>
      <c r="E921" s="212"/>
      <c r="F921" s="212"/>
      <c r="G921" s="212"/>
      <c r="J921" s="212"/>
      <c r="K921" s="237"/>
      <c r="L921" s="212"/>
      <c r="M921" s="212"/>
    </row>
    <row r="922" spans="1:13" ht="12.75" customHeight="1">
      <c r="A922" s="212"/>
      <c r="B922" s="212"/>
      <c r="C922" s="212"/>
      <c r="D922" s="236"/>
      <c r="E922" s="212"/>
      <c r="F922" s="212"/>
      <c r="G922" s="212"/>
      <c r="J922" s="212"/>
      <c r="K922" s="237"/>
      <c r="L922" s="212"/>
      <c r="M922" s="212"/>
    </row>
    <row r="923" spans="1:13" ht="12.75" customHeight="1">
      <c r="A923" s="212"/>
      <c r="B923" s="212"/>
      <c r="C923" s="212"/>
      <c r="D923" s="236"/>
      <c r="E923" s="212"/>
      <c r="F923" s="212"/>
      <c r="G923" s="212"/>
      <c r="J923" s="212"/>
      <c r="K923" s="237"/>
      <c r="L923" s="212"/>
      <c r="M923" s="212"/>
    </row>
    <row r="924" spans="1:13" ht="12.75" customHeight="1">
      <c r="A924" s="212"/>
      <c r="B924" s="212"/>
      <c r="C924" s="212"/>
      <c r="D924" s="236"/>
      <c r="E924" s="212"/>
      <c r="F924" s="212"/>
      <c r="G924" s="212"/>
      <c r="J924" s="212"/>
      <c r="K924" s="237"/>
      <c r="L924" s="212"/>
      <c r="M924" s="212"/>
    </row>
    <row r="925" spans="1:13" ht="12.75" customHeight="1">
      <c r="A925" s="212"/>
      <c r="B925" s="212"/>
      <c r="C925" s="212"/>
      <c r="D925" s="236"/>
      <c r="E925" s="212"/>
      <c r="F925" s="212"/>
      <c r="G925" s="212"/>
      <c r="J925" s="212"/>
      <c r="K925" s="237"/>
      <c r="L925" s="212"/>
      <c r="M925" s="212"/>
    </row>
    <row r="926" spans="1:13" ht="12.75" customHeight="1">
      <c r="A926" s="212"/>
      <c r="B926" s="212"/>
      <c r="C926" s="212"/>
      <c r="D926" s="236"/>
      <c r="E926" s="212"/>
      <c r="F926" s="212"/>
      <c r="G926" s="212"/>
      <c r="J926" s="212"/>
      <c r="K926" s="237"/>
      <c r="L926" s="212"/>
      <c r="M926" s="212"/>
    </row>
    <row r="927" spans="1:13" ht="12.75" customHeight="1">
      <c r="A927" s="212"/>
      <c r="B927" s="212"/>
      <c r="C927" s="212"/>
      <c r="D927" s="236"/>
      <c r="E927" s="212"/>
      <c r="F927" s="212"/>
      <c r="G927" s="212"/>
      <c r="J927" s="212"/>
      <c r="K927" s="237"/>
      <c r="L927" s="212"/>
      <c r="M927" s="212"/>
    </row>
    <row r="928" spans="1:13" ht="12.75" customHeight="1">
      <c r="A928" s="212"/>
      <c r="B928" s="212"/>
      <c r="C928" s="212"/>
      <c r="D928" s="236"/>
      <c r="E928" s="212"/>
      <c r="F928" s="212"/>
      <c r="G928" s="212"/>
      <c r="J928" s="212"/>
      <c r="K928" s="237"/>
      <c r="L928" s="212"/>
      <c r="M928" s="212"/>
    </row>
    <row r="929" spans="1:13" ht="12.75" customHeight="1">
      <c r="A929" s="212"/>
      <c r="B929" s="212"/>
      <c r="C929" s="212"/>
      <c r="D929" s="236"/>
      <c r="E929" s="212"/>
      <c r="F929" s="212"/>
      <c r="G929" s="212"/>
      <c r="J929" s="212"/>
      <c r="K929" s="237"/>
      <c r="L929" s="212"/>
      <c r="M929" s="212"/>
    </row>
    <row r="930" spans="1:13" ht="12.75" customHeight="1">
      <c r="A930" s="212"/>
      <c r="B930" s="212"/>
      <c r="C930" s="212"/>
      <c r="D930" s="236"/>
      <c r="E930" s="212"/>
      <c r="F930" s="212"/>
      <c r="G930" s="212"/>
      <c r="J930" s="212"/>
      <c r="K930" s="237"/>
      <c r="L930" s="212"/>
      <c r="M930" s="212"/>
    </row>
    <row r="931" spans="1:13" ht="12.75" customHeight="1">
      <c r="A931" s="212"/>
      <c r="B931" s="212"/>
      <c r="C931" s="212"/>
      <c r="D931" s="236"/>
      <c r="E931" s="212"/>
      <c r="F931" s="212"/>
      <c r="G931" s="212"/>
      <c r="J931" s="212"/>
      <c r="K931" s="237"/>
      <c r="L931" s="212"/>
      <c r="M931" s="212"/>
    </row>
    <row r="932" spans="1:13" ht="12.75" customHeight="1">
      <c r="A932" s="212"/>
      <c r="B932" s="212"/>
      <c r="C932" s="212"/>
      <c r="D932" s="236"/>
      <c r="E932" s="212"/>
      <c r="F932" s="212"/>
      <c r="G932" s="212"/>
      <c r="J932" s="212"/>
      <c r="K932" s="237"/>
      <c r="L932" s="212"/>
      <c r="M932" s="212"/>
    </row>
    <row r="933" spans="1:13" ht="12.75" customHeight="1">
      <c r="A933" s="212"/>
      <c r="B933" s="212"/>
      <c r="C933" s="212"/>
      <c r="D933" s="236"/>
      <c r="E933" s="212"/>
      <c r="F933" s="212"/>
      <c r="G933" s="212"/>
      <c r="J933" s="212"/>
      <c r="K933" s="237"/>
      <c r="L933" s="212"/>
      <c r="M933" s="212"/>
    </row>
    <row r="934" spans="1:13" ht="12.75" customHeight="1">
      <c r="A934" s="212"/>
      <c r="B934" s="212"/>
      <c r="C934" s="212"/>
      <c r="D934" s="236"/>
      <c r="E934" s="212"/>
      <c r="F934" s="212"/>
      <c r="G934" s="212"/>
      <c r="J934" s="212"/>
      <c r="K934" s="237"/>
      <c r="L934" s="212"/>
      <c r="M934" s="212"/>
    </row>
    <row r="935" spans="1:13" ht="12.75" customHeight="1">
      <c r="A935" s="212"/>
      <c r="B935" s="212"/>
      <c r="C935" s="212"/>
      <c r="D935" s="236"/>
      <c r="E935" s="212"/>
      <c r="F935" s="212"/>
      <c r="G935" s="212"/>
      <c r="J935" s="212"/>
      <c r="K935" s="237"/>
      <c r="L935" s="212"/>
      <c r="M935" s="212"/>
    </row>
    <row r="936" spans="1:13" ht="12.75" customHeight="1">
      <c r="A936" s="212"/>
      <c r="B936" s="212"/>
      <c r="C936" s="212"/>
      <c r="D936" s="236"/>
      <c r="E936" s="212"/>
      <c r="F936" s="212"/>
      <c r="G936" s="212"/>
      <c r="J936" s="212"/>
      <c r="K936" s="237"/>
      <c r="L936" s="212"/>
      <c r="M936" s="212"/>
    </row>
    <row r="937" spans="1:13" ht="12.75" customHeight="1">
      <c r="A937" s="212"/>
      <c r="B937" s="212"/>
      <c r="C937" s="212"/>
      <c r="D937" s="236"/>
      <c r="E937" s="212"/>
      <c r="F937" s="212"/>
      <c r="G937" s="212"/>
      <c r="J937" s="212"/>
      <c r="K937" s="237"/>
      <c r="L937" s="212"/>
      <c r="M937" s="212"/>
    </row>
    <row r="938" spans="1:13" ht="12.75" customHeight="1">
      <c r="A938" s="212"/>
      <c r="B938" s="212"/>
      <c r="C938" s="212"/>
      <c r="D938" s="236"/>
      <c r="E938" s="212"/>
      <c r="F938" s="212"/>
      <c r="G938" s="212"/>
      <c r="J938" s="212"/>
      <c r="K938" s="237"/>
      <c r="L938" s="212"/>
      <c r="M938" s="212"/>
    </row>
    <row r="939" spans="1:13" ht="12.75" customHeight="1">
      <c r="A939" s="212"/>
      <c r="B939" s="212"/>
      <c r="C939" s="212"/>
      <c r="D939" s="236"/>
      <c r="E939" s="212"/>
      <c r="F939" s="212"/>
      <c r="G939" s="212"/>
      <c r="J939" s="212"/>
      <c r="K939" s="237"/>
      <c r="L939" s="212"/>
      <c r="M939" s="212"/>
    </row>
    <row r="940" spans="1:13" ht="12.75" customHeight="1">
      <c r="A940" s="212"/>
      <c r="B940" s="212"/>
      <c r="C940" s="212"/>
      <c r="D940" s="236"/>
      <c r="E940" s="212"/>
      <c r="F940" s="212"/>
      <c r="G940" s="212"/>
      <c r="J940" s="212"/>
      <c r="K940" s="237"/>
      <c r="L940" s="212"/>
      <c r="M940" s="212"/>
    </row>
    <row r="941" spans="1:13" ht="12.75" customHeight="1">
      <c r="A941" s="212"/>
      <c r="B941" s="212"/>
      <c r="C941" s="212"/>
      <c r="D941" s="236"/>
      <c r="E941" s="212"/>
      <c r="F941" s="212"/>
      <c r="G941" s="212"/>
      <c r="J941" s="212"/>
      <c r="K941" s="237"/>
      <c r="L941" s="212"/>
      <c r="M941" s="212"/>
    </row>
    <row r="942" spans="1:13" ht="12.75" customHeight="1">
      <c r="A942" s="212"/>
      <c r="B942" s="212"/>
      <c r="C942" s="212"/>
      <c r="D942" s="236"/>
      <c r="E942" s="212"/>
      <c r="F942" s="212"/>
      <c r="G942" s="212"/>
      <c r="J942" s="212"/>
      <c r="K942" s="237"/>
      <c r="L942" s="212"/>
      <c r="M942" s="212"/>
    </row>
    <row r="943" spans="1:13" ht="12.75" customHeight="1">
      <c r="A943" s="212"/>
      <c r="B943" s="212"/>
      <c r="C943" s="212"/>
      <c r="D943" s="236"/>
      <c r="E943" s="212"/>
      <c r="F943" s="212"/>
      <c r="G943" s="212"/>
      <c r="J943" s="212"/>
      <c r="K943" s="237"/>
      <c r="L943" s="212"/>
      <c r="M943" s="212"/>
    </row>
    <row r="944" spans="1:13" ht="12.75" customHeight="1">
      <c r="A944" s="212"/>
      <c r="B944" s="212"/>
      <c r="C944" s="212"/>
      <c r="D944" s="236"/>
      <c r="E944" s="212"/>
      <c r="F944" s="212"/>
      <c r="G944" s="212"/>
      <c r="J944" s="212"/>
      <c r="K944" s="237"/>
      <c r="L944" s="212"/>
      <c r="M944" s="212"/>
    </row>
    <row r="945" spans="1:13" ht="12.75" customHeight="1">
      <c r="A945" s="212"/>
      <c r="B945" s="212"/>
      <c r="C945" s="212"/>
      <c r="D945" s="236"/>
      <c r="E945" s="212"/>
      <c r="F945" s="212"/>
      <c r="G945" s="212"/>
      <c r="J945" s="212"/>
      <c r="K945" s="237"/>
      <c r="L945" s="212"/>
      <c r="M945" s="212"/>
    </row>
    <row r="946" spans="1:13" ht="12.75" customHeight="1">
      <c r="A946" s="212"/>
      <c r="B946" s="212"/>
      <c r="C946" s="212"/>
      <c r="D946" s="236"/>
      <c r="E946" s="212"/>
      <c r="F946" s="212"/>
      <c r="G946" s="212"/>
      <c r="J946" s="212"/>
      <c r="K946" s="237"/>
      <c r="L946" s="212"/>
      <c r="M946" s="212"/>
    </row>
    <row r="947" spans="1:13" ht="12.75" customHeight="1">
      <c r="A947" s="212"/>
      <c r="B947" s="212"/>
      <c r="C947" s="212"/>
      <c r="D947" s="236"/>
      <c r="E947" s="212"/>
      <c r="F947" s="212"/>
      <c r="G947" s="212"/>
      <c r="J947" s="212"/>
      <c r="K947" s="237"/>
      <c r="L947" s="212"/>
      <c r="M947" s="212"/>
    </row>
    <row r="948" spans="1:13" ht="12.75" customHeight="1">
      <c r="A948" s="212"/>
      <c r="B948" s="212"/>
      <c r="C948" s="212"/>
      <c r="D948" s="236"/>
      <c r="E948" s="212"/>
      <c r="F948" s="212"/>
      <c r="G948" s="212"/>
      <c r="J948" s="212"/>
      <c r="K948" s="237"/>
      <c r="L948" s="212"/>
      <c r="M948" s="212"/>
    </row>
    <row r="949" spans="1:13" ht="12.75" customHeight="1">
      <c r="A949" s="212"/>
      <c r="B949" s="212"/>
      <c r="C949" s="212"/>
      <c r="D949" s="236"/>
      <c r="E949" s="212"/>
      <c r="F949" s="212"/>
      <c r="G949" s="212"/>
      <c r="J949" s="212"/>
      <c r="K949" s="237"/>
      <c r="L949" s="212"/>
      <c r="M949" s="212"/>
    </row>
    <row r="950" spans="1:13" ht="12.75" customHeight="1">
      <c r="A950" s="212"/>
      <c r="B950" s="212"/>
      <c r="C950" s="212"/>
      <c r="D950" s="236"/>
      <c r="E950" s="212"/>
      <c r="F950" s="212"/>
      <c r="G950" s="212"/>
      <c r="J950" s="212"/>
      <c r="K950" s="237"/>
      <c r="L950" s="212"/>
      <c r="M950" s="212"/>
    </row>
    <row r="951" spans="1:13" ht="12.75" customHeight="1">
      <c r="A951" s="212"/>
      <c r="B951" s="212"/>
      <c r="C951" s="212"/>
      <c r="D951" s="236"/>
      <c r="E951" s="212"/>
      <c r="F951" s="212"/>
      <c r="G951" s="212"/>
      <c r="J951" s="212"/>
      <c r="K951" s="237"/>
      <c r="L951" s="212"/>
      <c r="M951" s="212"/>
    </row>
    <row r="952" spans="1:13" ht="12.75" customHeight="1">
      <c r="A952" s="212"/>
      <c r="B952" s="212"/>
      <c r="C952" s="212"/>
      <c r="D952" s="236"/>
      <c r="E952" s="212"/>
      <c r="F952" s="212"/>
      <c r="G952" s="212"/>
      <c r="J952" s="212"/>
      <c r="K952" s="237"/>
      <c r="L952" s="212"/>
      <c r="M952" s="212"/>
    </row>
    <row r="953" spans="1:13" ht="12.75" customHeight="1">
      <c r="A953" s="212"/>
      <c r="B953" s="212"/>
      <c r="C953" s="212"/>
      <c r="D953" s="236"/>
      <c r="E953" s="212"/>
      <c r="F953" s="212"/>
      <c r="G953" s="212"/>
      <c r="J953" s="212"/>
      <c r="K953" s="237"/>
      <c r="L953" s="212"/>
      <c r="M953" s="212"/>
    </row>
    <row r="954" spans="1:13" ht="12.75" customHeight="1">
      <c r="A954" s="212"/>
      <c r="B954" s="212"/>
      <c r="C954" s="212"/>
      <c r="D954" s="236"/>
      <c r="E954" s="212"/>
      <c r="F954" s="212"/>
      <c r="G954" s="212"/>
      <c r="J954" s="212"/>
      <c r="K954" s="237"/>
      <c r="L954" s="212"/>
      <c r="M954" s="212"/>
    </row>
    <row r="955" spans="1:13" ht="12.75" customHeight="1">
      <c r="A955" s="212"/>
      <c r="B955" s="212"/>
      <c r="C955" s="212"/>
      <c r="D955" s="236"/>
      <c r="E955" s="212"/>
      <c r="F955" s="212"/>
      <c r="G955" s="212"/>
      <c r="J955" s="212"/>
      <c r="K955" s="237"/>
      <c r="L955" s="212"/>
      <c r="M955" s="212"/>
    </row>
    <row r="956" spans="1:13" ht="12.75" customHeight="1">
      <c r="A956" s="212"/>
      <c r="B956" s="212"/>
      <c r="C956" s="212"/>
      <c r="D956" s="236"/>
      <c r="E956" s="212"/>
      <c r="F956" s="212"/>
      <c r="G956" s="212"/>
      <c r="J956" s="212"/>
      <c r="K956" s="237"/>
      <c r="L956" s="212"/>
      <c r="M956" s="212"/>
    </row>
    <row r="957" spans="1:13" ht="12.75" customHeight="1">
      <c r="A957" s="212"/>
      <c r="B957" s="212"/>
      <c r="C957" s="212"/>
      <c r="D957" s="236"/>
      <c r="E957" s="212"/>
      <c r="F957" s="212"/>
      <c r="G957" s="212"/>
      <c r="J957" s="212"/>
      <c r="K957" s="237"/>
      <c r="L957" s="212"/>
      <c r="M957" s="212"/>
    </row>
    <row r="958" spans="1:13" ht="12.75" customHeight="1">
      <c r="A958" s="212"/>
      <c r="B958" s="212"/>
      <c r="C958" s="212"/>
      <c r="D958" s="236"/>
      <c r="E958" s="212"/>
      <c r="F958" s="212"/>
      <c r="G958" s="212"/>
      <c r="J958" s="212"/>
      <c r="K958" s="237"/>
      <c r="L958" s="212"/>
      <c r="M958" s="212"/>
    </row>
    <row r="959" spans="1:13" ht="12.75" customHeight="1">
      <c r="A959" s="212"/>
      <c r="B959" s="212"/>
      <c r="C959" s="212"/>
      <c r="D959" s="236"/>
      <c r="E959" s="212"/>
      <c r="F959" s="212"/>
      <c r="G959" s="212"/>
      <c r="J959" s="212"/>
      <c r="K959" s="237"/>
      <c r="L959" s="212"/>
      <c r="M959" s="212"/>
    </row>
    <row r="960" spans="1:13" ht="12.75" customHeight="1">
      <c r="A960" s="212"/>
      <c r="B960" s="212"/>
      <c r="C960" s="212"/>
      <c r="D960" s="236"/>
      <c r="E960" s="212"/>
      <c r="F960" s="212"/>
      <c r="G960" s="212"/>
      <c r="J960" s="212"/>
      <c r="K960" s="237"/>
      <c r="L960" s="212"/>
      <c r="M960" s="212"/>
    </row>
    <row r="961" spans="1:13" ht="12.75" customHeight="1">
      <c r="A961" s="212"/>
      <c r="B961" s="212"/>
      <c r="C961" s="212"/>
      <c r="D961" s="236"/>
      <c r="E961" s="212"/>
      <c r="F961" s="212"/>
      <c r="G961" s="212"/>
      <c r="J961" s="212"/>
      <c r="K961" s="237"/>
      <c r="L961" s="212"/>
      <c r="M961" s="212"/>
    </row>
    <row r="962" spans="1:13" ht="12.75" customHeight="1">
      <c r="A962" s="212"/>
      <c r="B962" s="212"/>
      <c r="C962" s="212"/>
      <c r="D962" s="236"/>
      <c r="E962" s="212"/>
      <c r="F962" s="212"/>
      <c r="G962" s="212"/>
      <c r="J962" s="212"/>
      <c r="K962" s="237"/>
      <c r="L962" s="212"/>
      <c r="M962" s="212"/>
    </row>
    <row r="963" spans="1:13" ht="12.75" customHeight="1">
      <c r="A963" s="212"/>
      <c r="B963" s="212"/>
      <c r="C963" s="212"/>
      <c r="D963" s="236"/>
      <c r="E963" s="212"/>
      <c r="F963" s="212"/>
      <c r="G963" s="212"/>
      <c r="J963" s="212"/>
      <c r="K963" s="237"/>
      <c r="L963" s="212"/>
      <c r="M963" s="212"/>
    </row>
    <row r="964" spans="1:13" ht="12.75" customHeight="1">
      <c r="A964" s="212"/>
      <c r="B964" s="212"/>
      <c r="C964" s="212"/>
      <c r="D964" s="236"/>
      <c r="E964" s="212"/>
      <c r="F964" s="212"/>
      <c r="G964" s="212"/>
      <c r="J964" s="212"/>
      <c r="K964" s="237"/>
      <c r="L964" s="212"/>
      <c r="M964" s="212"/>
    </row>
    <row r="965" spans="1:13" ht="12.75" customHeight="1">
      <c r="A965" s="212"/>
      <c r="B965" s="212"/>
      <c r="C965" s="212"/>
      <c r="D965" s="236"/>
      <c r="E965" s="212"/>
      <c r="F965" s="212"/>
      <c r="G965" s="212"/>
      <c r="J965" s="212"/>
      <c r="K965" s="237"/>
      <c r="L965" s="212"/>
      <c r="M965" s="212"/>
    </row>
    <row r="966" spans="1:13" ht="12.75" customHeight="1">
      <c r="A966" s="212"/>
      <c r="B966" s="212"/>
      <c r="C966" s="212"/>
      <c r="D966" s="236"/>
      <c r="E966" s="212"/>
      <c r="F966" s="212"/>
      <c r="G966" s="212"/>
      <c r="J966" s="212"/>
      <c r="K966" s="237"/>
      <c r="L966" s="212"/>
      <c r="M966" s="212"/>
    </row>
    <row r="967" spans="1:13" ht="12.75" customHeight="1">
      <c r="A967" s="212"/>
      <c r="B967" s="212"/>
      <c r="C967" s="212"/>
      <c r="D967" s="236"/>
      <c r="E967" s="212"/>
      <c r="F967" s="212"/>
      <c r="G967" s="212"/>
      <c r="J967" s="212"/>
      <c r="K967" s="237"/>
      <c r="L967" s="212"/>
      <c r="M967" s="212"/>
    </row>
    <row r="968" spans="1:13" ht="12.75" customHeight="1">
      <c r="A968" s="212"/>
      <c r="B968" s="212"/>
      <c r="C968" s="212"/>
      <c r="D968" s="236"/>
      <c r="E968" s="212"/>
      <c r="F968" s="212"/>
      <c r="G968" s="212"/>
      <c r="J968" s="212"/>
      <c r="K968" s="237"/>
      <c r="L968" s="212"/>
      <c r="M968" s="212"/>
    </row>
    <row r="969" spans="1:13" ht="12.75" customHeight="1">
      <c r="A969" s="212"/>
      <c r="B969" s="212"/>
      <c r="C969" s="212"/>
      <c r="D969" s="236"/>
      <c r="E969" s="212"/>
      <c r="F969" s="212"/>
      <c r="G969" s="212"/>
      <c r="J969" s="212"/>
      <c r="K969" s="237"/>
      <c r="L969" s="212"/>
      <c r="M969" s="212"/>
    </row>
    <row r="970" spans="1:13" ht="12.75" customHeight="1">
      <c r="A970" s="212"/>
      <c r="B970" s="212"/>
      <c r="C970" s="212"/>
      <c r="D970" s="236"/>
      <c r="E970" s="212"/>
      <c r="F970" s="212"/>
      <c r="G970" s="212"/>
      <c r="J970" s="212"/>
      <c r="K970" s="237"/>
      <c r="L970" s="212"/>
      <c r="M970" s="212"/>
    </row>
    <row r="971" spans="1:13" ht="12.75" customHeight="1">
      <c r="A971" s="212"/>
      <c r="B971" s="212"/>
      <c r="C971" s="212"/>
      <c r="D971" s="236"/>
      <c r="E971" s="212"/>
      <c r="F971" s="212"/>
      <c r="G971" s="212"/>
      <c r="J971" s="212"/>
      <c r="K971" s="237"/>
      <c r="L971" s="212"/>
      <c r="M971" s="212"/>
    </row>
    <row r="972" spans="1:13" ht="12.75" customHeight="1">
      <c r="A972" s="212"/>
      <c r="B972" s="212"/>
      <c r="C972" s="212"/>
      <c r="D972" s="236"/>
      <c r="E972" s="212"/>
      <c r="F972" s="212"/>
      <c r="G972" s="212"/>
      <c r="J972" s="212"/>
      <c r="K972" s="237"/>
      <c r="L972" s="212"/>
      <c r="M972" s="212"/>
    </row>
    <row r="973" spans="1:13" ht="12.75" customHeight="1">
      <c r="A973" s="212"/>
      <c r="B973" s="212"/>
      <c r="C973" s="212"/>
      <c r="D973" s="236"/>
      <c r="E973" s="212"/>
      <c r="F973" s="212"/>
      <c r="G973" s="212"/>
      <c r="J973" s="212"/>
      <c r="K973" s="237"/>
      <c r="L973" s="212"/>
      <c r="M973" s="212"/>
    </row>
    <row r="974" spans="1:13" ht="12.75" customHeight="1">
      <c r="A974" s="212"/>
      <c r="B974" s="212"/>
      <c r="C974" s="212"/>
      <c r="D974" s="236"/>
      <c r="E974" s="212"/>
      <c r="F974" s="212"/>
      <c r="G974" s="212"/>
      <c r="J974" s="212"/>
      <c r="K974" s="237"/>
      <c r="L974" s="212"/>
      <c r="M974" s="212"/>
    </row>
    <row r="975" spans="1:13" ht="12.75" customHeight="1">
      <c r="A975" s="212"/>
      <c r="B975" s="212"/>
      <c r="C975" s="212"/>
      <c r="D975" s="236"/>
      <c r="E975" s="212"/>
      <c r="F975" s="212"/>
      <c r="G975" s="212"/>
      <c r="J975" s="212"/>
      <c r="K975" s="237"/>
      <c r="L975" s="212"/>
      <c r="M975" s="212"/>
    </row>
    <row r="976" spans="1:13" ht="12.75" customHeight="1">
      <c r="A976" s="212"/>
      <c r="B976" s="212"/>
      <c r="C976" s="212"/>
      <c r="D976" s="236"/>
      <c r="E976" s="212"/>
      <c r="F976" s="212"/>
      <c r="G976" s="212"/>
      <c r="J976" s="212"/>
      <c r="K976" s="237"/>
      <c r="L976" s="212"/>
      <c r="M976" s="212"/>
    </row>
    <row r="977" spans="1:13" ht="12.75" customHeight="1">
      <c r="A977" s="212"/>
      <c r="B977" s="212"/>
      <c r="C977" s="212"/>
      <c r="D977" s="236"/>
      <c r="E977" s="212"/>
      <c r="F977" s="212"/>
      <c r="G977" s="212"/>
      <c r="J977" s="212"/>
      <c r="K977" s="237"/>
      <c r="L977" s="212"/>
      <c r="M977" s="212"/>
    </row>
    <row r="978" spans="1:13" ht="12.75" customHeight="1">
      <c r="A978" s="212"/>
      <c r="B978" s="212"/>
      <c r="C978" s="212"/>
      <c r="D978" s="236"/>
      <c r="E978" s="212"/>
      <c r="F978" s="212"/>
      <c r="G978" s="212"/>
      <c r="J978" s="212"/>
      <c r="K978" s="237"/>
      <c r="L978" s="212"/>
      <c r="M978" s="212"/>
    </row>
    <row r="979" spans="1:13" ht="12.75" customHeight="1">
      <c r="A979" s="212"/>
      <c r="B979" s="212"/>
      <c r="C979" s="212"/>
      <c r="D979" s="236"/>
      <c r="E979" s="212"/>
      <c r="F979" s="212"/>
      <c r="G979" s="212"/>
      <c r="J979" s="212"/>
      <c r="K979" s="237"/>
      <c r="L979" s="212"/>
      <c r="M979" s="212"/>
    </row>
    <row r="980" spans="1:13" ht="12.75" customHeight="1">
      <c r="A980" s="212"/>
      <c r="B980" s="212"/>
      <c r="C980" s="212"/>
      <c r="D980" s="236"/>
      <c r="E980" s="212"/>
      <c r="F980" s="212"/>
      <c r="G980" s="212"/>
      <c r="J980" s="212"/>
      <c r="K980" s="237"/>
      <c r="L980" s="212"/>
      <c r="M980" s="212"/>
    </row>
    <row r="981" spans="1:13" ht="12.75" customHeight="1">
      <c r="A981" s="212"/>
      <c r="B981" s="212"/>
      <c r="C981" s="212"/>
      <c r="D981" s="236"/>
      <c r="E981" s="212"/>
      <c r="F981" s="212"/>
      <c r="G981" s="212"/>
      <c r="J981" s="212"/>
      <c r="K981" s="237"/>
      <c r="L981" s="212"/>
      <c r="M981" s="212"/>
    </row>
    <row r="982" spans="1:13" ht="12.75" customHeight="1">
      <c r="A982" s="212"/>
      <c r="B982" s="212"/>
      <c r="C982" s="212"/>
      <c r="D982" s="236"/>
      <c r="E982" s="212"/>
      <c r="F982" s="212"/>
      <c r="G982" s="212"/>
      <c r="J982" s="212"/>
      <c r="K982" s="237"/>
      <c r="L982" s="212"/>
      <c r="M982" s="212"/>
    </row>
    <row r="983" spans="1:13" ht="12.75" customHeight="1">
      <c r="A983" s="212"/>
      <c r="B983" s="212"/>
      <c r="C983" s="212"/>
      <c r="D983" s="236"/>
      <c r="E983" s="212"/>
      <c r="F983" s="212"/>
      <c r="G983" s="212"/>
      <c r="J983" s="212"/>
      <c r="K983" s="237"/>
      <c r="L983" s="212"/>
      <c r="M983" s="212"/>
    </row>
    <row r="984" spans="1:13" ht="12.75" customHeight="1">
      <c r="A984" s="212"/>
      <c r="B984" s="212"/>
      <c r="C984" s="212"/>
      <c r="D984" s="236"/>
      <c r="E984" s="212"/>
      <c r="F984" s="212"/>
      <c r="G984" s="212"/>
      <c r="J984" s="212"/>
      <c r="K984" s="237"/>
      <c r="L984" s="212"/>
      <c r="M984" s="212"/>
    </row>
    <row r="985" spans="1:13" ht="12.75" customHeight="1">
      <c r="A985" s="212"/>
      <c r="B985" s="212"/>
      <c r="C985" s="212"/>
      <c r="D985" s="236"/>
      <c r="E985" s="212"/>
      <c r="F985" s="212"/>
      <c r="G985" s="212"/>
      <c r="J985" s="212"/>
      <c r="K985" s="237"/>
      <c r="L985" s="212"/>
      <c r="M985" s="212"/>
    </row>
    <row r="986" spans="1:13" ht="12.75" customHeight="1">
      <c r="A986" s="212"/>
      <c r="B986" s="212"/>
      <c r="C986" s="212"/>
      <c r="D986" s="236"/>
      <c r="E986" s="212"/>
      <c r="F986" s="212"/>
      <c r="G986" s="212"/>
      <c r="J986" s="212"/>
      <c r="K986" s="237"/>
      <c r="L986" s="212"/>
      <c r="M986" s="212"/>
    </row>
    <row r="987" spans="1:13" ht="12.75" customHeight="1">
      <c r="A987" s="212"/>
      <c r="B987" s="212"/>
      <c r="C987" s="212"/>
      <c r="D987" s="236"/>
      <c r="E987" s="212"/>
      <c r="F987" s="212"/>
      <c r="G987" s="212"/>
      <c r="J987" s="212"/>
      <c r="K987" s="237"/>
      <c r="L987" s="212"/>
      <c r="M987" s="212"/>
    </row>
    <row r="988" spans="1:13" ht="12.75" customHeight="1">
      <c r="A988" s="212"/>
      <c r="B988" s="212"/>
      <c r="C988" s="212"/>
      <c r="D988" s="236"/>
      <c r="E988" s="212"/>
      <c r="F988" s="212"/>
      <c r="G988" s="212"/>
      <c r="J988" s="212"/>
      <c r="K988" s="237"/>
      <c r="L988" s="212"/>
      <c r="M988" s="212"/>
    </row>
    <row r="989" spans="1:13" ht="12.75" customHeight="1">
      <c r="A989" s="212"/>
      <c r="B989" s="212"/>
      <c r="C989" s="212"/>
      <c r="D989" s="236"/>
      <c r="E989" s="212"/>
      <c r="F989" s="212"/>
      <c r="G989" s="212"/>
      <c r="J989" s="212"/>
      <c r="K989" s="237"/>
      <c r="L989" s="212"/>
      <c r="M989" s="212"/>
    </row>
    <row r="990" spans="1:13" ht="12.75" customHeight="1">
      <c r="A990" s="212"/>
      <c r="B990" s="212"/>
      <c r="C990" s="212"/>
      <c r="D990" s="236"/>
      <c r="E990" s="212"/>
      <c r="F990" s="212"/>
      <c r="G990" s="212"/>
      <c r="J990" s="212"/>
      <c r="K990" s="237"/>
      <c r="L990" s="212"/>
      <c r="M990" s="212"/>
    </row>
    <row r="991" spans="1:13" ht="12.75" customHeight="1">
      <c r="A991" s="212"/>
      <c r="B991" s="212"/>
      <c r="C991" s="212"/>
      <c r="D991" s="236"/>
      <c r="E991" s="212"/>
      <c r="F991" s="212"/>
      <c r="G991" s="212"/>
      <c r="J991" s="212"/>
      <c r="K991" s="237"/>
      <c r="L991" s="212"/>
      <c r="M991" s="212"/>
    </row>
    <row r="992" spans="1:13" ht="12.75" customHeight="1">
      <c r="A992" s="212"/>
      <c r="B992" s="212"/>
      <c r="C992" s="212"/>
      <c r="D992" s="236"/>
      <c r="E992" s="212"/>
      <c r="F992" s="212"/>
      <c r="G992" s="212"/>
      <c r="J992" s="212"/>
      <c r="K992" s="237"/>
      <c r="L992" s="212"/>
      <c r="M992" s="212"/>
    </row>
    <row r="993" spans="1:13" ht="12.75" customHeight="1">
      <c r="A993" s="212"/>
      <c r="B993" s="212"/>
      <c r="C993" s="212"/>
      <c r="D993" s="236"/>
      <c r="E993" s="212"/>
      <c r="F993" s="212"/>
      <c r="G993" s="212"/>
      <c r="J993" s="212"/>
      <c r="K993" s="237"/>
      <c r="L993" s="212"/>
      <c r="M993" s="212"/>
    </row>
    <row r="994" spans="1:13" ht="12.75" customHeight="1">
      <c r="A994" s="212"/>
      <c r="B994" s="212"/>
      <c r="C994" s="212"/>
      <c r="D994" s="236"/>
      <c r="E994" s="212"/>
      <c r="F994" s="212"/>
      <c r="G994" s="212"/>
      <c r="J994" s="212"/>
      <c r="K994" s="237"/>
      <c r="L994" s="212"/>
      <c r="M994" s="212"/>
    </row>
    <row r="995" spans="1:13" ht="12.75" customHeight="1">
      <c r="A995" s="212"/>
      <c r="B995" s="212"/>
      <c r="C995" s="212"/>
      <c r="D995" s="236"/>
      <c r="E995" s="212"/>
      <c r="F995" s="212"/>
      <c r="G995" s="212"/>
      <c r="J995" s="212"/>
      <c r="K995" s="237"/>
      <c r="L995" s="212"/>
      <c r="M995" s="212"/>
    </row>
    <row r="996" spans="1:13" ht="12.75" customHeight="1">
      <c r="A996" s="212"/>
      <c r="B996" s="212"/>
      <c r="C996" s="212"/>
      <c r="D996" s="236"/>
      <c r="E996" s="212"/>
      <c r="F996" s="212"/>
      <c r="G996" s="212"/>
      <c r="J996" s="212"/>
      <c r="K996" s="237"/>
      <c r="L996" s="212"/>
      <c r="M996" s="212"/>
    </row>
    <row r="997" spans="1:13" ht="12.75" customHeight="1">
      <c r="A997" s="212"/>
      <c r="B997" s="212"/>
      <c r="C997" s="212"/>
      <c r="D997" s="236"/>
      <c r="E997" s="212"/>
      <c r="F997" s="212"/>
      <c r="G997" s="212"/>
      <c r="J997" s="212"/>
      <c r="K997" s="237"/>
      <c r="L997" s="212"/>
      <c r="M997" s="212"/>
    </row>
    <row r="998" spans="1:13" ht="12.75" customHeight="1">
      <c r="A998" s="212"/>
      <c r="B998" s="212"/>
      <c r="C998" s="212"/>
      <c r="D998" s="236"/>
      <c r="E998" s="212"/>
      <c r="F998" s="212"/>
      <c r="G998" s="212"/>
      <c r="J998" s="212"/>
      <c r="K998" s="237"/>
      <c r="L998" s="212"/>
      <c r="M998" s="212"/>
    </row>
    <row r="999" spans="1:13" ht="12.75" customHeight="1">
      <c r="A999" s="212"/>
      <c r="B999" s="212"/>
      <c r="C999" s="212"/>
      <c r="D999" s="237"/>
      <c r="E999" s="212"/>
      <c r="F999" s="212"/>
      <c r="G999" s="212"/>
      <c r="J999" s="212"/>
      <c r="K999" s="237"/>
      <c r="L999" s="212"/>
      <c r="M999" s="212"/>
    </row>
    <row r="1000" spans="1:13" ht="12.75" customHeight="1">
      <c r="A1000" s="212"/>
      <c r="B1000" s="212"/>
      <c r="C1000" s="212"/>
      <c r="D1000" s="237"/>
      <c r="E1000" s="212"/>
      <c r="F1000" s="212"/>
      <c r="G1000" s="212"/>
      <c r="J1000" s="212"/>
      <c r="K1000" s="237"/>
      <c r="L1000" s="212"/>
      <c r="M1000" s="212"/>
    </row>
    <row r="1001" spans="1:13" ht="12.75" customHeight="1">
      <c r="A1001" s="212"/>
      <c r="B1001" s="212"/>
      <c r="C1001" s="212"/>
      <c r="D1001" s="237"/>
      <c r="E1001" s="212"/>
      <c r="F1001" s="212"/>
      <c r="G1001" s="212"/>
      <c r="J1001" s="212"/>
      <c r="K1001" s="237"/>
      <c r="L1001" s="212"/>
      <c r="M1001" s="212"/>
    </row>
    <row r="1002" spans="1:13" ht="12.75" customHeight="1">
      <c r="A1002" s="212"/>
      <c r="B1002" s="212"/>
      <c r="C1002" s="212"/>
      <c r="D1002" s="237"/>
      <c r="E1002" s="212"/>
      <c r="F1002" s="212"/>
      <c r="G1002" s="212"/>
      <c r="J1002" s="212"/>
      <c r="K1002" s="237"/>
      <c r="L1002" s="212"/>
      <c r="M1002" s="212"/>
    </row>
    <row r="1003" spans="1:13" ht="12.75" customHeight="1">
      <c r="A1003" s="212"/>
      <c r="B1003" s="212"/>
      <c r="C1003" s="212"/>
      <c r="D1003" s="237"/>
      <c r="E1003" s="212"/>
      <c r="F1003" s="212"/>
      <c r="G1003" s="212"/>
      <c r="J1003" s="212"/>
      <c r="K1003" s="237"/>
      <c r="L1003" s="212"/>
      <c r="M1003" s="212"/>
    </row>
    <row r="1004" spans="1:13" ht="12.75" customHeight="1">
      <c r="A1004" s="212"/>
      <c r="B1004" s="212"/>
      <c r="C1004" s="212"/>
      <c r="D1004" s="237"/>
      <c r="E1004" s="212"/>
      <c r="F1004" s="212"/>
      <c r="G1004" s="212"/>
      <c r="J1004" s="212"/>
      <c r="K1004" s="237"/>
      <c r="L1004" s="212"/>
      <c r="M1004" s="212"/>
    </row>
    <row r="1005" spans="1:13" ht="12.75" customHeight="1">
      <c r="A1005" s="212"/>
      <c r="B1005" s="212"/>
      <c r="C1005" s="212"/>
      <c r="D1005" s="237"/>
      <c r="E1005" s="212"/>
      <c r="F1005" s="212"/>
      <c r="G1005" s="212"/>
      <c r="J1005" s="212"/>
      <c r="K1005" s="237"/>
      <c r="L1005" s="212"/>
      <c r="M1005" s="212"/>
    </row>
    <row r="1006" spans="1:13" ht="12.75" customHeight="1">
      <c r="A1006" s="212"/>
      <c r="B1006" s="212"/>
      <c r="C1006" s="212"/>
      <c r="D1006" s="237"/>
      <c r="E1006" s="212"/>
      <c r="F1006" s="212"/>
      <c r="G1006" s="212"/>
      <c r="J1006" s="212"/>
      <c r="K1006" s="237"/>
      <c r="L1006" s="212"/>
      <c r="M1006" s="212"/>
    </row>
    <row r="1007" spans="1:13" ht="12.75" customHeight="1">
      <c r="A1007" s="212"/>
      <c r="B1007" s="212"/>
      <c r="C1007" s="212"/>
      <c r="D1007" s="237"/>
      <c r="E1007" s="212"/>
      <c r="F1007" s="212"/>
      <c r="G1007" s="212"/>
      <c r="J1007" s="212"/>
      <c r="K1007" s="237"/>
      <c r="L1007" s="212"/>
      <c r="M1007" s="212"/>
    </row>
    <row r="1008" spans="1:13" ht="12.75" customHeight="1">
      <c r="A1008" s="212"/>
      <c r="B1008" s="212"/>
      <c r="C1008" s="212"/>
      <c r="D1008" s="237"/>
      <c r="E1008" s="212"/>
      <c r="F1008" s="212"/>
      <c r="G1008" s="212"/>
      <c r="J1008" s="212"/>
      <c r="K1008" s="237"/>
      <c r="L1008" s="212"/>
      <c r="M1008" s="212"/>
    </row>
    <row r="1009" spans="1:13" ht="12.75" customHeight="1">
      <c r="A1009" s="212"/>
      <c r="B1009" s="212"/>
      <c r="C1009" s="212"/>
      <c r="D1009" s="237"/>
      <c r="E1009" s="212"/>
      <c r="F1009" s="212"/>
      <c r="G1009" s="212"/>
      <c r="J1009" s="212"/>
      <c r="K1009" s="237"/>
      <c r="L1009" s="212"/>
      <c r="M1009" s="212"/>
    </row>
    <row r="1010" spans="1:13" ht="12.75" customHeight="1">
      <c r="A1010" s="212"/>
      <c r="B1010" s="212"/>
      <c r="C1010" s="212"/>
      <c r="D1010" s="237"/>
      <c r="E1010" s="212"/>
      <c r="F1010" s="212"/>
      <c r="G1010" s="212"/>
      <c r="J1010" s="212"/>
      <c r="K1010" s="237"/>
      <c r="L1010" s="212"/>
      <c r="M1010" s="212"/>
    </row>
    <row r="1011" spans="1:13" ht="12.75" customHeight="1">
      <c r="A1011" s="212"/>
      <c r="B1011" s="212"/>
      <c r="C1011" s="212"/>
      <c r="D1011" s="237"/>
      <c r="E1011" s="212"/>
      <c r="F1011" s="212"/>
      <c r="G1011" s="212"/>
      <c r="J1011" s="212"/>
      <c r="K1011" s="237"/>
      <c r="L1011" s="212"/>
      <c r="M1011" s="212"/>
    </row>
    <row r="1012" spans="1:13" ht="12.75" customHeight="1">
      <c r="A1012" s="212"/>
      <c r="B1012" s="212"/>
      <c r="C1012" s="212"/>
      <c r="D1012" s="237"/>
      <c r="E1012" s="212"/>
      <c r="F1012" s="212"/>
      <c r="G1012" s="212"/>
      <c r="J1012" s="212"/>
      <c r="K1012" s="237"/>
      <c r="L1012" s="212"/>
      <c r="M1012" s="212"/>
    </row>
    <row r="1013" spans="1:13" ht="12.75" customHeight="1">
      <c r="A1013" s="212"/>
      <c r="B1013" s="212"/>
      <c r="C1013" s="212"/>
      <c r="D1013" s="237"/>
      <c r="E1013" s="212"/>
      <c r="F1013" s="212"/>
      <c r="G1013" s="212"/>
      <c r="J1013" s="212"/>
      <c r="K1013" s="237"/>
      <c r="L1013" s="212"/>
      <c r="M1013" s="212"/>
    </row>
    <row r="1014" spans="1:13" ht="12.75" customHeight="1">
      <c r="A1014" s="212"/>
      <c r="B1014" s="212"/>
      <c r="C1014" s="212"/>
      <c r="D1014" s="237"/>
      <c r="E1014" s="212"/>
      <c r="F1014" s="212"/>
      <c r="G1014" s="212"/>
      <c r="J1014" s="212"/>
      <c r="K1014" s="237"/>
      <c r="L1014" s="212"/>
      <c r="M1014" s="212"/>
    </row>
  </sheetData>
  <sheetProtection password="C6F3" sheet="1" objects="1" scenarios="1"/>
  <mergeCells count="37">
    <mergeCell ref="B11:B17"/>
    <mergeCell ref="B2:B7"/>
    <mergeCell ref="A2:A17"/>
    <mergeCell ref="B35:B47"/>
    <mergeCell ref="B30:B34"/>
    <mergeCell ref="A18:A47"/>
    <mergeCell ref="B18:B24"/>
    <mergeCell ref="B25:B29"/>
    <mergeCell ref="A49:A82"/>
    <mergeCell ref="B73:B77"/>
    <mergeCell ref="B69:B72"/>
    <mergeCell ref="B54:B59"/>
    <mergeCell ref="B60:B68"/>
    <mergeCell ref="B51:B53"/>
    <mergeCell ref="B49:B50"/>
    <mergeCell ref="B78:B83"/>
    <mergeCell ref="A127:A135"/>
    <mergeCell ref="A116:A125"/>
    <mergeCell ref="A137:A148"/>
    <mergeCell ref="B120:B125"/>
    <mergeCell ref="B127:B132"/>
    <mergeCell ref="B133:B135"/>
    <mergeCell ref="B144:B146"/>
    <mergeCell ref="B141:B143"/>
    <mergeCell ref="B137:B140"/>
    <mergeCell ref="B147:B148"/>
    <mergeCell ref="B116:B119"/>
    <mergeCell ref="B95:B98"/>
    <mergeCell ref="B85:B86"/>
    <mergeCell ref="B87:B89"/>
    <mergeCell ref="B90:B94"/>
    <mergeCell ref="A95:A114"/>
    <mergeCell ref="B103:B106"/>
    <mergeCell ref="B99:B102"/>
    <mergeCell ref="B107:B110"/>
    <mergeCell ref="B111:B114"/>
    <mergeCell ref="A85:A94"/>
  </mergeCells>
  <conditionalFormatting sqref="C1 J1 F2:F9 M2:M7 F11:F15 M11:M13 F18:F23 M18:M23 F25:F28 M25:M27 F30:F33 M30:M31 F35:F46 M35:M38 F49 M49 F51:F52 M51 F54:F58 M54:M55 F60:F66 M60:M63 F69:F71 M69:M71 F73:F76 M73:M74 F78:F81 M78:M80 F85 M85 F87 M87:M88 F90:F92 M90:M92 F95:F97 M95:M96 F99:F100 M99:M101 F103:F104 M103:M105 F107:F109 M107:M108 F111:F113 M111:M112 F116:F118 M116:M117 F120:F124 M120:M122 F127:F131 M127:M129 F133:F134 M133:M134 F137:F139 M137:M139 F141:F142 M141 F144 M144:M145 F147:F148 M147:M148">
    <cfRule type="containsBlanks" dxfId="160" priority="1">
      <formula>LEN(TRIM(C1))=0</formula>
    </cfRule>
  </conditionalFormatting>
  <conditionalFormatting sqref="H2:H9 H11:H15 H18:H23 H25:H28 H30:H33 H35:H46 H49 H51:H52 H54:H58 H60:H66 H69:H71 H73:H76 H78:H81 H85 H87 H90:H92 H95:H97 H99:H100 H103:H104 H107:H109 H111:H113 H116:H118 H120:H124 H127:H130 H133:H134 H137:H139 H141:H142 H144 H147:H148">
    <cfRule type="colorScale" priority="2">
      <colorScale>
        <cfvo type="formula" val="1"/>
        <cfvo type="formula" val="2"/>
        <cfvo type="formula" val="3"/>
        <color rgb="FFFF0000"/>
        <color rgb="FFFFFF00"/>
        <color rgb="FF00FF00"/>
      </colorScale>
    </cfRule>
  </conditionalFormatting>
  <conditionalFormatting sqref="H2:H9 H11:H15 H18:H23 H25:H28 H30:H33 H35:H46 H49 H51:H52 H54:H58 H60:H66 H69:H71 H73:H76 H78:H81 H85 H87 H90:H92 H95:H97 H99:H100 H103:H104 H107:H109 H111:H113 H116:H118 H120:H124 H127:H130 H133:H134 H137:H139 H141:H142 H144 H147:H148">
    <cfRule type="containsBlanks" dxfId="159" priority="3">
      <formula>LEN(TRIM(H2))=0</formula>
    </cfRule>
  </conditionalFormatting>
  <conditionalFormatting sqref="D2:D9 K2:K7 D11:D15 K11:K12 D18:D23 K18:K22 D25:D28 K25:K27 D30:D33 K30:K31 D35:D46 K35:K38 D49 K49 D51:D52 K51 D54:D58 K54:K55 D60:D66 K60:K63 D69:D71 K69:K71 D73:D76 K73:K74 D78:D81 K78:K80 D85 K85 D87 K87:K88 D90:D92 K90 D95:D97 K95:K96 D99:D100 K99:K101 D103:D104 K103:K105 D107:D109 K107 D111:D113 K111:K112 D116:D118 K116:K117 D120:D124 K120:K122 D127:D130 K127:K128 D133:D134 K133:K134 D137:D139 K137:K139 D141:D142 K141 D144 K144:K145 D147:D148 K147:K148">
    <cfRule type="containsText" dxfId="158" priority="4" operator="containsText" text="Y">
      <formula>NOT(ISERROR(SEARCH(("Y"),(D2))))</formula>
    </cfRule>
  </conditionalFormatting>
  <conditionalFormatting sqref="D2:D9 K2:K7 D11:D15 K11:K12 D18:D23 K18:K22 D25:D28 K25:K27 D30:D33 K30:K31 D35:D46 K35:K38 D49 K49 D51:D52 K51 D54:D58 K54:K55 D60:D66 K60:K63 D69:D71 K69:K71 D73:D76 K73:K74 D78:D81 K78:K80 D85 K85 D87 K87:K88 D90:D92 K90 D95:D97 K95:K96 D99:D100 K99:K101 D103:D104 K103:K105 D107:D109 K107 D111:D113 K111:K112 D116:D118 K116:K117 D120:D124 K120:K122 D127:D130 K127:K128 D133:D134 K133:K134 D137:D139 K137:K139 D141:D142 K141 D144 K144:K145 D147:D148 K147:K148">
    <cfRule type="containsText" dxfId="157" priority="5" operator="containsText" text="N">
      <formula>NOT(ISERROR(SEARCH(("N"),(D2))))</formula>
    </cfRule>
  </conditionalFormatting>
  <conditionalFormatting sqref="D2:D9 K2:K7 D11:D15 K11:K12 D18:D23 K18:K22 D25:D28 K25:K27 D30:D33 K30:K31 D35:D46 K35:K38 D49 K49 D51:D52 K51 D54:D58 K54:K55 D60:D66 K60:K63 D69:D71 K69:K71 D73:D76 K73:K74 D78:D81 K78:K80 D85 K85 D87 K87:K88 D90:D92 K90 D95:D97 K95:K96 D99:D100 K99:K101 D103:D104 K103:K105 D107:D109 K107 D111:D113 K111:K112 D116:D118 K116:K117 D120:D124 K120:K122 D127:D130 K127:K128 D133:D134 K133:K134 D137:D139 K137:K139 D141:D142 K141 D144 K144:K145 D147:D148 K147:K148">
    <cfRule type="containsBlanks" dxfId="156" priority="6">
      <formula>LEN(TRIM(D2))=0</formula>
    </cfRule>
  </conditionalFormatting>
  <conditionalFormatting sqref="C1:C8 E1:F1 G1:G9 J1:J6 D2:D9 K2:K7 N2:N5 J8:J9 L9:L10 C11:C14 D11:D12 G11:G15 J11:K13 N11:N12 C18:C23 D18:D21 G18:G23 J18:J20 K18:K23 L18:L27 N18:N23 J22:J23 C25:C27 D25:D28 G25:G28 K25:K27 N25:N27 L29:L31 C30:C55 D30:D32 E30:E47 G30:G33 J30:J32 K30:K31 D35:D40 G35:G46 J35:J37 K35:L38 N35:N38 J39 D49:D57 E49:E66 G49:G52 J49:J53 K49:K55 L49:L51 N49 F50 H50 N51 G54:G58 L54:L55 N54:N55 J55:J57 C57:C106 D60:D109 G60:G64 J60:J65 K60:L63 E69:E109 G69:G71 J69:J70 K69:K80 L69:L71 G73:G76 J73:J80 L73:L74 G78:G97 L78:L80 F82:F97 H82:H83 J83:J98 K83 K85:K96 L85 L87:L88 H88:H89 L90:L92 L95:L96 F99:G109 K99:K107 L99:L101 J100:J107 H101:H102 L103:L105 H105:H106 L107:L108 C111:C133 D111:D114 E111:F113 G111:G112 J111:L112 D116:D125 E116:E134 F116:G118 J116:J120 K116:K125 L116:L117 F120:G124 L120:L122 J122:J128 F126:G131 D127:D134 K127:L128 L129 J131:J132 K131:K134 F133:G134 L133:L134 J134 E136:E149 F136:G139 J136:J149 C137:C146 D137:D149 K137:K148 L137:L139 F141:G142 L141 F144:G144 L144:L145 F147:G149 L147:L148">
    <cfRule type="containsBlanks" dxfId="155" priority="7" stopIfTrue="1">
      <formula>LEN(TRIM(C1))=0</formula>
    </cfRule>
  </conditionalFormatting>
  <conditionalFormatting sqref="K2:K7 K11:K12 K18:K22 K25:K27 K30:K31 K35:K38 K49 K51 K54:K55 K60:K63 K69:K71 K73:K76 K78:K80 K85 K87:K88 K90 K95:K96 K99:K101 K103:K105 K107 K111:K112 K116:K117 K120:K122 K127:K128 K133:K134 K137:K139 K141 K144:K145 K147:K148">
    <cfRule type="containsText" dxfId="154" priority="8" operator="containsText" text="Y">
      <formula>NOT(ISERROR(SEARCH(("Y"),(K2))))</formula>
    </cfRule>
  </conditionalFormatting>
  <conditionalFormatting sqref="K2:K7 K11:K12 K18:K22 K25:K27 K30:K31 K35:K38 K49 K51 K54:K55 K60:K63 K69:K71 K73:K76 K78:K80 K85 K87:K88 K90 K95:K96 K99:K101 K103:K105 K107 K111:K112 K116:K117 K120:K122 K127:K128 K133:K134 K137:K139 K141 K144:K145 K147:K148">
    <cfRule type="containsText" dxfId="153" priority="9" operator="containsText" text="N">
      <formula>NOT(ISERROR(SEARCH(("N"),(K2))))</formula>
    </cfRule>
  </conditionalFormatting>
  <conditionalFormatting sqref="K2:K7 K11:K12 K18:K22 K25:K27 K30:K31 K35:K38 K49 K51 K54:K55 K60:K63 K69:K71 K73:K76 K78:K80 K85 K87:K88 K90 K95:K96 K99:K101 K103:K105 K107 K111:K112 K116:K117 K120:K122 K127:K128 K133:K134 K137:K139 K141 K144:K145 K147:K148">
    <cfRule type="containsBlanks" dxfId="152" priority="10">
      <formula>LEN(TRIM(K2))=0</formula>
    </cfRule>
  </conditionalFormatting>
  <conditionalFormatting sqref="D65:E66 G65:G66 J66:J67 E69:E71 E73:E76 E78:E81 E85 E87 E90:E92 E95:E97 E99:E100 E103:E104 E107:E109 E111:E113 E116:E118 E120:E124 E127:E131 E133:E134 E137:E139 E141:E142 E144 E147:E148">
    <cfRule type="containsBlanks" dxfId="151" priority="11" stopIfTrue="1">
      <formula>LEN(TRIM(D65))=0</formula>
    </cfRule>
  </conditionalFormatting>
  <conditionalFormatting sqref="K65:K67">
    <cfRule type="containsBlanks" dxfId="150" priority="12" stopIfTrue="1">
      <formula>LEN(TRIM(K65))=0</formula>
    </cfRule>
  </conditionalFormatting>
  <conditionalFormatting sqref="K97">
    <cfRule type="containsBlanks" dxfId="149" priority="13" stopIfTrue="1">
      <formula>LEN(TRIM(K97))=0</formula>
    </cfRule>
  </conditionalFormatting>
  <conditionalFormatting sqref="J108:K109 K111:K112 K116:K117 K120:K122 K127:K128 K133:K134 K137:K139 K141 K144:K145 K147:K148">
    <cfRule type="containsBlanks" dxfId="148" priority="14" stopIfTrue="1">
      <formula>LEN(TRIM(J108))=0</formula>
    </cfRule>
  </conditionalFormatting>
  <conditionalFormatting sqref="D113:E113 G113 J113 E115:E118 F115:G115 J115 E120:E124 E127:E131 E133:E134 E137:E139 E141:E142 E144 E147:E148">
    <cfRule type="containsBlanks" dxfId="147" priority="15" stopIfTrue="1">
      <formula>LEN(TRIM(D113))=0</formula>
    </cfRule>
  </conditionalFormatting>
  <conditionalFormatting sqref="K112 K116:K117 K120:K122 K127:K128 K133:K134 K137:K139 K141 K144:K145 K147:K148">
    <cfRule type="containsBlanks" dxfId="146" priority="16" stopIfTrue="1">
      <formula>LEN(TRIM(K112))=0</formula>
    </cfRule>
  </conditionalFormatting>
  <conditionalFormatting sqref="K113 K115">
    <cfRule type="containsBlanks" dxfId="145" priority="17" stopIfTrue="1">
      <formula>LEN(TRIM(K113))=0</formula>
    </cfRule>
  </conditionalFormatting>
  <conditionalFormatting sqref="K134 K136:K139 K141 K144:K145 K147:K148">
    <cfRule type="containsBlanks" dxfId="144" priority="18" stopIfTrue="1">
      <formula>LEN(TRIM(K134))=0</formula>
    </cfRule>
  </conditionalFormatting>
  <conditionalFormatting sqref="K144 K147:K149">
    <cfRule type="containsBlanks" dxfId="143" priority="19" stopIfTrue="1">
      <formula>LEN(TRIM(K144))=0</formula>
    </cfRule>
  </conditionalFormatting>
  <conditionalFormatting sqref="K8">
    <cfRule type="containsBlanks" dxfId="142" priority="20" stopIfTrue="1">
      <formula>LEN(TRIM(K8))=0</formula>
    </cfRule>
  </conditionalFormatting>
  <conditionalFormatting sqref="D13:D15 G13:G15 J14:J15 E17:F17 G17:G23 J17 L18:L27 N18:N23 G25:G28 N25:N27 L29:L31 E30:E33 G30:G33 E35:E46 G35:G46 L35:L38 N35:N38 E49 G49 L49:L51 N49 E51:E52 G51:G52 N51 E54:E58 G54:G58 L54:L55 N54:N55 E60:E66 L60:L63 E69:E71 L69:L71 E73:E76 L73:L74 E78:E81 L78:L80 E85 L85 E87 L87:L88 E90:E92 L90:L92 E95:E97 L95:L96 E99:E100 L99:L101 E103:E104 L103:L105 E107:E109 L107:L108 E111:E113 L111:L112 E116:E118 L116:L117 E120:E124 L120:L122 E127:E131 L127:L129 E133:E134 L133:L134 E137:E139 L137:L139 E141:E142 L141 E144 L144:L145 E147:E148 L147:L148">
    <cfRule type="containsBlanks" dxfId="141" priority="21" stopIfTrue="1">
      <formula>LEN(TRIM(D13))=0</formula>
    </cfRule>
  </conditionalFormatting>
  <conditionalFormatting sqref="K12 K14:K15 K17">
    <cfRule type="containsBlanks" dxfId="140" priority="22" stopIfTrue="1">
      <formula>LEN(TRIM(K12))=0</formula>
    </cfRule>
  </conditionalFormatting>
  <conditionalFormatting sqref="D21:D23 G21:G23 J21:J23 K23">
    <cfRule type="containsBlanks" dxfId="139" priority="23" stopIfTrue="1">
      <formula>LEN(TRIM(D21))=0</formula>
    </cfRule>
  </conditionalFormatting>
  <conditionalFormatting sqref="K20:K22">
    <cfRule type="containsBlanks" dxfId="138" priority="24" stopIfTrue="1">
      <formula>LEN(TRIM(K20))=0</formula>
    </cfRule>
  </conditionalFormatting>
  <conditionalFormatting sqref="D33:E33 G33 J33">
    <cfRule type="containsBlanks" dxfId="137" priority="25" stopIfTrue="1">
      <formula>LEN(TRIM(D33))=0</formula>
    </cfRule>
  </conditionalFormatting>
  <conditionalFormatting sqref="K32:K33">
    <cfRule type="containsBlanks" dxfId="136" priority="26" stopIfTrue="1">
      <formula>LEN(TRIM(K32))=0</formula>
    </cfRule>
  </conditionalFormatting>
  <conditionalFormatting sqref="D40:E46 G40:G46 J40:J46 E48:E49 F48 G48:G49 J48 L49:L51 N49 E51:E52 G51:G52 N51 E54:E58 G54:G58 L54:L55 N54:N55 E60:E66 L60:L63 E69:E71 L69:L71 E73:E76 L73:L74 E78:E81 L78:L80 E85 L85 E87 L87:L88 E90:E92 L90:L92 E95:E97 L95:L96 E99:E100 L99:L101 E103:E104 L103:L105 E107:E109 L107:L108 E111:E113 L111:L112 E116:E118 L116:L117 E120:E124 L120:L122 E127:E131 L127:L129 E133:E134 L133:L134 E137:E139 L137:L139 E141:E142 L141 E144 L144:L145 E147:E148 L147:L148">
    <cfRule type="containsBlanks" dxfId="135" priority="27" stopIfTrue="1">
      <formula>LEN(TRIM(D40))=0</formula>
    </cfRule>
  </conditionalFormatting>
  <conditionalFormatting sqref="K39:K46 K48">
    <cfRule type="containsBlanks" dxfId="134" priority="28" stopIfTrue="1">
      <formula>LEN(TRIM(K39))=0</formula>
    </cfRule>
  </conditionalFormatting>
  <conditionalFormatting sqref="D58:E58 G58 J58 E60:E66 E69:E71 E73:E76 E78:E81 E85 E87 E90:E92 E95:E97 E99:E100 E103:E104 E107:E109 E111:E113 E116:E118 E120:E124 E127:E131 E133:E134 E137:E139 E141:E142 E144 E147:E148">
    <cfRule type="containsBlanks" dxfId="133" priority="29" stopIfTrue="1">
      <formula>LEN(TRIM(D58))=0</formula>
    </cfRule>
  </conditionalFormatting>
  <conditionalFormatting sqref="K56:K58">
    <cfRule type="containsBlanks" dxfId="132" priority="30" stopIfTrue="1">
      <formula>LEN(TRIM(K56))=0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8FF00"/>
  </sheetPr>
  <dimension ref="A1:AG996"/>
  <sheetViews>
    <sheetView showGridLines="0" workbookViewId="0">
      <pane xSplit="2" ySplit="1" topLeftCell="C2" activePane="bottomRight" state="frozen"/>
      <selection pane="topRight" activeCell="C1" sqref="C1"/>
      <selection pane="bottomLeft" activeCell="A2" sqref="A2"/>
      <selection pane="bottomRight" activeCell="H2" sqref="H2:H5"/>
    </sheetView>
  </sheetViews>
  <sheetFormatPr baseColWidth="10" defaultColWidth="17.33203125" defaultRowHeight="15" customHeight="1"/>
  <cols>
    <col min="1" max="1" width="14" style="212" customWidth="1"/>
    <col min="2" max="2" width="16.6640625" style="212" customWidth="1"/>
    <col min="3" max="3" width="53.83203125" style="212" customWidth="1"/>
    <col min="4" max="4" width="5.5" style="398" customWidth="1"/>
    <col min="5" max="5" width="7.1640625" style="398" hidden="1" customWidth="1"/>
    <col min="6" max="7" width="5.5" style="398" hidden="1" customWidth="1"/>
    <col min="8" max="8" width="6.5" style="398" customWidth="1"/>
    <col min="9" max="9" width="7.83203125" style="212" customWidth="1"/>
    <col min="10" max="10" width="58.33203125" style="212" customWidth="1"/>
    <col min="11" max="11" width="5.83203125" customWidth="1"/>
    <col min="12" max="12" width="7.83203125" hidden="1" customWidth="1"/>
    <col min="13" max="13" width="5.5" hidden="1" customWidth="1"/>
    <col min="14" max="14" width="7" hidden="1" customWidth="1"/>
    <col min="15" max="15" width="8.1640625" style="212" customWidth="1"/>
    <col min="16" max="33" width="17.1640625" customWidth="1"/>
  </cols>
  <sheetData>
    <row r="1" spans="1:15" ht="21" customHeight="1">
      <c r="A1" s="70" t="s">
        <v>19</v>
      </c>
      <c r="B1" s="70" t="s">
        <v>21</v>
      </c>
      <c r="C1" s="24" t="s">
        <v>23</v>
      </c>
      <c r="D1" s="435" t="s">
        <v>25</v>
      </c>
      <c r="E1" s="436"/>
      <c r="F1" s="436"/>
      <c r="G1" s="436" t="s">
        <v>65</v>
      </c>
      <c r="H1" s="437" t="s">
        <v>42</v>
      </c>
      <c r="I1" s="33"/>
      <c r="J1" s="257" t="s">
        <v>29</v>
      </c>
      <c r="K1" s="26" t="s">
        <v>25</v>
      </c>
      <c r="L1" s="22"/>
      <c r="N1" s="132" t="s">
        <v>65</v>
      </c>
      <c r="O1" s="162"/>
    </row>
    <row r="2" spans="1:15" ht="18" customHeight="1">
      <c r="A2" s="486" t="s">
        <v>46</v>
      </c>
      <c r="B2" s="494" t="s">
        <v>60</v>
      </c>
      <c r="C2" s="277" t="str">
        <f>Glossary!B61</f>
        <v>Customer Roadmap</v>
      </c>
      <c r="D2" s="438"/>
      <c r="E2" s="439" t="b">
        <f t="shared" ref="E2:E13" si="0">IF(OR(D2="y",D2="n"), G2)</f>
        <v>0</v>
      </c>
      <c r="F2" s="440" t="str">
        <f t="shared" ref="F2:F13" si="1">IF(D2 = "Y",E2, IF(D2="n",0, ""))</f>
        <v/>
      </c>
      <c r="G2" s="441">
        <v>5</v>
      </c>
      <c r="H2" s="442"/>
      <c r="I2" s="162"/>
      <c r="J2" s="334" t="str">
        <f>Glossary!B104</f>
        <v>High Level Solution Design</v>
      </c>
      <c r="K2" s="401"/>
      <c r="L2" t="b">
        <f t="shared" ref="L2:L5" si="2">IF(OR(K2="y",K2="n"), N2)</f>
        <v>0</v>
      </c>
      <c r="M2" s="51" t="str">
        <f t="shared" ref="M2:M6" si="3">IF(K2 = "Y",L2, IF(K2="n",0, ""))</f>
        <v/>
      </c>
      <c r="N2" s="139">
        <v>25</v>
      </c>
      <c r="O2" s="162"/>
    </row>
    <row r="3" spans="1:15" ht="18" customHeight="1">
      <c r="A3" s="487"/>
      <c r="B3" s="487"/>
      <c r="C3" s="142" t="str">
        <f>Glossary!B202</f>
        <v>ROI expectations</v>
      </c>
      <c r="D3" s="443"/>
      <c r="E3" s="439" t="b">
        <f t="shared" si="0"/>
        <v>0</v>
      </c>
      <c r="F3" s="440" t="str">
        <f t="shared" si="1"/>
        <v/>
      </c>
      <c r="G3" s="440">
        <v>5</v>
      </c>
      <c r="H3" s="442"/>
      <c r="I3" s="162"/>
      <c r="J3" s="334" t="str">
        <f>Glossary!B11</f>
        <v>Architecture Draft</v>
      </c>
      <c r="K3" s="401"/>
      <c r="L3" t="b">
        <f t="shared" si="2"/>
        <v>0</v>
      </c>
      <c r="M3" s="51" t="str">
        <f t="shared" si="3"/>
        <v/>
      </c>
      <c r="N3" s="139">
        <v>25</v>
      </c>
      <c r="O3" s="162"/>
    </row>
    <row r="4" spans="1:15" ht="17.25" customHeight="1">
      <c r="A4" s="487"/>
      <c r="B4" s="487"/>
      <c r="C4" s="277" t="str">
        <f>Glossary!B184</f>
        <v>Project Scope Document</v>
      </c>
      <c r="D4" s="444"/>
      <c r="E4" s="439" t="b">
        <f t="shared" si="0"/>
        <v>0</v>
      </c>
      <c r="F4" s="440" t="str">
        <f t="shared" si="1"/>
        <v/>
      </c>
      <c r="G4" s="440">
        <v>10</v>
      </c>
      <c r="H4" s="442"/>
      <c r="I4" s="162"/>
      <c r="J4" s="334" t="str">
        <f>Glossary!B101</f>
        <v>Hardware Estimates</v>
      </c>
      <c r="K4" s="401"/>
      <c r="L4" t="b">
        <f t="shared" si="2"/>
        <v>0</v>
      </c>
      <c r="M4" s="51" t="str">
        <f t="shared" si="3"/>
        <v/>
      </c>
      <c r="N4" s="139">
        <v>25</v>
      </c>
      <c r="O4" s="162"/>
    </row>
    <row r="5" spans="1:15" ht="16.5" customHeight="1">
      <c r="A5" s="487"/>
      <c r="B5" s="487"/>
      <c r="C5" s="295" t="str">
        <f>Glossary!B88</f>
        <v>External System &amp; User dependencies / System Context</v>
      </c>
      <c r="D5" s="446"/>
      <c r="E5" s="439" t="b">
        <f t="shared" si="0"/>
        <v>0</v>
      </c>
      <c r="F5" s="440" t="str">
        <f t="shared" si="1"/>
        <v/>
      </c>
      <c r="G5" s="440">
        <v>10</v>
      </c>
      <c r="H5" s="442"/>
      <c r="I5" s="162"/>
      <c r="J5" s="334" t="str">
        <f>Glossary!B166</f>
        <v>Performance KPIs</v>
      </c>
      <c r="K5" s="401"/>
      <c r="L5" t="b">
        <f t="shared" si="2"/>
        <v>0</v>
      </c>
      <c r="M5" s="51" t="str">
        <f t="shared" si="3"/>
        <v/>
      </c>
      <c r="N5" s="139">
        <v>25</v>
      </c>
      <c r="O5" s="162"/>
    </row>
    <row r="6" spans="1:15" ht="16.5" customHeight="1">
      <c r="A6" s="487"/>
      <c r="B6" s="487"/>
      <c r="C6" s="295" t="str">
        <f>Glossary!B89</f>
        <v>Existing Systems Map</v>
      </c>
      <c r="D6" s="446"/>
      <c r="E6" s="439" t="b">
        <f t="shared" si="0"/>
        <v>0</v>
      </c>
      <c r="F6" s="440" t="str">
        <f t="shared" si="1"/>
        <v/>
      </c>
      <c r="G6" s="440">
        <v>10</v>
      </c>
      <c r="H6" s="442"/>
      <c r="I6" s="162"/>
      <c r="J6" s="162"/>
      <c r="K6" s="37"/>
      <c r="M6" s="51" t="str">
        <f t="shared" si="3"/>
        <v/>
      </c>
      <c r="N6" s="139"/>
      <c r="O6" s="162"/>
    </row>
    <row r="7" spans="1:15" ht="16.5" customHeight="1">
      <c r="A7" s="487"/>
      <c r="B7" s="487"/>
      <c r="C7" s="277" t="str">
        <f>Glossary!B86</f>
        <v>Experience Designs Requirements</v>
      </c>
      <c r="D7" s="445"/>
      <c r="E7" s="439" t="b">
        <f t="shared" si="0"/>
        <v>0</v>
      </c>
      <c r="F7" s="440" t="str">
        <f t="shared" si="1"/>
        <v/>
      </c>
      <c r="G7" s="440">
        <v>5</v>
      </c>
      <c r="H7" s="442"/>
      <c r="I7" s="162"/>
      <c r="J7" s="162"/>
      <c r="K7" s="37"/>
      <c r="L7" s="51"/>
      <c r="M7" s="51"/>
      <c r="O7" s="162"/>
    </row>
    <row r="8" spans="1:15" ht="16.5" customHeight="1">
      <c r="A8" s="487"/>
      <c r="B8" s="487"/>
      <c r="C8" s="277" t="str">
        <f>Glossary!B34</f>
        <v>Business Requirements Documentation</v>
      </c>
      <c r="D8" s="445"/>
      <c r="E8" s="439" t="b">
        <f t="shared" si="0"/>
        <v>0</v>
      </c>
      <c r="F8" s="440" t="str">
        <f t="shared" si="1"/>
        <v/>
      </c>
      <c r="G8" s="440">
        <v>15</v>
      </c>
      <c r="H8" s="442"/>
      <c r="I8" s="162"/>
      <c r="J8" s="162"/>
      <c r="K8" s="37"/>
      <c r="O8" s="162"/>
    </row>
    <row r="9" spans="1:15" ht="18.75" customHeight="1">
      <c r="A9" s="487"/>
      <c r="B9" s="487"/>
      <c r="C9" s="277" t="str">
        <f>Glossary!B245</f>
        <v>Technical Requirements</v>
      </c>
      <c r="D9" s="445"/>
      <c r="E9" s="439" t="b">
        <f t="shared" si="0"/>
        <v>0</v>
      </c>
      <c r="F9" s="440" t="str">
        <f t="shared" si="1"/>
        <v/>
      </c>
      <c r="G9" s="440">
        <v>20</v>
      </c>
      <c r="H9" s="442"/>
      <c r="I9" s="162"/>
      <c r="J9" s="162"/>
      <c r="K9" s="37"/>
      <c r="O9" s="162"/>
    </row>
    <row r="10" spans="1:15" ht="18.75" customHeight="1">
      <c r="A10" s="487"/>
      <c r="B10" s="487"/>
      <c r="C10" s="277" t="str">
        <f>Glossary!B50</f>
        <v>Customer Security Policies</v>
      </c>
      <c r="D10" s="445"/>
      <c r="E10" s="439" t="b">
        <f t="shared" si="0"/>
        <v>0</v>
      </c>
      <c r="F10" s="440" t="str">
        <f t="shared" si="1"/>
        <v/>
      </c>
      <c r="G10" s="440">
        <v>10</v>
      </c>
      <c r="H10" s="442"/>
      <c r="I10" s="162"/>
      <c r="J10" s="162"/>
      <c r="K10" s="37"/>
      <c r="O10" s="162"/>
    </row>
    <row r="11" spans="1:15" ht="16.5" customHeight="1">
      <c r="A11" s="487"/>
      <c r="B11" s="487"/>
      <c r="C11" s="295" t="str">
        <f>Glossary!B211</f>
        <v>Security Concept</v>
      </c>
      <c r="D11" s="445"/>
      <c r="E11" s="439" t="b">
        <f t="shared" si="0"/>
        <v>0</v>
      </c>
      <c r="F11" s="440" t="str">
        <f t="shared" si="1"/>
        <v/>
      </c>
      <c r="G11" s="440">
        <v>10</v>
      </c>
      <c r="H11" s="442"/>
      <c r="I11" s="162"/>
      <c r="J11" s="162"/>
      <c r="K11" s="37"/>
      <c r="O11" s="162"/>
    </row>
    <row r="12" spans="1:15" ht="16.5" customHeight="1">
      <c r="A12" s="487"/>
      <c r="B12" s="487"/>
      <c r="C12" s="295" t="str">
        <f>Glossary!B107</f>
        <v xml:space="preserve">Historical performance and historical performance KPIs </v>
      </c>
      <c r="D12" s="445"/>
      <c r="E12" s="439" t="b">
        <f t="shared" si="0"/>
        <v>0</v>
      </c>
      <c r="F12" s="440" t="str">
        <f t="shared" si="1"/>
        <v/>
      </c>
      <c r="G12" s="440">
        <v>10</v>
      </c>
      <c r="H12" s="442"/>
      <c r="I12" s="162"/>
      <c r="J12" s="162"/>
      <c r="K12" s="37"/>
      <c r="O12" s="162"/>
    </row>
    <row r="13" spans="1:15" ht="16.5" customHeight="1">
      <c r="A13" s="487"/>
      <c r="B13" s="487"/>
      <c r="C13" s="154" t="str">
        <f>Glossary!B233</f>
        <v>Success criteria and definition</v>
      </c>
      <c r="D13" s="445"/>
      <c r="E13" s="439" t="b">
        <f t="shared" si="0"/>
        <v>0</v>
      </c>
      <c r="F13" s="440" t="str">
        <f t="shared" si="1"/>
        <v/>
      </c>
      <c r="G13" s="440">
        <v>10</v>
      </c>
      <c r="H13" s="442"/>
      <c r="I13" s="162"/>
      <c r="J13" s="162"/>
      <c r="K13" s="37"/>
      <c r="O13" s="162"/>
    </row>
    <row r="14" spans="1:15" ht="16.5" customHeight="1">
      <c r="A14" s="487"/>
      <c r="B14" s="487"/>
      <c r="C14" s="156"/>
      <c r="D14" s="403"/>
      <c r="E14" s="403"/>
      <c r="F14" s="403"/>
      <c r="G14" s="403"/>
      <c r="H14" s="403"/>
      <c r="I14" s="157"/>
      <c r="J14" s="157"/>
      <c r="K14" s="157"/>
      <c r="O14" s="162"/>
    </row>
    <row r="15" spans="1:15" ht="15" hidden="1" customHeight="1">
      <c r="A15" s="487"/>
      <c r="B15" s="487"/>
      <c r="C15" s="86"/>
      <c r="D15" s="398">
        <f>COUNTA(K2:K5,D2:D13)/COUNTA(F2:F13,M2:M5)</f>
        <v>0</v>
      </c>
      <c r="E15" s="398">
        <f t="shared" ref="E15:F15" si="4">SUM(E2:E13)</f>
        <v>0</v>
      </c>
      <c r="F15" s="398">
        <f t="shared" si="4"/>
        <v>0</v>
      </c>
      <c r="H15" s="400" t="str">
        <f>IFERROR(AVERAGE(H2:H13),"")</f>
        <v/>
      </c>
      <c r="I15" s="162"/>
      <c r="J15" s="159"/>
      <c r="L15">
        <f>SUM(L2:L12)</f>
        <v>0</v>
      </c>
      <c r="M15">
        <f>SUM(M2:M11)</f>
        <v>0</v>
      </c>
      <c r="O15" s="162"/>
    </row>
    <row r="16" spans="1:15" ht="16.5" customHeight="1">
      <c r="A16" s="468" t="s">
        <v>47</v>
      </c>
      <c r="B16" s="472" t="s">
        <v>70</v>
      </c>
      <c r="C16" s="230" t="str">
        <f>Glossary!B107</f>
        <v xml:space="preserve">Historical performance and historical performance KPIs </v>
      </c>
      <c r="D16" s="402"/>
      <c r="E16" s="398" t="b">
        <f t="shared" ref="E16:E23" si="5">IF(OR(D16="y",D16="n"), G16)</f>
        <v>0</v>
      </c>
      <c r="F16" s="399" t="str">
        <f t="shared" ref="F16:F23" si="6">IF(D16 = "Y",E16, IF(D16="n",0, ""))</f>
        <v/>
      </c>
      <c r="G16" s="399">
        <v>20</v>
      </c>
      <c r="H16" s="400"/>
      <c r="I16" s="162"/>
      <c r="J16" s="230" t="str">
        <f>Glossary!B166</f>
        <v>Performance KPIs</v>
      </c>
      <c r="K16" s="455"/>
      <c r="L16" t="b">
        <f t="shared" ref="L16:L18" si="7">IF(OR(K16="y",K16="n"), N16)</f>
        <v>0</v>
      </c>
      <c r="M16" s="51" t="str">
        <f t="shared" ref="M16:M18" si="8">IF(K16 = "Y",L16, IF(K16="n",0, ""))</f>
        <v/>
      </c>
      <c r="N16" s="139">
        <v>35</v>
      </c>
      <c r="O16" s="162"/>
    </row>
    <row r="17" spans="1:15" ht="16.5" customHeight="1">
      <c r="A17" s="469"/>
      <c r="B17" s="469"/>
      <c r="C17" s="314" t="str">
        <f>Glossary!B202</f>
        <v>ROI expectations</v>
      </c>
      <c r="D17" s="402"/>
      <c r="E17" s="398" t="b">
        <f t="shared" si="5"/>
        <v>0</v>
      </c>
      <c r="F17" s="399" t="str">
        <f t="shared" si="6"/>
        <v/>
      </c>
      <c r="G17" s="399">
        <v>5</v>
      </c>
      <c r="H17" s="400"/>
      <c r="I17" s="162"/>
      <c r="J17" s="230" t="str">
        <f>Glossary!B185</f>
        <v>Proof of Concept (POC)</v>
      </c>
      <c r="K17" s="455"/>
      <c r="L17" t="b">
        <f t="shared" si="7"/>
        <v>0</v>
      </c>
      <c r="M17" s="51" t="str">
        <f t="shared" si="8"/>
        <v/>
      </c>
      <c r="N17" s="139">
        <v>45</v>
      </c>
      <c r="O17" s="162"/>
    </row>
    <row r="18" spans="1:15" ht="16.5" customHeight="1">
      <c r="A18" s="469"/>
      <c r="B18" s="469"/>
      <c r="C18" s="64" t="str">
        <f>Glossary!B127</f>
        <v>Initial Experience Designs</v>
      </c>
      <c r="D18" s="402"/>
      <c r="E18" s="398" t="b">
        <f t="shared" si="5"/>
        <v>0</v>
      </c>
      <c r="F18" s="399" t="str">
        <f t="shared" si="6"/>
        <v/>
      </c>
      <c r="G18" s="399">
        <v>5</v>
      </c>
      <c r="H18" s="400"/>
      <c r="I18" s="162"/>
      <c r="J18" s="170" t="str">
        <f>Glossary!B181</f>
        <v>Project efforts initial estimates</v>
      </c>
      <c r="K18" s="456"/>
      <c r="L18" t="b">
        <f t="shared" si="7"/>
        <v>0</v>
      </c>
      <c r="M18" s="51" t="str">
        <f t="shared" si="8"/>
        <v/>
      </c>
      <c r="N18" s="139">
        <v>20</v>
      </c>
      <c r="O18" s="162"/>
    </row>
    <row r="19" spans="1:15" ht="16.5" customHeight="1">
      <c r="A19" s="469"/>
      <c r="B19" s="469"/>
      <c r="C19" s="64" t="str">
        <f>Glossary!B34</f>
        <v>Business Requirements Documentation</v>
      </c>
      <c r="D19" s="402"/>
      <c r="E19" s="398" t="b">
        <f t="shared" si="5"/>
        <v>0</v>
      </c>
      <c r="F19" s="399" t="str">
        <f t="shared" si="6"/>
        <v/>
      </c>
      <c r="G19" s="399">
        <v>20</v>
      </c>
      <c r="H19" s="400"/>
      <c r="I19" s="162"/>
      <c r="J19" s="67"/>
      <c r="K19" s="66"/>
      <c r="L19" s="167"/>
      <c r="M19" s="168"/>
      <c r="O19" s="162"/>
    </row>
    <row r="20" spans="1:15" ht="16.5" customHeight="1">
      <c r="A20" s="469"/>
      <c r="B20" s="469"/>
      <c r="C20" s="64" t="str">
        <f>Glossary!B245</f>
        <v>Technical Requirements</v>
      </c>
      <c r="D20" s="402"/>
      <c r="E20" s="398" t="b">
        <f t="shared" si="5"/>
        <v>0</v>
      </c>
      <c r="F20" s="399" t="str">
        <f t="shared" si="6"/>
        <v/>
      </c>
      <c r="G20" s="399">
        <v>20</v>
      </c>
      <c r="H20" s="400"/>
      <c r="I20" s="162"/>
      <c r="J20" s="67"/>
      <c r="K20" s="66"/>
      <c r="L20" s="167"/>
      <c r="M20" s="168"/>
      <c r="O20" s="162"/>
    </row>
    <row r="21" spans="1:15" ht="16.5" customHeight="1">
      <c r="A21" s="469"/>
      <c r="B21" s="469"/>
      <c r="C21" s="64" t="str">
        <f>Glossary!B104</f>
        <v>High Level Solution Design</v>
      </c>
      <c r="D21" s="402"/>
      <c r="E21" s="398" t="b">
        <f t="shared" si="5"/>
        <v>0</v>
      </c>
      <c r="F21" s="399" t="str">
        <f t="shared" si="6"/>
        <v/>
      </c>
      <c r="G21" s="399">
        <v>20</v>
      </c>
      <c r="H21" s="400"/>
      <c r="I21" s="162"/>
      <c r="J21" s="67"/>
      <c r="K21" s="66"/>
      <c r="L21" s="167"/>
      <c r="M21" s="168"/>
      <c r="O21" s="162"/>
    </row>
    <row r="22" spans="1:15" ht="16.5" customHeight="1">
      <c r="A22" s="469"/>
      <c r="B22" s="469"/>
      <c r="C22" s="64" t="str">
        <f>Glossary!B11</f>
        <v>Architecture Draft</v>
      </c>
      <c r="D22" s="402"/>
      <c r="E22" s="398" t="b">
        <f t="shared" si="5"/>
        <v>0</v>
      </c>
      <c r="F22" s="399" t="str">
        <f t="shared" si="6"/>
        <v/>
      </c>
      <c r="G22" s="399">
        <v>15</v>
      </c>
      <c r="H22" s="400"/>
      <c r="I22" s="162"/>
      <c r="J22" s="67"/>
      <c r="K22" s="66"/>
      <c r="L22" s="167"/>
      <c r="M22" s="168"/>
      <c r="O22" s="162"/>
    </row>
    <row r="23" spans="1:15" ht="16.5" customHeight="1">
      <c r="A23" s="469"/>
      <c r="B23" s="469"/>
      <c r="C23" s="64" t="str">
        <f>Glossary!B101</f>
        <v>Hardware Estimates</v>
      </c>
      <c r="D23" s="402"/>
      <c r="E23" s="398" t="b">
        <f t="shared" si="5"/>
        <v>0</v>
      </c>
      <c r="F23" s="399" t="str">
        <f t="shared" si="6"/>
        <v/>
      </c>
      <c r="G23" s="404">
        <v>15</v>
      </c>
      <c r="H23" s="400"/>
      <c r="I23" s="162"/>
      <c r="J23" s="67"/>
      <c r="K23" s="66"/>
      <c r="L23" s="167"/>
      <c r="M23" s="168"/>
      <c r="O23" s="162"/>
    </row>
    <row r="24" spans="1:15" ht="16.5" customHeight="1">
      <c r="A24" s="469"/>
      <c r="B24" s="478"/>
      <c r="C24" s="67"/>
      <c r="D24" s="405"/>
      <c r="E24" s="405"/>
      <c r="F24" s="405"/>
      <c r="G24" s="405"/>
      <c r="H24" s="405"/>
      <c r="I24" s="171"/>
      <c r="J24" s="67"/>
      <c r="K24" s="66"/>
      <c r="L24" s="167"/>
      <c r="M24" s="167"/>
      <c r="O24" s="162"/>
    </row>
    <row r="25" spans="1:15" ht="16.5" customHeight="1">
      <c r="A25" s="469"/>
      <c r="B25" s="472" t="s">
        <v>73</v>
      </c>
      <c r="C25" s="230" t="str">
        <f>Glossary!B200</f>
        <v>Risk Assessment</v>
      </c>
      <c r="D25" s="402"/>
      <c r="E25" s="398" t="b">
        <f t="shared" ref="E25:E29" si="9">IF(OR(D25="y",D25="n"), G25)</f>
        <v>0</v>
      </c>
      <c r="F25" s="399" t="str">
        <f t="shared" ref="F25:F29" si="10">IF(D25 = "Y",E25, IF(D25="n",0, ""))</f>
        <v/>
      </c>
      <c r="G25" s="404">
        <v>30</v>
      </c>
      <c r="H25" s="400"/>
      <c r="I25" s="162"/>
      <c r="J25" s="230" t="str">
        <f>Glossary!B244</f>
        <v>Technical risk factors verified</v>
      </c>
      <c r="K25" s="455"/>
      <c r="L25" t="b">
        <f t="shared" ref="L25:L28" si="11">IF(OR(K25="y",K25="n"), N25)</f>
        <v>0</v>
      </c>
      <c r="M25" s="51" t="str">
        <f t="shared" ref="M25:M28" si="12">IF(K25 = "Y",L25, IF(K25="n",0, ""))</f>
        <v/>
      </c>
      <c r="N25" s="139">
        <v>20</v>
      </c>
      <c r="O25" s="162"/>
    </row>
    <row r="26" spans="1:15" ht="28">
      <c r="A26" s="469"/>
      <c r="B26" s="469"/>
      <c r="C26" s="303" t="str">
        <f>Glossary!B110</f>
        <v>Identify critical key solutions/functionalities</v>
      </c>
      <c r="D26" s="402"/>
      <c r="E26" s="398" t="b">
        <f t="shared" si="9"/>
        <v>0</v>
      </c>
      <c r="F26" s="399" t="str">
        <f t="shared" si="10"/>
        <v/>
      </c>
      <c r="G26" s="399">
        <v>30</v>
      </c>
      <c r="H26" s="400"/>
      <c r="I26" s="162"/>
      <c r="J26" s="230" t="str">
        <f>Glossary!B35</f>
        <v>Business sign off on any required adjustments to the solution or architecture identified and aligned against ROI and KPI expectations</v>
      </c>
      <c r="K26" s="456"/>
      <c r="L26" t="b">
        <f t="shared" si="11"/>
        <v>0</v>
      </c>
      <c r="M26" s="51" t="str">
        <f t="shared" si="12"/>
        <v/>
      </c>
      <c r="N26" s="139">
        <v>25</v>
      </c>
      <c r="O26" s="162"/>
    </row>
    <row r="27" spans="1:15" ht="16.5" customHeight="1">
      <c r="A27" s="469"/>
      <c r="B27" s="469"/>
      <c r="C27" s="140" t="str">
        <f>Glossary!B245</f>
        <v>Technical Requirements</v>
      </c>
      <c r="D27" s="402"/>
      <c r="E27" s="398" t="b">
        <f t="shared" si="9"/>
        <v>0</v>
      </c>
      <c r="F27" s="399" t="str">
        <f t="shared" si="10"/>
        <v/>
      </c>
      <c r="G27" s="399">
        <v>20</v>
      </c>
      <c r="H27" s="400"/>
      <c r="I27" s="162"/>
      <c r="J27" s="161" t="str">
        <f>Glossary!B186</f>
        <v>POC tested and verified against Requirement Documentation</v>
      </c>
      <c r="K27" s="455"/>
      <c r="L27" t="b">
        <f t="shared" si="11"/>
        <v>0</v>
      </c>
      <c r="M27" s="51" t="str">
        <f t="shared" si="12"/>
        <v/>
      </c>
      <c r="N27" s="139">
        <v>30</v>
      </c>
      <c r="O27" s="162"/>
    </row>
    <row r="28" spans="1:15" ht="16.5" customHeight="1">
      <c r="A28" s="469"/>
      <c r="B28" s="469"/>
      <c r="C28" s="161" t="str">
        <f>Glossary!B185</f>
        <v>Proof of Concept (POC)</v>
      </c>
      <c r="D28" s="406"/>
      <c r="E28" s="398" t="b">
        <f t="shared" si="9"/>
        <v>0</v>
      </c>
      <c r="F28" s="399" t="str">
        <f t="shared" si="10"/>
        <v/>
      </c>
      <c r="G28" s="399">
        <v>20</v>
      </c>
      <c r="H28" s="407"/>
      <c r="I28" s="162"/>
      <c r="J28" s="178" t="str">
        <f>Glossary!B201</f>
        <v>Risk Mitigation Plan</v>
      </c>
      <c r="K28" s="455"/>
      <c r="L28" t="b">
        <f t="shared" si="11"/>
        <v>0</v>
      </c>
      <c r="M28" s="51" t="str">
        <f t="shared" si="12"/>
        <v/>
      </c>
      <c r="N28" s="139">
        <v>35</v>
      </c>
      <c r="O28" s="162"/>
    </row>
    <row r="29" spans="1:15" ht="16.5" customHeight="1">
      <c r="A29" s="469"/>
      <c r="B29" s="469"/>
      <c r="C29" s="230" t="str">
        <f>Glossary!B239</f>
        <v>System risk factors identified and verified</v>
      </c>
      <c r="D29" s="402"/>
      <c r="E29" s="408" t="b">
        <f t="shared" si="9"/>
        <v>0</v>
      </c>
      <c r="F29" s="404" t="str">
        <f t="shared" si="10"/>
        <v/>
      </c>
      <c r="G29" s="404">
        <v>25</v>
      </c>
      <c r="H29" s="400"/>
      <c r="I29" s="162"/>
      <c r="J29" s="162"/>
      <c r="K29" s="56"/>
      <c r="M29" s="51"/>
      <c r="N29" s="139"/>
      <c r="O29" s="162"/>
    </row>
    <row r="30" spans="1:15" ht="16.5" customHeight="1">
      <c r="A30" s="469"/>
      <c r="B30" s="470"/>
      <c r="C30" s="233"/>
      <c r="D30" s="409"/>
      <c r="E30" s="409"/>
      <c r="F30" s="409"/>
      <c r="G30" s="409"/>
      <c r="H30" s="409"/>
      <c r="I30" s="217"/>
      <c r="J30" s="195"/>
      <c r="K30" s="164"/>
      <c r="L30" s="139"/>
      <c r="M30" s="51"/>
      <c r="O30" s="162"/>
    </row>
    <row r="31" spans="1:15" ht="16.5" customHeight="1">
      <c r="A31" s="469"/>
      <c r="B31" s="481" t="s">
        <v>76</v>
      </c>
      <c r="C31" s="303" t="str">
        <f>Glossary!B61</f>
        <v>Customer Roadmap</v>
      </c>
      <c r="D31" s="410"/>
      <c r="E31" s="398" t="b">
        <f t="shared" ref="E31:E42" si="13">IF(OR(D31="y",D31="n"), G31)</f>
        <v>0</v>
      </c>
      <c r="F31" s="399" t="str">
        <f t="shared" ref="F31:F42" si="14">IF(D31 = "Y",E31, IF(D31="n",0, ""))</f>
        <v/>
      </c>
      <c r="G31" s="399">
        <v>5</v>
      </c>
      <c r="H31" s="411"/>
      <c r="I31" s="162"/>
      <c r="J31" s="230" t="str">
        <f>Glossary!B268</f>
        <v>Understands scope of project and expectations</v>
      </c>
      <c r="K31" s="402"/>
      <c r="L31" t="b">
        <f t="shared" ref="L31:L36" si="15">IF(OR(K31="y",K31="n"), N31)</f>
        <v>0</v>
      </c>
      <c r="M31" s="51" t="str">
        <f t="shared" ref="M31:M36" si="16">IF(K31 = "Y",L31, IF(K31="n",0, ""))</f>
        <v/>
      </c>
      <c r="N31" s="139">
        <v>20</v>
      </c>
      <c r="O31" s="162"/>
    </row>
    <row r="32" spans="1:15" ht="16.5" customHeight="1">
      <c r="A32" s="469"/>
      <c r="B32" s="469"/>
      <c r="C32" s="230" t="str">
        <f>Glossary!B184</f>
        <v>Project Scope Document</v>
      </c>
      <c r="D32" s="402"/>
      <c r="E32" s="398" t="b">
        <f t="shared" si="13"/>
        <v>0</v>
      </c>
      <c r="F32" s="399" t="str">
        <f t="shared" si="14"/>
        <v/>
      </c>
      <c r="G32" s="399">
        <v>5</v>
      </c>
      <c r="H32" s="400"/>
      <c r="I32" s="162"/>
      <c r="J32" s="230" t="str">
        <f>Glossary!B102</f>
        <v>Hardware will be available to fullfil requirements</v>
      </c>
      <c r="K32" s="402"/>
      <c r="L32" t="b">
        <f t="shared" si="15"/>
        <v>0</v>
      </c>
      <c r="M32" s="51" t="str">
        <f t="shared" si="16"/>
        <v/>
      </c>
      <c r="N32" s="139">
        <v>30</v>
      </c>
      <c r="O32" s="162"/>
    </row>
    <row r="33" spans="1:15" ht="16.5" customHeight="1">
      <c r="A33" s="469"/>
      <c r="B33" s="469"/>
      <c r="C33" s="230" t="str">
        <f>Glossary!B202</f>
        <v>ROI expectations</v>
      </c>
      <c r="D33" s="402"/>
      <c r="E33" s="398" t="b">
        <f t="shared" si="13"/>
        <v>0</v>
      </c>
      <c r="F33" s="399" t="str">
        <f t="shared" si="14"/>
        <v/>
      </c>
      <c r="G33" s="399">
        <v>5</v>
      </c>
      <c r="H33" s="400"/>
      <c r="I33" s="162"/>
      <c r="J33" s="454" t="str">
        <f>Glossary!B9</f>
        <v>Agreement on KPI's, defined as goals for the project</v>
      </c>
      <c r="K33" s="402"/>
      <c r="L33" t="b">
        <f t="shared" si="15"/>
        <v>0</v>
      </c>
      <c r="M33" s="51" t="str">
        <f t="shared" si="16"/>
        <v/>
      </c>
      <c r="N33" s="139">
        <v>30</v>
      </c>
      <c r="O33" s="162"/>
    </row>
    <row r="34" spans="1:15" ht="16.5" customHeight="1">
      <c r="A34" s="469"/>
      <c r="B34" s="469"/>
      <c r="C34" s="230" t="str">
        <f>Glossary!B127</f>
        <v>Initial Experience Designs</v>
      </c>
      <c r="D34" s="402"/>
      <c r="E34" s="398" t="b">
        <f t="shared" si="13"/>
        <v>0</v>
      </c>
      <c r="F34" s="399" t="str">
        <f t="shared" si="14"/>
        <v/>
      </c>
      <c r="G34" s="399">
        <v>5</v>
      </c>
      <c r="H34" s="400"/>
      <c r="I34" s="162"/>
      <c r="J34" s="230" t="str">
        <f>Glossary!B229</f>
        <v>Stakeholders</v>
      </c>
      <c r="K34" s="402"/>
      <c r="L34" t="b">
        <f t="shared" si="15"/>
        <v>0</v>
      </c>
      <c r="M34" s="51" t="str">
        <f t="shared" si="16"/>
        <v/>
      </c>
      <c r="N34" s="139">
        <v>20</v>
      </c>
      <c r="O34" s="162"/>
    </row>
    <row r="35" spans="1:15" ht="16.5" customHeight="1">
      <c r="A35" s="469"/>
      <c r="B35" s="469"/>
      <c r="C35" s="230" t="str">
        <f>Glossary!B198</f>
        <v>Requirements Documentation</v>
      </c>
      <c r="D35" s="402"/>
      <c r="E35" s="398" t="b">
        <f t="shared" si="13"/>
        <v>0</v>
      </c>
      <c r="F35" s="399" t="str">
        <f t="shared" si="14"/>
        <v/>
      </c>
      <c r="G35" s="399">
        <v>10</v>
      </c>
      <c r="H35" s="400"/>
      <c r="I35" s="162"/>
      <c r="J35" s="230" t="str">
        <f>Glossary!B27</f>
        <v>Aware of communication plan</v>
      </c>
      <c r="K35" s="402"/>
      <c r="L35" t="b">
        <f t="shared" si="15"/>
        <v>0</v>
      </c>
      <c r="M35" s="51" t="str">
        <f t="shared" si="16"/>
        <v/>
      </c>
      <c r="N35" s="139">
        <v>10</v>
      </c>
      <c r="O35" s="162"/>
    </row>
    <row r="36" spans="1:15" ht="16.5" customHeight="1">
      <c r="A36" s="469"/>
      <c r="B36" s="469"/>
      <c r="C36" s="230" t="str">
        <f>Glossary!B104</f>
        <v>High Level Solution Design</v>
      </c>
      <c r="D36" s="402"/>
      <c r="E36" s="398" t="b">
        <f t="shared" si="13"/>
        <v>0</v>
      </c>
      <c r="F36" s="399" t="str">
        <f t="shared" si="14"/>
        <v/>
      </c>
      <c r="G36" s="399">
        <v>20</v>
      </c>
      <c r="H36" s="400"/>
      <c r="I36" s="162"/>
      <c r="J36" s="334" t="str">
        <f>Glossary!B28</f>
        <v>Aware of success definitions and criteria</v>
      </c>
      <c r="K36" s="402"/>
      <c r="L36" t="b">
        <f t="shared" si="15"/>
        <v>0</v>
      </c>
      <c r="M36" s="51" t="str">
        <f t="shared" si="16"/>
        <v/>
      </c>
      <c r="N36" s="139">
        <v>15</v>
      </c>
      <c r="O36" s="162"/>
    </row>
    <row r="37" spans="1:15" ht="16.5" customHeight="1">
      <c r="A37" s="469"/>
      <c r="B37" s="469"/>
      <c r="C37" s="230" t="str">
        <f>Glossary!B11</f>
        <v>Architecture Draft</v>
      </c>
      <c r="D37" s="402"/>
      <c r="E37" s="398" t="b">
        <f t="shared" si="13"/>
        <v>0</v>
      </c>
      <c r="F37" s="399" t="str">
        <f t="shared" si="14"/>
        <v/>
      </c>
      <c r="G37" s="399">
        <v>20</v>
      </c>
      <c r="H37" s="400"/>
      <c r="I37" s="162"/>
      <c r="J37" s="305"/>
      <c r="K37" s="92"/>
      <c r="M37" s="85"/>
      <c r="O37" s="162"/>
    </row>
    <row r="38" spans="1:15" ht="16.5" customHeight="1">
      <c r="A38" s="469"/>
      <c r="B38" s="469"/>
      <c r="C38" s="230" t="str">
        <f>Glossary!B101</f>
        <v>Hardware Estimates</v>
      </c>
      <c r="D38" s="402"/>
      <c r="E38" s="398" t="b">
        <f t="shared" si="13"/>
        <v>0</v>
      </c>
      <c r="F38" s="399" t="str">
        <f t="shared" si="14"/>
        <v/>
      </c>
      <c r="G38" s="399">
        <v>10</v>
      </c>
      <c r="H38" s="400"/>
      <c r="I38" s="162"/>
      <c r="J38" s="305"/>
      <c r="K38" s="92"/>
      <c r="M38" s="85"/>
      <c r="O38" s="162"/>
    </row>
    <row r="39" spans="1:15" ht="16.5" customHeight="1">
      <c r="A39" s="469"/>
      <c r="B39" s="469"/>
      <c r="C39" s="230" t="str">
        <f>Glossary!B166</f>
        <v>Performance KPIs</v>
      </c>
      <c r="D39" s="402"/>
      <c r="E39" s="398" t="b">
        <f t="shared" si="13"/>
        <v>0</v>
      </c>
      <c r="F39" s="399" t="str">
        <f t="shared" si="14"/>
        <v/>
      </c>
      <c r="G39" s="399">
        <v>10</v>
      </c>
      <c r="H39" s="400"/>
      <c r="I39" s="162"/>
      <c r="J39" s="305"/>
      <c r="K39" s="92"/>
      <c r="M39" s="85"/>
      <c r="O39" s="162"/>
    </row>
    <row r="40" spans="1:15" ht="16.5" customHeight="1">
      <c r="A40" s="469"/>
      <c r="B40" s="469"/>
      <c r="C40" s="230" t="str">
        <f>Glossary!B264</f>
        <v>Timeline and Milestones</v>
      </c>
      <c r="D40" s="402"/>
      <c r="E40" s="398" t="b">
        <f t="shared" si="13"/>
        <v>0</v>
      </c>
      <c r="F40" s="399" t="str">
        <f t="shared" si="14"/>
        <v/>
      </c>
      <c r="G40" s="399">
        <v>5</v>
      </c>
      <c r="H40" s="400"/>
      <c r="I40" s="162"/>
      <c r="J40" s="305"/>
      <c r="K40" s="92"/>
      <c r="M40" s="85"/>
      <c r="O40" s="162"/>
    </row>
    <row r="41" spans="1:15" ht="16.5" customHeight="1">
      <c r="A41" s="469"/>
      <c r="B41" s="469"/>
      <c r="C41" s="230" t="str">
        <f>Glossary!B229</f>
        <v>Stakeholders</v>
      </c>
      <c r="D41" s="402"/>
      <c r="E41" s="398" t="b">
        <f t="shared" si="13"/>
        <v>0</v>
      </c>
      <c r="F41" s="399" t="str">
        <f t="shared" si="14"/>
        <v/>
      </c>
      <c r="G41" s="399">
        <v>5</v>
      </c>
      <c r="H41" s="400"/>
      <c r="I41" s="162"/>
      <c r="J41" s="305"/>
      <c r="K41" s="92"/>
      <c r="M41" s="178"/>
      <c r="O41" s="162"/>
    </row>
    <row r="42" spans="1:15" ht="16.5" customHeight="1">
      <c r="A42" s="469"/>
      <c r="B42" s="469"/>
      <c r="C42" s="230" t="str">
        <f>Glossary!B233</f>
        <v>Success criteria and definition</v>
      </c>
      <c r="D42" s="402"/>
      <c r="E42" s="398" t="b">
        <f t="shared" si="13"/>
        <v>0</v>
      </c>
      <c r="F42" s="399" t="str">
        <f t="shared" si="14"/>
        <v/>
      </c>
      <c r="G42" s="399">
        <v>15</v>
      </c>
      <c r="H42" s="400"/>
      <c r="I42" s="162"/>
      <c r="J42" s="305"/>
      <c r="K42" s="92"/>
      <c r="O42" s="162"/>
    </row>
    <row r="43" spans="1:15" ht="16.5" customHeight="1">
      <c r="A43" s="469"/>
      <c r="B43" s="469"/>
      <c r="C43" s="204"/>
      <c r="D43" s="412"/>
      <c r="E43" s="412"/>
      <c r="F43" s="412"/>
      <c r="G43" s="412"/>
      <c r="H43" s="412"/>
      <c r="I43" s="165"/>
      <c r="J43" s="162"/>
      <c r="K43" s="56"/>
      <c r="O43" s="162"/>
    </row>
    <row r="44" spans="1:15" ht="16.5" hidden="1" customHeight="1">
      <c r="A44" s="478"/>
      <c r="B44" s="478"/>
      <c r="C44" s="161"/>
      <c r="D44" s="398">
        <f>COUNTA(D16:D41,K25:K34,K16:K18)/COUNTA(F16:F41,M16:M18,M25:M34)</f>
        <v>0</v>
      </c>
      <c r="E44" s="413">
        <f t="shared" ref="E44:F44" si="17">SUM(E16:E42)</f>
        <v>0</v>
      </c>
      <c r="F44" s="413">
        <f t="shared" si="17"/>
        <v>0</v>
      </c>
      <c r="G44" s="413"/>
      <c r="H44" s="414" t="str">
        <f>IFERROR(AVERAGE(H16:H41),"")</f>
        <v/>
      </c>
      <c r="I44" s="162"/>
      <c r="J44" s="305"/>
      <c r="K44" s="92"/>
      <c r="L44" s="92">
        <f t="shared" ref="L44:M44" si="18">SUM(L16:L36)</f>
        <v>0</v>
      </c>
      <c r="M44" s="92">
        <f t="shared" si="18"/>
        <v>0</v>
      </c>
      <c r="O44" s="162"/>
    </row>
    <row r="45" spans="1:15" ht="23.25" customHeight="1">
      <c r="A45" s="187" t="s">
        <v>81</v>
      </c>
      <c r="B45" s="472" t="s">
        <v>85</v>
      </c>
      <c r="C45" s="230" t="str">
        <f>Glossary!B15</f>
        <v>AEM technical trainings</v>
      </c>
      <c r="D45" s="402"/>
      <c r="E45" s="398" t="b">
        <f t="shared" ref="E45:E48" si="19">IF(OR(D45="y",D45="n"), G45)</f>
        <v>0</v>
      </c>
      <c r="F45" s="399" t="str">
        <f t="shared" ref="F45:F48" si="20">IF(D45 = "Y",E45, IF(D45="n",0, ""))</f>
        <v/>
      </c>
      <c r="G45" s="399">
        <v>15</v>
      </c>
      <c r="H45" s="400"/>
      <c r="I45" s="162"/>
      <c r="J45" s="334" t="str">
        <f>Glossary!B19</f>
        <v>AEM Certified</v>
      </c>
      <c r="K45" s="457"/>
      <c r="L45" t="b">
        <f t="shared" ref="L45:L46" si="21">IF(OR(K45="y",K45="n"), N45)</f>
        <v>0</v>
      </c>
      <c r="M45" s="51" t="str">
        <f t="shared" ref="M45:M46" si="22">IF(K45 = "Y",L45, IF(K45="n",0, ""))</f>
        <v/>
      </c>
      <c r="N45" s="51">
        <v>55</v>
      </c>
      <c r="O45" s="162"/>
    </row>
    <row r="46" spans="1:15" ht="15.75" customHeight="1">
      <c r="A46" s="254"/>
      <c r="B46" s="469"/>
      <c r="C46" s="230" t="str">
        <f>Glossary!B18</f>
        <v>AEM Certification Exam</v>
      </c>
      <c r="D46" s="402"/>
      <c r="E46" s="398" t="b">
        <f t="shared" si="19"/>
        <v>0</v>
      </c>
      <c r="F46" s="399" t="str">
        <f t="shared" si="20"/>
        <v/>
      </c>
      <c r="G46" s="399">
        <v>40</v>
      </c>
      <c r="H46" s="400"/>
      <c r="I46" s="162"/>
      <c r="J46" s="230" t="str">
        <f>Glossary!B38</f>
        <v>Coding Guidelines</v>
      </c>
      <c r="K46" s="457"/>
      <c r="L46" t="b">
        <f t="shared" si="21"/>
        <v>0</v>
      </c>
      <c r="M46" s="51" t="str">
        <f t="shared" si="22"/>
        <v/>
      </c>
      <c r="N46" s="51">
        <v>45</v>
      </c>
      <c r="O46" s="162"/>
    </row>
    <row r="47" spans="1:15" ht="15.75" customHeight="1">
      <c r="A47" s="254"/>
      <c r="B47" s="469"/>
      <c r="C47" s="230" t="str">
        <f>Glossary!B72</f>
        <v>Development Methodology</v>
      </c>
      <c r="D47" s="402"/>
      <c r="E47" s="398" t="b">
        <f t="shared" si="19"/>
        <v>0</v>
      </c>
      <c r="F47" s="399" t="str">
        <f t="shared" si="20"/>
        <v/>
      </c>
      <c r="G47" s="399">
        <v>15</v>
      </c>
      <c r="H47" s="400"/>
      <c r="I47" s="162"/>
      <c r="J47" s="195"/>
      <c r="K47" s="196"/>
      <c r="M47" s="51" t="str">
        <f t="shared" ref="M47:M48" si="23">IF(K47 = "Y",L47,"")</f>
        <v/>
      </c>
      <c r="O47" s="162"/>
    </row>
    <row r="48" spans="1:15" ht="15" customHeight="1">
      <c r="A48" s="254"/>
      <c r="B48" s="469"/>
      <c r="C48" s="230" t="str">
        <f>Glossary!B45</f>
        <v xml:space="preserve">Customer Coding Guidelines </v>
      </c>
      <c r="D48" s="402"/>
      <c r="E48" s="398" t="b">
        <f t="shared" si="19"/>
        <v>0</v>
      </c>
      <c r="F48" s="399" t="str">
        <f t="shared" si="20"/>
        <v/>
      </c>
      <c r="G48" s="404">
        <v>30</v>
      </c>
      <c r="H48" s="400"/>
      <c r="I48" s="162"/>
      <c r="J48" s="114"/>
      <c r="K48" s="6"/>
      <c r="L48" s="198"/>
      <c r="M48" s="51" t="str">
        <f t="shared" si="23"/>
        <v/>
      </c>
      <c r="O48" s="162"/>
    </row>
    <row r="49" spans="1:15" ht="15" customHeight="1">
      <c r="A49" s="254"/>
      <c r="B49" s="470"/>
      <c r="C49" s="182"/>
      <c r="D49" s="415"/>
      <c r="E49" s="415"/>
      <c r="F49" s="415"/>
      <c r="G49" s="415"/>
      <c r="H49" s="415"/>
      <c r="I49" s="165"/>
      <c r="J49" s="182"/>
      <c r="K49" s="182"/>
      <c r="L49" s="155"/>
      <c r="M49" s="51"/>
      <c r="O49" s="162"/>
    </row>
    <row r="50" spans="1:15" ht="15" customHeight="1">
      <c r="A50" s="199"/>
      <c r="B50" s="472" t="s">
        <v>86</v>
      </c>
      <c r="C50" s="303" t="str">
        <f>Glossary!B106</f>
        <v>Historical Content Structure</v>
      </c>
      <c r="D50" s="410"/>
      <c r="E50" s="398" t="b">
        <f t="shared" ref="E50:E54" si="24">IF(OR(D50="y",D50="n"), G50)</f>
        <v>0</v>
      </c>
      <c r="F50" s="399" t="str">
        <f t="shared" ref="F50:F54" si="25">IF(D50 = "Y",E50, IF(D50="n",0, ""))</f>
        <v/>
      </c>
      <c r="G50" s="399">
        <v>35</v>
      </c>
      <c r="H50" s="411"/>
      <c r="I50" s="162"/>
      <c r="J50" s="303" t="str">
        <f>Glossary!B57</f>
        <v>Content Architecture Document</v>
      </c>
      <c r="K50" s="410"/>
      <c r="L50" t="b">
        <f t="shared" ref="L50:L52" si="26">IF(OR(K50="y",K50="n"), N50)</f>
        <v>0</v>
      </c>
      <c r="M50" s="51" t="str">
        <f t="shared" ref="M50:M52" si="27">IF(K50 = "Y",L50, IF(K50="n",0, ""))</f>
        <v/>
      </c>
      <c r="N50" s="51">
        <v>40</v>
      </c>
      <c r="O50" s="162"/>
    </row>
    <row r="51" spans="1:15" ht="15" customHeight="1">
      <c r="A51" s="254"/>
      <c r="B51" s="469"/>
      <c r="C51" s="230" t="str">
        <f>Glossary!B198</f>
        <v>Requirements Documentation</v>
      </c>
      <c r="D51" s="402"/>
      <c r="E51" s="398" t="b">
        <f t="shared" si="24"/>
        <v>0</v>
      </c>
      <c r="F51" s="399" t="str">
        <f t="shared" si="25"/>
        <v/>
      </c>
      <c r="G51" s="399">
        <v>25</v>
      </c>
      <c r="H51" s="400"/>
      <c r="I51" s="162"/>
      <c r="J51" s="230" t="str">
        <f>Glossary!B94</f>
        <v>Feasability confirmation on KPI's</v>
      </c>
      <c r="K51" s="402"/>
      <c r="L51" t="b">
        <f t="shared" si="26"/>
        <v>0</v>
      </c>
      <c r="M51" s="51" t="str">
        <f t="shared" si="27"/>
        <v/>
      </c>
      <c r="N51" s="51">
        <v>30</v>
      </c>
      <c r="O51" s="162"/>
    </row>
    <row r="52" spans="1:15" ht="15" customHeight="1">
      <c r="A52" s="254"/>
      <c r="B52" s="469"/>
      <c r="C52" s="230" t="str">
        <f>Glossary!B104</f>
        <v>High Level Solution Design</v>
      </c>
      <c r="D52" s="402"/>
      <c r="E52" s="398" t="b">
        <f t="shared" si="24"/>
        <v>0</v>
      </c>
      <c r="F52" s="399" t="str">
        <f t="shared" si="25"/>
        <v/>
      </c>
      <c r="G52" s="399">
        <v>15</v>
      </c>
      <c r="H52" s="400"/>
      <c r="I52" s="162"/>
      <c r="J52" s="334" t="str">
        <f>Glossary!B203</f>
        <v>Roles and Rights Concept</v>
      </c>
      <c r="K52" s="402"/>
      <c r="L52" t="b">
        <f t="shared" si="26"/>
        <v>0</v>
      </c>
      <c r="M52" s="51" t="str">
        <f t="shared" si="27"/>
        <v/>
      </c>
      <c r="N52" s="51">
        <v>30</v>
      </c>
      <c r="O52" s="162"/>
    </row>
    <row r="53" spans="1:15" ht="15" customHeight="1">
      <c r="A53" s="254"/>
      <c r="B53" s="469"/>
      <c r="C53" s="230" t="str">
        <f>Glossary!B11</f>
        <v>Architecture Draft</v>
      </c>
      <c r="D53" s="402"/>
      <c r="E53" s="398" t="b">
        <f t="shared" si="24"/>
        <v>0</v>
      </c>
      <c r="F53" s="399" t="str">
        <f t="shared" si="25"/>
        <v/>
      </c>
      <c r="G53" s="399">
        <v>15</v>
      </c>
      <c r="H53" s="400"/>
      <c r="I53" s="162"/>
      <c r="J53" s="305"/>
      <c r="K53" s="97"/>
      <c r="L53" s="145"/>
      <c r="M53" s="51" t="str">
        <f t="shared" ref="M53:M54" si="28">IF(K53 = "Y",L53,"")</f>
        <v/>
      </c>
      <c r="O53" s="162"/>
    </row>
    <row r="54" spans="1:15" ht="15" customHeight="1">
      <c r="A54" s="254"/>
      <c r="B54" s="469"/>
      <c r="C54" s="230" t="str">
        <f>Glossary!B166</f>
        <v>Performance KPIs</v>
      </c>
      <c r="D54" s="402"/>
      <c r="E54" s="398" t="b">
        <f t="shared" si="24"/>
        <v>0</v>
      </c>
      <c r="F54" s="399" t="str">
        <f t="shared" si="25"/>
        <v/>
      </c>
      <c r="G54" s="404">
        <v>10</v>
      </c>
      <c r="H54" s="400"/>
      <c r="I54" s="162"/>
      <c r="J54" s="305"/>
      <c r="K54" s="97"/>
      <c r="L54" s="147"/>
      <c r="M54" s="51" t="str">
        <f t="shared" si="28"/>
        <v/>
      </c>
      <c r="O54" s="162"/>
    </row>
    <row r="55" spans="1:15" ht="18" customHeight="1">
      <c r="A55" s="205"/>
      <c r="B55" s="470"/>
      <c r="C55" s="195"/>
      <c r="D55" s="416"/>
      <c r="E55" s="416"/>
      <c r="F55" s="416"/>
      <c r="G55" s="416"/>
      <c r="H55" s="416"/>
      <c r="I55" s="165"/>
      <c r="J55" s="195"/>
      <c r="K55" s="195"/>
      <c r="L55" s="155"/>
      <c r="M55" s="51"/>
      <c r="O55" s="162"/>
    </row>
    <row r="56" spans="1:15" ht="15" customHeight="1">
      <c r="A56" s="205"/>
      <c r="B56" s="472" t="s">
        <v>89</v>
      </c>
      <c r="C56" s="230" t="str">
        <f>Glossary!B198</f>
        <v>Requirements Documentation</v>
      </c>
      <c r="D56" s="402"/>
      <c r="E56" s="398" t="b">
        <f t="shared" ref="E56:E64" si="29">IF(OR(D56="y",D56="n"), G56)</f>
        <v>0</v>
      </c>
      <c r="F56" s="399" t="str">
        <f t="shared" ref="F56:F64" si="30">IF(D56 = "Y",E56, IF(D56="n",0, ""))</f>
        <v/>
      </c>
      <c r="G56" s="404">
        <v>15</v>
      </c>
      <c r="H56" s="400"/>
      <c r="I56" s="162"/>
      <c r="J56" s="230" t="str">
        <f>Glossary!B236</f>
        <v>System Architecture Definition</v>
      </c>
      <c r="K56" s="402"/>
      <c r="L56" t="b">
        <f t="shared" ref="L56:L61" si="31">IF(OR(K56="y",K56="n"), N56)</f>
        <v>0</v>
      </c>
      <c r="M56" s="51" t="str">
        <f t="shared" ref="M56:M61" si="32">IF(K56 = "Y",L56, IF(K56="n",0, ""))</f>
        <v/>
      </c>
      <c r="N56" s="139">
        <v>25</v>
      </c>
      <c r="O56" s="162"/>
    </row>
    <row r="57" spans="1:15" ht="19.5" customHeight="1">
      <c r="A57" s="205"/>
      <c r="B57" s="469"/>
      <c r="C57" s="209" t="str">
        <f>Glossary!B104</f>
        <v>High Level Solution Design</v>
      </c>
      <c r="D57" s="402"/>
      <c r="E57" s="398" t="b">
        <f t="shared" si="29"/>
        <v>0</v>
      </c>
      <c r="F57" s="399" t="str">
        <f t="shared" si="30"/>
        <v/>
      </c>
      <c r="G57" s="399">
        <v>25</v>
      </c>
      <c r="H57" s="400"/>
      <c r="I57" s="162"/>
      <c r="J57" s="230" t="str">
        <f>Glossary!B165</f>
        <v>Performance Benchmark</v>
      </c>
      <c r="K57" s="402"/>
      <c r="L57" t="b">
        <f t="shared" si="31"/>
        <v>0</v>
      </c>
      <c r="M57" s="51" t="str">
        <f t="shared" si="32"/>
        <v/>
      </c>
      <c r="N57" s="51">
        <v>15</v>
      </c>
      <c r="O57" s="162"/>
    </row>
    <row r="58" spans="1:15" ht="16.5" customHeight="1">
      <c r="A58" s="205"/>
      <c r="B58" s="469"/>
      <c r="C58" s="209" t="str">
        <f>Glossary!B11</f>
        <v>Architecture Draft</v>
      </c>
      <c r="D58" s="402"/>
      <c r="E58" s="398" t="b">
        <f t="shared" si="29"/>
        <v>0</v>
      </c>
      <c r="F58" s="399" t="str">
        <f t="shared" si="30"/>
        <v/>
      </c>
      <c r="G58" s="399">
        <v>20</v>
      </c>
      <c r="H58" s="400"/>
      <c r="I58" s="162"/>
      <c r="J58" s="334" t="str">
        <f>Glossary!B10</f>
        <v>Architecture Diagram</v>
      </c>
      <c r="K58" s="402"/>
      <c r="L58" t="b">
        <f t="shared" si="31"/>
        <v>0</v>
      </c>
      <c r="M58" s="51" t="str">
        <f t="shared" si="32"/>
        <v/>
      </c>
      <c r="N58" s="139">
        <v>15</v>
      </c>
      <c r="O58" s="162"/>
    </row>
    <row r="59" spans="1:15" ht="16.5" customHeight="1">
      <c r="A59" s="205"/>
      <c r="B59" s="469"/>
      <c r="C59" s="209" t="str">
        <f>Glossary!B101</f>
        <v>Hardware Estimates</v>
      </c>
      <c r="D59" s="402"/>
      <c r="E59" s="398" t="b">
        <f t="shared" si="29"/>
        <v>0</v>
      </c>
      <c r="F59" s="399" t="str">
        <f t="shared" si="30"/>
        <v/>
      </c>
      <c r="G59" s="399">
        <v>10</v>
      </c>
      <c r="H59" s="400"/>
      <c r="I59" s="162"/>
      <c r="J59" s="334" t="str">
        <f>Glossary!B12</f>
        <v>Architecture Review Board Sign Off</v>
      </c>
      <c r="K59" s="402"/>
      <c r="L59" t="b">
        <f t="shared" si="31"/>
        <v>0</v>
      </c>
      <c r="M59" s="51" t="str">
        <f t="shared" si="32"/>
        <v/>
      </c>
      <c r="N59" s="139">
        <v>20</v>
      </c>
      <c r="O59" s="162"/>
    </row>
    <row r="60" spans="1:15" ht="18.75" customHeight="1">
      <c r="A60" s="205"/>
      <c r="B60" s="469"/>
      <c r="C60" s="209" t="str">
        <f>Glossary!B166</f>
        <v>Performance KPIs</v>
      </c>
      <c r="D60" s="402"/>
      <c r="E60" s="398" t="b">
        <f t="shared" si="29"/>
        <v>0</v>
      </c>
      <c r="F60" s="399" t="str">
        <f t="shared" si="30"/>
        <v/>
      </c>
      <c r="G60" s="399">
        <v>10</v>
      </c>
      <c r="H60" s="400"/>
      <c r="I60" s="162"/>
      <c r="J60" s="140" t="str">
        <f>Glossary!B37</f>
        <v>Caching Strategy</v>
      </c>
      <c r="K60" s="402"/>
      <c r="L60" t="b">
        <f t="shared" si="31"/>
        <v>0</v>
      </c>
      <c r="M60" s="51" t="str">
        <f t="shared" si="32"/>
        <v/>
      </c>
      <c r="N60" s="139">
        <v>10</v>
      </c>
      <c r="O60" s="162"/>
    </row>
    <row r="61" spans="1:15" ht="18" customHeight="1">
      <c r="A61" s="205"/>
      <c r="B61" s="469"/>
      <c r="C61" s="230" t="str">
        <f>Glossary!B208</f>
        <v>Security Architecture Recommendations</v>
      </c>
      <c r="D61" s="402"/>
      <c r="E61" s="398" t="b">
        <f t="shared" si="29"/>
        <v>0</v>
      </c>
      <c r="F61" s="399" t="str">
        <f t="shared" si="30"/>
        <v/>
      </c>
      <c r="G61" s="399">
        <v>30</v>
      </c>
      <c r="H61" s="400"/>
      <c r="I61" s="162"/>
      <c r="J61" s="230" t="str">
        <f>Glossary!B167</f>
        <v>Performance and scalability concept</v>
      </c>
      <c r="K61" s="402"/>
      <c r="L61" t="b">
        <f t="shared" si="31"/>
        <v>0</v>
      </c>
      <c r="M61" s="51" t="str">
        <f t="shared" si="32"/>
        <v/>
      </c>
      <c r="N61" s="139">
        <v>15</v>
      </c>
      <c r="O61" s="162"/>
    </row>
    <row r="62" spans="1:15" ht="15.75" customHeight="1">
      <c r="A62" s="205"/>
      <c r="B62" s="469"/>
      <c r="C62" s="230" t="str">
        <f>Glossary!B254</f>
        <v>Testing Strategy</v>
      </c>
      <c r="D62" s="402"/>
      <c r="E62" s="398" t="b">
        <f t="shared" si="29"/>
        <v>0</v>
      </c>
      <c r="F62" s="399" t="str">
        <f t="shared" si="30"/>
        <v/>
      </c>
      <c r="G62" s="399">
        <v>10</v>
      </c>
      <c r="H62" s="400"/>
      <c r="I62" s="162"/>
      <c r="J62" s="305"/>
      <c r="K62" s="97"/>
      <c r="O62" s="162"/>
    </row>
    <row r="63" spans="1:15" ht="17.25" customHeight="1">
      <c r="A63" s="205"/>
      <c r="B63" s="469"/>
      <c r="C63" s="178" t="str">
        <f>Glossary!B255</f>
        <v>Test Suite</v>
      </c>
      <c r="D63" s="402"/>
      <c r="E63" s="398" t="b">
        <f t="shared" si="29"/>
        <v>0</v>
      </c>
      <c r="F63" s="399" t="str">
        <f t="shared" si="30"/>
        <v/>
      </c>
      <c r="G63" s="399">
        <v>5</v>
      </c>
      <c r="H63" s="400"/>
      <c r="I63" s="162"/>
      <c r="J63" s="305"/>
      <c r="K63" s="97"/>
      <c r="L63" s="145"/>
      <c r="M63" s="51" t="str">
        <f t="shared" ref="M63:M64" si="33">IF(K63 = "Y",L63,"")</f>
        <v/>
      </c>
      <c r="O63" s="162"/>
    </row>
    <row r="64" spans="1:15" ht="16.5" customHeight="1">
      <c r="A64" s="205"/>
      <c r="B64" s="469"/>
      <c r="C64" s="93" t="str">
        <f>Glossary!B49</f>
        <v>Customer Reporting Policies or Requirements</v>
      </c>
      <c r="D64" s="402"/>
      <c r="E64" s="398" t="b">
        <f t="shared" si="29"/>
        <v>0</v>
      </c>
      <c r="F64" s="399" t="str">
        <f t="shared" si="30"/>
        <v/>
      </c>
      <c r="G64" s="404">
        <v>5</v>
      </c>
      <c r="H64" s="400"/>
      <c r="I64" s="162"/>
      <c r="J64" s="305"/>
      <c r="K64" s="97"/>
      <c r="L64" s="147"/>
      <c r="M64" s="51" t="str">
        <f t="shared" si="33"/>
        <v/>
      </c>
      <c r="O64" s="162"/>
    </row>
    <row r="65" spans="1:33" ht="16.5" customHeight="1">
      <c r="A65" s="205"/>
      <c r="B65" s="470"/>
      <c r="C65" s="114"/>
      <c r="D65" s="417"/>
      <c r="E65" s="417"/>
      <c r="F65" s="417"/>
      <c r="G65" s="417"/>
      <c r="H65" s="417"/>
      <c r="I65" s="217"/>
      <c r="J65" s="114"/>
      <c r="K65" s="5"/>
      <c r="L65" s="155"/>
      <c r="M65" s="51"/>
      <c r="O65" s="162"/>
    </row>
    <row r="66" spans="1:33" ht="18.75" customHeight="1">
      <c r="A66" s="254"/>
      <c r="B66" s="481" t="s">
        <v>92</v>
      </c>
      <c r="C66" s="230" t="str">
        <f>Glossary!B198</f>
        <v>Requirements Documentation</v>
      </c>
      <c r="D66" s="402"/>
      <c r="E66" s="398" t="b">
        <f t="shared" ref="E66:E75" si="34">IF(OR(D66="y",D66="n"), G66)</f>
        <v>0</v>
      </c>
      <c r="F66" s="399" t="str">
        <f t="shared" ref="F66:F75" si="35">IF(D66 = "Y",E66, IF(D66="n",0, ""))</f>
        <v/>
      </c>
      <c r="G66" s="404">
        <v>25</v>
      </c>
      <c r="H66" s="400"/>
      <c r="I66" s="162"/>
      <c r="J66" s="230" t="str">
        <f>Glossary!B20</f>
        <v>Application Architecture Definition</v>
      </c>
      <c r="K66" s="402"/>
      <c r="L66" t="b">
        <f t="shared" ref="L66:L72" si="36">IF(OR(K66="y",K66="n"), N66)</f>
        <v>0</v>
      </c>
      <c r="M66" s="51" t="str">
        <f t="shared" ref="M66:M72" si="37">IF(K66 = "Y",L66, IF(K66="n",0, ""))</f>
        <v/>
      </c>
      <c r="N66" s="51">
        <v>20</v>
      </c>
      <c r="O66" s="162"/>
    </row>
    <row r="67" spans="1:33" ht="20.25" customHeight="1">
      <c r="A67" s="254"/>
      <c r="B67" s="469"/>
      <c r="C67" s="230" t="str">
        <f>Glossary!B104</f>
        <v>High Level Solution Design</v>
      </c>
      <c r="D67" s="402"/>
      <c r="E67" s="398" t="b">
        <f t="shared" si="34"/>
        <v>0</v>
      </c>
      <c r="F67" s="399" t="str">
        <f t="shared" si="35"/>
        <v/>
      </c>
      <c r="G67" s="399">
        <v>15</v>
      </c>
      <c r="H67" s="400"/>
      <c r="I67" s="162"/>
      <c r="J67" s="230" t="str">
        <f>Glossary!B165</f>
        <v>Performance Benchmark</v>
      </c>
      <c r="K67" s="402"/>
      <c r="L67" t="b">
        <f t="shared" si="36"/>
        <v>0</v>
      </c>
      <c r="M67" s="51" t="str">
        <f t="shared" si="37"/>
        <v/>
      </c>
      <c r="N67" s="51">
        <v>15</v>
      </c>
      <c r="O67" s="162"/>
    </row>
    <row r="68" spans="1:33" ht="17.25" customHeight="1">
      <c r="A68" s="254"/>
      <c r="B68" s="469"/>
      <c r="C68" s="230" t="str">
        <f>Glossary!B10</f>
        <v>Architecture Diagram</v>
      </c>
      <c r="D68" s="402"/>
      <c r="E68" s="398" t="b">
        <f t="shared" si="34"/>
        <v>0</v>
      </c>
      <c r="F68" s="399" t="str">
        <f t="shared" si="35"/>
        <v/>
      </c>
      <c r="G68" s="399">
        <v>15</v>
      </c>
      <c r="H68" s="400"/>
      <c r="I68" s="162"/>
      <c r="J68" s="230" t="str">
        <f>Glossary!B112</f>
        <v>Implementation Concept</v>
      </c>
      <c r="K68" s="402"/>
      <c r="L68" t="b">
        <f t="shared" si="36"/>
        <v>0</v>
      </c>
      <c r="M68" s="51" t="str">
        <f t="shared" si="37"/>
        <v/>
      </c>
      <c r="N68" s="51">
        <v>15</v>
      </c>
      <c r="O68" s="162"/>
    </row>
    <row r="69" spans="1:33" ht="17.25" customHeight="1">
      <c r="A69" s="254"/>
      <c r="B69" s="469"/>
      <c r="C69" s="230" t="str">
        <f>Glossary!B101</f>
        <v>Hardware Estimates</v>
      </c>
      <c r="D69" s="402"/>
      <c r="E69" s="398" t="b">
        <f t="shared" si="34"/>
        <v>0</v>
      </c>
      <c r="F69" s="399" t="str">
        <f t="shared" si="35"/>
        <v/>
      </c>
      <c r="G69" s="399">
        <v>10</v>
      </c>
      <c r="H69" s="400"/>
      <c r="I69" s="162"/>
      <c r="J69" s="140" t="str">
        <f>Glossary!B54</f>
        <v>Components and templates realtionship concept</v>
      </c>
      <c r="K69" s="402"/>
      <c r="L69" t="b">
        <f t="shared" si="36"/>
        <v>0</v>
      </c>
      <c r="M69" s="51" t="str">
        <f t="shared" si="37"/>
        <v/>
      </c>
      <c r="N69" s="51">
        <v>10</v>
      </c>
      <c r="O69" s="162"/>
    </row>
    <row r="70" spans="1:33" ht="16.5" customHeight="1">
      <c r="A70" s="254"/>
      <c r="B70" s="469"/>
      <c r="C70" s="230" t="str">
        <f>Glossary!B166</f>
        <v>Performance KPIs</v>
      </c>
      <c r="D70" s="402"/>
      <c r="E70" s="398" t="b">
        <f t="shared" si="34"/>
        <v>0</v>
      </c>
      <c r="F70" s="399" t="str">
        <f t="shared" si="35"/>
        <v/>
      </c>
      <c r="G70" s="399">
        <v>10</v>
      </c>
      <c r="H70" s="400"/>
      <c r="I70" s="162"/>
      <c r="J70" s="206" t="str">
        <f>Glossary!B277</f>
        <v>Workflows concept</v>
      </c>
      <c r="K70" s="402"/>
      <c r="L70" t="b">
        <f t="shared" si="36"/>
        <v>0</v>
      </c>
      <c r="M70" s="51" t="str">
        <f t="shared" si="37"/>
        <v/>
      </c>
      <c r="N70" s="51">
        <v>10</v>
      </c>
      <c r="O70" s="162"/>
    </row>
    <row r="71" spans="1:33" ht="16.5" customHeight="1">
      <c r="A71" s="254"/>
      <c r="B71" s="469"/>
      <c r="C71" s="230" t="str">
        <f>Glossary!B203</f>
        <v>Roles and Rights Concept</v>
      </c>
      <c r="D71" s="402"/>
      <c r="E71" s="398" t="b">
        <f t="shared" si="34"/>
        <v>0</v>
      </c>
      <c r="F71" s="399" t="str">
        <f t="shared" si="35"/>
        <v/>
      </c>
      <c r="G71" s="399">
        <v>10</v>
      </c>
      <c r="H71" s="400"/>
      <c r="I71" s="162"/>
      <c r="J71" s="206" t="str">
        <f>Glossary!B211</f>
        <v>Security Concept</v>
      </c>
      <c r="K71" s="402"/>
      <c r="L71" t="b">
        <f t="shared" si="36"/>
        <v>0</v>
      </c>
      <c r="M71" s="51" t="str">
        <f t="shared" si="37"/>
        <v/>
      </c>
      <c r="N71" s="51">
        <v>20</v>
      </c>
      <c r="O71" s="162"/>
    </row>
    <row r="72" spans="1:33" ht="16.5" customHeight="1">
      <c r="A72" s="254"/>
      <c r="B72" s="469"/>
      <c r="C72" s="230" t="str">
        <f>Glossary!B38</f>
        <v>Coding Guidelines</v>
      </c>
      <c r="D72" s="402"/>
      <c r="E72" s="398" t="b">
        <f t="shared" si="34"/>
        <v>0</v>
      </c>
      <c r="F72" s="399" t="str">
        <f t="shared" si="35"/>
        <v/>
      </c>
      <c r="G72" s="399">
        <v>5</v>
      </c>
      <c r="H72" s="400"/>
      <c r="I72" s="162"/>
      <c r="J72" s="206" t="str">
        <f>Glossary!B144</f>
        <v>Mocking Concept of external Interfaces</v>
      </c>
      <c r="K72" s="402"/>
      <c r="L72" t="b">
        <f t="shared" si="36"/>
        <v>0</v>
      </c>
      <c r="M72" s="51" t="str">
        <f t="shared" si="37"/>
        <v/>
      </c>
      <c r="N72" s="51">
        <v>10</v>
      </c>
      <c r="O72" s="162"/>
    </row>
    <row r="73" spans="1:33" ht="16.5" customHeight="1">
      <c r="A73" s="254"/>
      <c r="B73" s="469"/>
      <c r="C73" s="230" t="str">
        <f>Glossary!B223</f>
        <v>Special functionality concept</v>
      </c>
      <c r="D73" s="402"/>
      <c r="E73" s="398" t="b">
        <f t="shared" si="34"/>
        <v>0</v>
      </c>
      <c r="F73" s="399" t="str">
        <f t="shared" si="35"/>
        <v/>
      </c>
      <c r="G73" s="399">
        <v>10</v>
      </c>
      <c r="H73" s="400"/>
      <c r="I73" s="162"/>
      <c r="J73" s="297"/>
      <c r="K73" s="222"/>
      <c r="L73" s="145"/>
      <c r="M73" s="51" t="str">
        <f t="shared" ref="M73:M75" si="38">IF(K73 = "Y",L73,"")</f>
        <v/>
      </c>
      <c r="O73" s="162"/>
    </row>
    <row r="74" spans="1:33" ht="16.5" customHeight="1">
      <c r="A74" s="254"/>
      <c r="B74" s="469"/>
      <c r="C74" s="230" t="str">
        <f>Glossary!B198</f>
        <v>Requirements Documentation</v>
      </c>
      <c r="D74" s="402"/>
      <c r="E74" s="398" t="b">
        <f t="shared" si="34"/>
        <v>0</v>
      </c>
      <c r="F74" s="399" t="str">
        <f t="shared" si="35"/>
        <v/>
      </c>
      <c r="G74" s="399">
        <v>15</v>
      </c>
      <c r="H74" s="400"/>
      <c r="I74" s="162"/>
      <c r="J74" s="297"/>
      <c r="K74" s="224"/>
      <c r="L74" s="145"/>
      <c r="M74" s="51" t="str">
        <f t="shared" si="38"/>
        <v/>
      </c>
      <c r="O74" s="162"/>
    </row>
    <row r="75" spans="1:33" ht="16.5" customHeight="1">
      <c r="A75" s="254"/>
      <c r="B75" s="469"/>
      <c r="C75" s="230" t="str">
        <f>Glossary!B200</f>
        <v>Risk Assessment</v>
      </c>
      <c r="D75" s="402"/>
      <c r="E75" s="398" t="b">
        <f t="shared" si="34"/>
        <v>0</v>
      </c>
      <c r="F75" s="399" t="str">
        <f t="shared" si="35"/>
        <v/>
      </c>
      <c r="G75" s="404">
        <v>10</v>
      </c>
      <c r="H75" s="400"/>
      <c r="I75" s="162"/>
      <c r="J75" s="297"/>
      <c r="K75" s="224"/>
      <c r="L75" s="155"/>
      <c r="M75" s="51" t="str">
        <f t="shared" si="38"/>
        <v/>
      </c>
      <c r="O75" s="162"/>
    </row>
    <row r="76" spans="1:33" ht="16.5" customHeight="1">
      <c r="A76" s="254"/>
      <c r="B76" s="469"/>
      <c r="C76" s="195"/>
      <c r="D76" s="416"/>
      <c r="E76" s="416"/>
      <c r="F76" s="416"/>
      <c r="G76" s="416"/>
      <c r="H76" s="416"/>
      <c r="I76" s="165"/>
      <c r="J76" s="195"/>
      <c r="K76" s="164"/>
      <c r="L76" s="155"/>
      <c r="M76" s="51"/>
      <c r="O76" s="162"/>
    </row>
    <row r="77" spans="1:33" ht="16.5" customHeight="1">
      <c r="A77" s="254"/>
      <c r="B77" s="472" t="s">
        <v>98</v>
      </c>
      <c r="C77" s="230" t="str">
        <f>Glossary!B261</f>
        <v>Third party system for integration</v>
      </c>
      <c r="D77" s="402"/>
      <c r="E77" s="398" t="b">
        <f t="shared" ref="E77:E80" si="39">IF(OR(D77="y",D77="n"), G77)</f>
        <v>0</v>
      </c>
      <c r="F77" s="399" t="str">
        <f t="shared" ref="F77:F80" si="40">IF(D77 = "Y",E77, IF(D77="n",0, ""))</f>
        <v/>
      </c>
      <c r="G77" s="404">
        <v>30</v>
      </c>
      <c r="H77" s="400"/>
      <c r="I77" s="162"/>
      <c r="J77" s="230" t="str">
        <f>Glossary!B258</f>
        <v>Third party integration concept</v>
      </c>
      <c r="K77" s="402"/>
      <c r="L77" t="b">
        <f>IF(OR(K77="y",K77="n"), N77)</f>
        <v>0</v>
      </c>
      <c r="M77" s="51" t="str">
        <f>IF(K77 = "Y",L77, IF(K77="n",0, ""))</f>
        <v/>
      </c>
      <c r="N77" s="51">
        <v>50</v>
      </c>
      <c r="O77" s="162"/>
    </row>
    <row r="78" spans="1:33" ht="16.5" customHeight="1">
      <c r="A78" s="254"/>
      <c r="B78" s="469"/>
      <c r="C78" s="230" t="str">
        <f>Glossary!B246</f>
        <v>Technical Specification</v>
      </c>
      <c r="D78" s="402"/>
      <c r="E78" s="398" t="b">
        <f t="shared" si="39"/>
        <v>0</v>
      </c>
      <c r="F78" s="399" t="str">
        <f t="shared" si="40"/>
        <v/>
      </c>
      <c r="G78" s="399">
        <v>20</v>
      </c>
      <c r="H78" s="400"/>
      <c r="I78" s="162"/>
      <c r="J78" s="297"/>
      <c r="K78" s="223"/>
      <c r="M78" s="51"/>
      <c r="N78" s="51"/>
      <c r="O78" s="225"/>
      <c r="P78" s="226"/>
      <c r="Q78" s="226"/>
      <c r="R78" s="226"/>
      <c r="S78" s="226"/>
      <c r="T78" s="226"/>
      <c r="U78" s="226"/>
      <c r="V78" s="226"/>
      <c r="W78" s="226"/>
      <c r="X78" s="226"/>
      <c r="Y78" s="226"/>
      <c r="Z78" s="226"/>
      <c r="AA78" s="226"/>
      <c r="AB78" s="226"/>
      <c r="AC78" s="226"/>
      <c r="AD78" s="226"/>
      <c r="AE78" s="226"/>
      <c r="AF78" s="226"/>
    </row>
    <row r="79" spans="1:33" ht="16.5" customHeight="1">
      <c r="A79" s="254"/>
      <c r="B79" s="469"/>
      <c r="C79" s="230" t="str">
        <f>Glossary!B200</f>
        <v>Risk Assessment</v>
      </c>
      <c r="D79" s="402"/>
      <c r="E79" s="398" t="b">
        <f t="shared" si="39"/>
        <v>0</v>
      </c>
      <c r="F79" s="399" t="str">
        <f t="shared" si="40"/>
        <v/>
      </c>
      <c r="G79" s="399">
        <v>35</v>
      </c>
      <c r="H79" s="400"/>
      <c r="I79" s="162"/>
      <c r="J79" s="297"/>
      <c r="K79" s="223"/>
      <c r="L79" s="155"/>
      <c r="M79" s="90"/>
      <c r="N79" s="226"/>
      <c r="O79" s="225"/>
      <c r="P79" s="226"/>
      <c r="Q79" s="226"/>
      <c r="R79" s="226"/>
      <c r="S79" s="226"/>
      <c r="T79" s="226"/>
      <c r="U79" s="226"/>
      <c r="V79" s="226"/>
      <c r="W79" s="226"/>
      <c r="X79" s="226"/>
      <c r="Y79" s="226"/>
      <c r="Z79" s="226"/>
      <c r="AA79" s="226"/>
      <c r="AB79" s="226"/>
      <c r="AC79" s="226"/>
      <c r="AD79" s="226"/>
      <c r="AE79" s="226"/>
      <c r="AF79" s="226"/>
      <c r="AG79" s="226"/>
    </row>
    <row r="80" spans="1:33" ht="16.5" customHeight="1">
      <c r="A80" s="254"/>
      <c r="B80" s="469"/>
      <c r="C80" s="230" t="str">
        <f>Glossary!B216</f>
        <v>SLAs for third party systems</v>
      </c>
      <c r="D80" s="402"/>
      <c r="E80" s="398" t="b">
        <f t="shared" si="39"/>
        <v>0</v>
      </c>
      <c r="F80" s="399" t="str">
        <f t="shared" si="40"/>
        <v/>
      </c>
      <c r="G80" s="399">
        <v>15</v>
      </c>
      <c r="H80" s="400"/>
      <c r="I80" s="162"/>
      <c r="J80" s="297"/>
      <c r="K80" s="223"/>
      <c r="L80" s="155"/>
      <c r="M80" s="90"/>
      <c r="N80" s="226"/>
      <c r="O80" s="225"/>
      <c r="P80" s="226"/>
      <c r="Q80" s="226"/>
      <c r="R80" s="226"/>
      <c r="S80" s="226"/>
      <c r="T80" s="226"/>
      <c r="U80" s="226"/>
      <c r="V80" s="226"/>
      <c r="W80" s="226"/>
      <c r="X80" s="226"/>
      <c r="Y80" s="226"/>
      <c r="Z80" s="226"/>
      <c r="AA80" s="226"/>
      <c r="AB80" s="226"/>
      <c r="AC80" s="226"/>
      <c r="AD80" s="226"/>
      <c r="AE80" s="226"/>
      <c r="AF80" s="226"/>
      <c r="AG80" s="226"/>
    </row>
    <row r="81" spans="1:33" ht="16.5" customHeight="1">
      <c r="A81" s="254"/>
      <c r="B81" s="469"/>
      <c r="C81" s="195"/>
      <c r="D81" s="416"/>
      <c r="E81" s="416"/>
      <c r="F81" s="416"/>
      <c r="G81" s="416"/>
      <c r="H81" s="416"/>
      <c r="I81" s="165"/>
      <c r="J81" s="195"/>
      <c r="K81" s="195"/>
      <c r="L81" s="155"/>
      <c r="M81" s="155"/>
      <c r="N81" s="226"/>
      <c r="O81" s="225"/>
      <c r="P81" s="226"/>
      <c r="Q81" s="226"/>
      <c r="R81" s="226"/>
      <c r="S81" s="226"/>
      <c r="T81" s="226"/>
      <c r="U81" s="226"/>
      <c r="V81" s="226"/>
      <c r="W81" s="226"/>
      <c r="X81" s="226"/>
      <c r="Y81" s="226"/>
      <c r="Z81" s="226"/>
      <c r="AA81" s="226"/>
      <c r="AB81" s="226"/>
      <c r="AC81" s="226"/>
      <c r="AD81" s="226"/>
      <c r="AE81" s="226"/>
      <c r="AF81" s="226"/>
      <c r="AG81" s="226"/>
    </row>
    <row r="82" spans="1:33" ht="16.5" hidden="1" customHeight="1">
      <c r="A82" s="254"/>
      <c r="B82" s="470"/>
      <c r="D82" s="418">
        <f>COUNTA(D45:D80,K45:K46,K50:K52,K56:K62,K66:K72,K77:K78)/COUNTA(F45:F80,M45:M46,M50:M52,M56:M62,M66:M72,M77:M78)</f>
        <v>0</v>
      </c>
      <c r="E82" s="413">
        <f t="shared" ref="E82:F82" si="41">SUM(E45:E80)</f>
        <v>0</v>
      </c>
      <c r="F82" s="413">
        <f t="shared" si="41"/>
        <v>0</v>
      </c>
      <c r="G82" s="413"/>
      <c r="H82" s="400" t="str">
        <f>IFERROR(AVERAGE(H45:H80),"")</f>
        <v/>
      </c>
      <c r="I82" s="162"/>
      <c r="L82" s="92">
        <f t="shared" ref="L82:M82" si="42">SUM(L45:L80)</f>
        <v>0</v>
      </c>
      <c r="M82" s="92">
        <f t="shared" si="42"/>
        <v>0</v>
      </c>
      <c r="N82" s="226"/>
      <c r="O82" s="225"/>
      <c r="P82" s="226"/>
      <c r="Q82" s="226"/>
      <c r="R82" s="226"/>
      <c r="S82" s="226"/>
      <c r="T82" s="226"/>
      <c r="U82" s="226"/>
      <c r="V82" s="226"/>
      <c r="W82" s="226"/>
      <c r="X82" s="226"/>
      <c r="Y82" s="226"/>
      <c r="Z82" s="226"/>
      <c r="AA82" s="226"/>
      <c r="AB82" s="226"/>
      <c r="AC82" s="226"/>
      <c r="AD82" s="226"/>
      <c r="AE82" s="226"/>
      <c r="AF82" s="226"/>
      <c r="AG82" s="226"/>
    </row>
    <row r="83" spans="1:33" ht="21" customHeight="1">
      <c r="A83" s="468" t="s">
        <v>49</v>
      </c>
      <c r="B83" s="481" t="s">
        <v>101</v>
      </c>
      <c r="C83" s="230" t="str">
        <f>Glossary!B278</f>
        <v>Workflow Specification</v>
      </c>
      <c r="D83" s="402"/>
      <c r="E83" s="398" t="b">
        <f t="shared" ref="E83:E87" si="43">IF(OR(D83="y",D83="n"), G83)</f>
        <v>0</v>
      </c>
      <c r="F83" s="399" t="str">
        <f t="shared" ref="F83:F87" si="44">IF(D83 = "Y",E83, IF(D83="n",0, ""))</f>
        <v/>
      </c>
      <c r="G83" s="419">
        <v>10</v>
      </c>
      <c r="H83" s="400"/>
      <c r="I83" s="162"/>
      <c r="J83" s="230" t="str">
        <f>Glossary!B188</f>
        <v>Purge Rules</v>
      </c>
      <c r="K83" s="402"/>
      <c r="L83" t="b">
        <f t="shared" ref="L83:L85" si="45">IF(OR(K83="y",K83="n"), N83)</f>
        <v>0</v>
      </c>
      <c r="M83" s="51" t="str">
        <f t="shared" ref="M83:M85" si="46">IF(K83 = "Y",L83, IF(K83="n",0, ""))</f>
        <v/>
      </c>
      <c r="N83" s="231">
        <v>10</v>
      </c>
      <c r="O83" s="225"/>
      <c r="P83" s="226"/>
      <c r="Q83" s="226"/>
      <c r="R83" s="226"/>
      <c r="S83" s="226"/>
      <c r="T83" s="226"/>
      <c r="U83" s="226"/>
      <c r="V83" s="226"/>
      <c r="W83" s="226"/>
      <c r="X83" s="226"/>
      <c r="Y83" s="226"/>
      <c r="Z83" s="226"/>
      <c r="AA83" s="226"/>
      <c r="AB83" s="226"/>
      <c r="AC83" s="226"/>
      <c r="AD83" s="226"/>
      <c r="AE83" s="226"/>
      <c r="AF83" s="226"/>
      <c r="AG83" s="226"/>
    </row>
    <row r="84" spans="1:33" ht="16.5" customHeight="1">
      <c r="A84" s="469"/>
      <c r="B84" s="469"/>
      <c r="C84" s="230" t="str">
        <f>Glossary!B156</f>
        <v>Monitoring Points in the application defined</v>
      </c>
      <c r="D84" s="402"/>
      <c r="E84" s="398" t="b">
        <f t="shared" si="43"/>
        <v>0</v>
      </c>
      <c r="F84" s="399" t="str">
        <f t="shared" si="44"/>
        <v/>
      </c>
      <c r="G84" s="399">
        <v>15</v>
      </c>
      <c r="H84" s="400"/>
      <c r="I84" s="162"/>
      <c r="J84" s="140" t="str">
        <f>Glossary!B154</f>
        <v>Monitoring Concept</v>
      </c>
      <c r="K84" s="402"/>
      <c r="L84" t="b">
        <f t="shared" si="45"/>
        <v>0</v>
      </c>
      <c r="M84" s="51" t="str">
        <f t="shared" si="46"/>
        <v/>
      </c>
      <c r="N84" s="232">
        <v>20</v>
      </c>
      <c r="O84" s="225"/>
      <c r="P84" s="226"/>
      <c r="Q84" s="226"/>
      <c r="R84" s="226"/>
      <c r="S84" s="226"/>
      <c r="T84" s="226"/>
      <c r="U84" s="226"/>
      <c r="V84" s="226"/>
      <c r="W84" s="226"/>
      <c r="X84" s="226"/>
      <c r="Y84" s="226"/>
      <c r="Z84" s="226"/>
      <c r="AA84" s="226"/>
      <c r="AB84" s="226"/>
      <c r="AC84" s="226"/>
      <c r="AD84" s="226"/>
      <c r="AE84" s="226"/>
      <c r="AF84" s="226"/>
      <c r="AG84" s="226"/>
    </row>
    <row r="85" spans="1:33" ht="16.5" customHeight="1">
      <c r="A85" s="469"/>
      <c r="B85" s="469"/>
      <c r="C85" s="230" t="str">
        <f>Glossary!B46</f>
        <v>Customer Monitoring Policies or Requirements</v>
      </c>
      <c r="D85" s="402"/>
      <c r="E85" s="398" t="b">
        <f t="shared" si="43"/>
        <v>0</v>
      </c>
      <c r="F85" s="399" t="str">
        <f t="shared" si="44"/>
        <v/>
      </c>
      <c r="G85" s="399">
        <v>20</v>
      </c>
      <c r="H85" s="400"/>
      <c r="I85" s="162"/>
      <c r="J85" s="230" t="str">
        <f>Glossary!B197</f>
        <v>Respository Optimization</v>
      </c>
      <c r="K85" s="402"/>
      <c r="L85" t="b">
        <f t="shared" si="45"/>
        <v>0</v>
      </c>
      <c r="M85" s="51" t="str">
        <f t="shared" si="46"/>
        <v/>
      </c>
      <c r="N85" s="231">
        <v>20</v>
      </c>
      <c r="O85" s="225"/>
      <c r="P85" s="226"/>
      <c r="Q85" s="226"/>
      <c r="R85" s="226"/>
      <c r="S85" s="226"/>
      <c r="T85" s="226"/>
      <c r="U85" s="226"/>
      <c r="V85" s="226"/>
      <c r="W85" s="226"/>
      <c r="X85" s="226"/>
      <c r="Y85" s="226"/>
      <c r="Z85" s="226"/>
      <c r="AA85" s="226"/>
      <c r="AB85" s="226"/>
      <c r="AC85" s="226"/>
      <c r="AD85" s="226"/>
      <c r="AE85" s="226"/>
      <c r="AF85" s="226"/>
      <c r="AG85" s="226"/>
    </row>
    <row r="86" spans="1:33" ht="16.5" customHeight="1">
      <c r="A86" s="469"/>
      <c r="B86" s="469"/>
      <c r="C86" s="230" t="str">
        <f>Glossary!B151</f>
        <v>Monitoring - Security Points</v>
      </c>
      <c r="D86" s="402"/>
      <c r="E86" s="398" t="b">
        <f t="shared" si="43"/>
        <v>0</v>
      </c>
      <c r="F86" s="399" t="str">
        <f t="shared" si="44"/>
        <v/>
      </c>
      <c r="G86" s="399">
        <v>15</v>
      </c>
      <c r="H86" s="400"/>
      <c r="I86" s="162"/>
      <c r="J86" s="297"/>
      <c r="K86" s="223"/>
      <c r="N86" s="226"/>
      <c r="O86" s="225"/>
      <c r="P86" s="226"/>
      <c r="Q86" s="226"/>
      <c r="R86" s="226"/>
      <c r="S86" s="226"/>
      <c r="T86" s="226"/>
      <c r="U86" s="226"/>
      <c r="V86" s="226"/>
      <c r="W86" s="226"/>
      <c r="X86" s="226"/>
      <c r="Y86" s="226"/>
      <c r="Z86" s="226"/>
      <c r="AA86" s="226"/>
      <c r="AB86" s="226"/>
      <c r="AC86" s="226"/>
      <c r="AD86" s="226"/>
      <c r="AE86" s="226"/>
      <c r="AF86" s="226"/>
      <c r="AG86" s="226"/>
    </row>
    <row r="87" spans="1:33" ht="16.5" customHeight="1">
      <c r="A87" s="469"/>
      <c r="B87" s="469"/>
      <c r="C87" s="230" t="str">
        <f>Glossary!B12</f>
        <v>Architecture Review Board Sign Off</v>
      </c>
      <c r="D87" s="402"/>
      <c r="E87" s="398" t="b">
        <f t="shared" si="43"/>
        <v>0</v>
      </c>
      <c r="F87" s="399" t="str">
        <f t="shared" si="44"/>
        <v/>
      </c>
      <c r="G87" s="399">
        <v>15</v>
      </c>
      <c r="H87" s="400"/>
      <c r="I87" s="162"/>
      <c r="J87" s="297"/>
      <c r="K87" s="223"/>
      <c r="L87" s="147"/>
      <c r="M87" s="147"/>
      <c r="N87" s="226"/>
      <c r="O87" s="225"/>
      <c r="P87" s="226"/>
      <c r="Q87" s="226"/>
      <c r="R87" s="226"/>
      <c r="S87" s="226"/>
      <c r="T87" s="226"/>
      <c r="U87" s="226"/>
      <c r="V87" s="226"/>
      <c r="W87" s="226"/>
      <c r="X87" s="226"/>
      <c r="Y87" s="226"/>
      <c r="Z87" s="226"/>
      <c r="AA87" s="226"/>
      <c r="AB87" s="226"/>
      <c r="AC87" s="226"/>
      <c r="AD87" s="226"/>
      <c r="AE87" s="226"/>
      <c r="AF87" s="226"/>
      <c r="AG87" s="226"/>
    </row>
    <row r="88" spans="1:33" ht="16.5" customHeight="1">
      <c r="A88" s="469"/>
      <c r="B88" s="469"/>
      <c r="C88" s="195"/>
      <c r="D88" s="416"/>
      <c r="E88" s="416"/>
      <c r="F88" s="416"/>
      <c r="G88" s="416"/>
      <c r="H88" s="416"/>
      <c r="I88" s="165"/>
      <c r="J88" s="195"/>
      <c r="K88" s="195"/>
      <c r="L88" s="155"/>
      <c r="M88" s="155"/>
      <c r="N88" s="234"/>
      <c r="O88" s="235"/>
      <c r="P88" s="234"/>
      <c r="Q88" s="234"/>
      <c r="R88" s="234"/>
      <c r="S88" s="234"/>
      <c r="T88" s="234"/>
      <c r="U88" s="234"/>
      <c r="V88" s="234"/>
      <c r="W88" s="234"/>
      <c r="X88" s="234"/>
      <c r="Y88" s="234"/>
      <c r="Z88" s="234"/>
      <c r="AA88" s="234"/>
      <c r="AB88" s="234"/>
      <c r="AC88" s="234"/>
      <c r="AD88" s="234"/>
      <c r="AE88" s="234"/>
      <c r="AF88" s="234"/>
      <c r="AG88" s="234"/>
    </row>
    <row r="89" spans="1:33" ht="16.5" hidden="1" customHeight="1">
      <c r="A89" s="469"/>
      <c r="D89" s="420">
        <f>COUNTA(D83:D87,K83:K85)/COUNTA(F83:F87,M83:M85)</f>
        <v>0</v>
      </c>
      <c r="E89" s="421">
        <f t="shared" ref="E89:F89" si="47">SUM(E83:E87)</f>
        <v>0</v>
      </c>
      <c r="F89" s="421">
        <f t="shared" si="47"/>
        <v>0</v>
      </c>
      <c r="G89" s="421"/>
      <c r="H89" s="400" t="str">
        <f>IFERROR(AVERAGE(H83:H87),"")</f>
        <v/>
      </c>
      <c r="I89" s="162"/>
      <c r="L89" s="212">
        <f t="shared" ref="L89:M89" si="48">SUM(L83:L85)</f>
        <v>0</v>
      </c>
      <c r="M89" s="212">
        <f t="shared" si="48"/>
        <v>0</v>
      </c>
      <c r="O89" s="162"/>
    </row>
    <row r="90" spans="1:33" ht="16.5" customHeight="1">
      <c r="A90" s="468" t="s">
        <v>50</v>
      </c>
      <c r="B90" s="493" t="s">
        <v>102</v>
      </c>
      <c r="C90" s="239" t="str">
        <f>Glossary!B236</f>
        <v>System Architecture Definition</v>
      </c>
      <c r="D90" s="402"/>
      <c r="E90" s="398" t="b">
        <f t="shared" ref="E90:E91" si="49">IF(OR(D90="y",D90="n"), G90)</f>
        <v>0</v>
      </c>
      <c r="F90" s="399" t="str">
        <f t="shared" ref="F90:F91" si="50">IF(D90 = "Y",E90, IF(D90="n",0, ""))</f>
        <v/>
      </c>
      <c r="G90" s="422">
        <v>50</v>
      </c>
      <c r="H90" s="400"/>
      <c r="I90" s="162"/>
      <c r="J90" s="239" t="str">
        <f>Glossary!B13</f>
        <v xml:space="preserve">Align Business and Performance KPIs </v>
      </c>
      <c r="K90" s="402"/>
      <c r="L90" t="b">
        <f>IF(OR(K90="y",K90="n"), N90)</f>
        <v>0</v>
      </c>
      <c r="M90" s="51" t="str">
        <f>IF(K90 = "Y",L90, IF(K90="n",0, ""))</f>
        <v/>
      </c>
      <c r="N90">
        <v>50</v>
      </c>
      <c r="O90" s="162"/>
    </row>
    <row r="91" spans="1:33" ht="16.5" customHeight="1">
      <c r="A91" s="469"/>
      <c r="B91" s="469"/>
      <c r="C91" s="239" t="str">
        <f>Glossary!B165</f>
        <v>Performance Benchmark</v>
      </c>
      <c r="D91" s="402"/>
      <c r="E91" s="398" t="b">
        <f t="shared" si="49"/>
        <v>0</v>
      </c>
      <c r="F91" s="399" t="str">
        <f t="shared" si="50"/>
        <v/>
      </c>
      <c r="G91" s="408">
        <v>50</v>
      </c>
      <c r="H91" s="400"/>
      <c r="I91" s="162"/>
      <c r="J91" s="297"/>
      <c r="K91" s="97"/>
      <c r="L91" s="92"/>
      <c r="M91" s="92"/>
      <c r="O91" s="162"/>
    </row>
    <row r="92" spans="1:33" ht="16.5" customHeight="1">
      <c r="A92" s="469"/>
      <c r="B92" s="469"/>
      <c r="C92" s="240"/>
      <c r="D92" s="423"/>
      <c r="E92" s="423"/>
      <c r="F92" s="423"/>
      <c r="G92" s="423"/>
      <c r="H92" s="423"/>
      <c r="I92" s="241"/>
      <c r="J92" s="240"/>
      <c r="K92" s="240"/>
      <c r="L92" s="92"/>
      <c r="M92" s="92"/>
      <c r="O92" s="162"/>
    </row>
    <row r="93" spans="1:33" ht="16.5" customHeight="1">
      <c r="A93" s="469"/>
      <c r="B93" s="485" t="s">
        <v>103</v>
      </c>
      <c r="C93" s="239" t="str">
        <f>Glossary!B128</f>
        <v>Integration Testing</v>
      </c>
      <c r="D93" s="402"/>
      <c r="E93" s="398" t="b">
        <f t="shared" ref="E93:E95" si="51">IF(OR(D93="y",D93="n"), G93)</f>
        <v>0</v>
      </c>
      <c r="F93" s="399" t="str">
        <f t="shared" ref="F93:F95" si="52">IF(D93 = "Y",E93, IF(D93="n",0, ""))</f>
        <v/>
      </c>
      <c r="G93" s="408">
        <v>30</v>
      </c>
      <c r="H93" s="400"/>
      <c r="I93" s="162"/>
      <c r="J93" s="239" t="str">
        <f>Glossary!B23</f>
        <v>Automation Strategy</v>
      </c>
      <c r="K93" s="402"/>
      <c r="L93" t="b">
        <f>IF(OR(K93="y",K93="n"), N93)</f>
        <v>0</v>
      </c>
      <c r="M93" s="51" t="str">
        <f>IF(K93 = "Y",L93, IF(K93="n",0, ""))</f>
        <v/>
      </c>
      <c r="N93">
        <v>50</v>
      </c>
      <c r="O93" s="162"/>
    </row>
    <row r="94" spans="1:33" ht="16.5" customHeight="1">
      <c r="A94" s="469"/>
      <c r="B94" s="469"/>
      <c r="C94" s="239" t="str">
        <f>Glossary!B71</f>
        <v>Development Role Definition</v>
      </c>
      <c r="D94" s="402"/>
      <c r="E94" s="398" t="b">
        <f t="shared" si="51"/>
        <v>0</v>
      </c>
      <c r="F94" s="399" t="str">
        <f t="shared" si="52"/>
        <v/>
      </c>
      <c r="G94" s="422">
        <v>30</v>
      </c>
      <c r="H94" s="400"/>
      <c r="I94" s="162"/>
      <c r="J94" s="297"/>
      <c r="K94" s="97"/>
      <c r="L94" s="92"/>
      <c r="M94" s="92"/>
      <c r="O94" s="162"/>
    </row>
    <row r="95" spans="1:33" ht="16.5" customHeight="1">
      <c r="A95" s="469"/>
      <c r="B95" s="469"/>
      <c r="C95" s="239" t="str">
        <f>Glossary!B60</f>
        <v>Current Content Structure and Format</v>
      </c>
      <c r="D95" s="402"/>
      <c r="E95" s="398" t="b">
        <f t="shared" si="51"/>
        <v>0</v>
      </c>
      <c r="F95" s="399" t="str">
        <f t="shared" si="52"/>
        <v/>
      </c>
      <c r="G95" s="408">
        <v>35</v>
      </c>
      <c r="H95" s="400"/>
      <c r="I95" s="162"/>
      <c r="J95" s="297"/>
      <c r="K95" s="97"/>
      <c r="L95" s="92"/>
      <c r="M95" s="92"/>
      <c r="O95" s="162"/>
    </row>
    <row r="96" spans="1:33" ht="16.5" customHeight="1">
      <c r="A96" s="469"/>
      <c r="B96" s="470"/>
      <c r="C96" s="240"/>
      <c r="D96" s="423"/>
      <c r="E96" s="423"/>
      <c r="F96" s="423"/>
      <c r="G96" s="423"/>
      <c r="H96" s="423"/>
      <c r="I96" s="241"/>
      <c r="J96" s="242"/>
      <c r="K96" s="242"/>
      <c r="L96" s="92"/>
      <c r="M96" s="92"/>
      <c r="O96" s="162"/>
    </row>
    <row r="97" spans="1:15" ht="16.5" customHeight="1">
      <c r="A97" s="469"/>
      <c r="B97" s="472" t="s">
        <v>79</v>
      </c>
      <c r="C97" s="230" t="str">
        <f>Glossary!B136</f>
        <v>Legacy System</v>
      </c>
      <c r="D97" s="402"/>
      <c r="E97" s="398" t="b">
        <f t="shared" ref="E97:E98" si="53">IF(OR(D97="y",D97="n"), G97)</f>
        <v>0</v>
      </c>
      <c r="F97" s="399" t="str">
        <f t="shared" ref="F97:F98" si="54">IF(D97 = "Y",E97, IF(D97="n",0, ""))</f>
        <v/>
      </c>
      <c r="G97" s="408">
        <v>45</v>
      </c>
      <c r="H97" s="400"/>
      <c r="I97" s="162"/>
      <c r="J97" s="334" t="str">
        <f>Glossary!B57</f>
        <v>Content Architecture Document</v>
      </c>
      <c r="K97" s="402"/>
      <c r="L97" t="b">
        <f t="shared" ref="L97:L98" si="55">IF(OR(K97="y",K97="n"), N97)</f>
        <v>0</v>
      </c>
      <c r="M97" s="51" t="str">
        <f t="shared" ref="M97:M98" si="56">IF(K97 = "Y",L97, IF(K97="n",0, ""))</f>
        <v/>
      </c>
      <c r="N97">
        <v>50</v>
      </c>
      <c r="O97" s="162"/>
    </row>
    <row r="98" spans="1:15" ht="16.5" customHeight="1">
      <c r="A98" s="469"/>
      <c r="B98" s="469"/>
      <c r="C98" s="161" t="str">
        <f>Glossary!B142</f>
        <v>Migration Strategy</v>
      </c>
      <c r="D98" s="406"/>
      <c r="E98" s="398" t="b">
        <f t="shared" si="53"/>
        <v>0</v>
      </c>
      <c r="F98" s="399" t="str">
        <f t="shared" si="54"/>
        <v/>
      </c>
      <c r="G98" s="398">
        <v>45</v>
      </c>
      <c r="H98" s="407"/>
      <c r="I98" s="162"/>
      <c r="J98" s="305" t="s">
        <v>105</v>
      </c>
      <c r="K98" s="406"/>
      <c r="L98" t="b">
        <f t="shared" si="55"/>
        <v>0</v>
      </c>
      <c r="M98" s="51" t="str">
        <f t="shared" si="56"/>
        <v/>
      </c>
      <c r="N98">
        <v>50</v>
      </c>
      <c r="O98" s="162"/>
    </row>
    <row r="99" spans="1:15" ht="16.5" customHeight="1">
      <c r="A99" s="469"/>
      <c r="B99" s="469"/>
      <c r="C99" s="233"/>
      <c r="D99" s="409"/>
      <c r="E99" s="409"/>
      <c r="F99" s="409"/>
      <c r="G99" s="409"/>
      <c r="H99" s="409"/>
      <c r="I99" s="165"/>
      <c r="J99" s="233"/>
      <c r="K99" s="179"/>
      <c r="M99" s="51"/>
      <c r="O99" s="162"/>
    </row>
    <row r="100" spans="1:15" ht="16.5" customHeight="1">
      <c r="A100" s="469"/>
      <c r="B100" s="472" t="s">
        <v>75</v>
      </c>
      <c r="C100" s="303" t="str">
        <f>Glossary!B236</f>
        <v>System Architecture Definition</v>
      </c>
      <c r="D100" s="410"/>
      <c r="E100" s="398" t="b">
        <f t="shared" ref="E100:E102" si="57">IF(OR(D100="y",D100="n"), G100)</f>
        <v>0</v>
      </c>
      <c r="F100" s="399" t="str">
        <f t="shared" ref="F100:F102" si="58">IF(D100 = "Y",E100, IF(D100="n",0, ""))</f>
        <v/>
      </c>
      <c r="G100" s="399">
        <v>45</v>
      </c>
      <c r="H100" s="411"/>
      <c r="I100" s="162"/>
      <c r="J100" s="310" t="str">
        <f>Glossary!B220</f>
        <v>Solution Runbook</v>
      </c>
      <c r="K100" s="458"/>
      <c r="L100" t="b">
        <f t="shared" ref="L100:L101" si="59">IF(OR(K100="y",K100="n"), N100)</f>
        <v>0</v>
      </c>
      <c r="M100" s="51" t="str">
        <f t="shared" ref="M100:M101" si="60">IF(K100 = "Y",L100, IF(K100="n",0, ""))</f>
        <v/>
      </c>
      <c r="N100">
        <v>55</v>
      </c>
      <c r="O100" s="162"/>
    </row>
    <row r="101" spans="1:15" ht="16.5" customHeight="1">
      <c r="A101" s="469"/>
      <c r="B101" s="469"/>
      <c r="C101" s="230" t="str">
        <f>Glossary!B104</f>
        <v>High Level Solution Design</v>
      </c>
      <c r="D101" s="402"/>
      <c r="E101" s="398" t="b">
        <f t="shared" si="57"/>
        <v>0</v>
      </c>
      <c r="F101" s="399" t="str">
        <f t="shared" si="58"/>
        <v/>
      </c>
      <c r="G101" s="398">
        <v>35</v>
      </c>
      <c r="H101" s="400"/>
      <c r="I101" s="162"/>
      <c r="J101" s="334" t="str">
        <f>Glossary!B70</f>
        <v>Deployment / Release Policies and Processes</v>
      </c>
      <c r="K101" s="459"/>
      <c r="L101" t="b">
        <f t="shared" si="59"/>
        <v>0</v>
      </c>
      <c r="M101" s="51" t="str">
        <f t="shared" si="60"/>
        <v/>
      </c>
      <c r="N101">
        <v>45</v>
      </c>
      <c r="O101" s="162"/>
    </row>
    <row r="102" spans="1:15" ht="16.5" customHeight="1">
      <c r="A102" s="469"/>
      <c r="B102" s="469"/>
      <c r="C102" s="230" t="str">
        <f>Glossary!B10</f>
        <v>Architecture Diagram</v>
      </c>
      <c r="D102" s="402"/>
      <c r="E102" s="398" t="b">
        <f t="shared" si="57"/>
        <v>0</v>
      </c>
      <c r="F102" s="399" t="str">
        <f t="shared" si="58"/>
        <v/>
      </c>
      <c r="G102" s="408">
        <v>20</v>
      </c>
      <c r="H102" s="400"/>
      <c r="I102" s="162"/>
      <c r="J102" s="297"/>
      <c r="K102" s="221"/>
      <c r="O102" s="162"/>
    </row>
    <row r="103" spans="1:15" ht="16.5" customHeight="1">
      <c r="A103" s="470"/>
      <c r="B103" s="470"/>
      <c r="C103" s="182"/>
      <c r="D103" s="415"/>
      <c r="E103" s="415"/>
      <c r="F103" s="415"/>
      <c r="G103" s="415"/>
      <c r="H103" s="415"/>
      <c r="I103" s="165"/>
      <c r="J103" s="182"/>
      <c r="K103" s="182"/>
      <c r="O103" s="162"/>
    </row>
    <row r="104" spans="1:15" ht="16.5" hidden="1" customHeight="1">
      <c r="A104" s="243"/>
      <c r="C104" s="228"/>
      <c r="D104" s="424">
        <f>COUNTA(D90:D102,K90,K93,K97:K101)/COUNTA(F90:F102,M90,M93,M97:M101)</f>
        <v>0</v>
      </c>
      <c r="E104" s="425">
        <f t="shared" ref="E104:F104" si="61">SUM(E83:E89)</f>
        <v>0</v>
      </c>
      <c r="F104" s="425">
        <f t="shared" si="61"/>
        <v>0</v>
      </c>
      <c r="G104" s="425"/>
      <c r="H104" s="411" t="str">
        <f>IFERROR(AVERAGE(H90:H102),"")</f>
        <v/>
      </c>
      <c r="I104" s="162"/>
      <c r="J104" s="108"/>
      <c r="K104" s="97"/>
      <c r="L104" s="244">
        <f t="shared" ref="L104:M104" si="62">SUM(L83:L89)</f>
        <v>0</v>
      </c>
      <c r="M104" s="244">
        <f t="shared" si="62"/>
        <v>0</v>
      </c>
      <c r="O104" s="162"/>
    </row>
    <row r="105" spans="1:15" ht="16.5" customHeight="1">
      <c r="A105" s="492" t="s">
        <v>51</v>
      </c>
      <c r="B105" s="490" t="s">
        <v>84</v>
      </c>
      <c r="C105" s="303" t="str">
        <f>Glossary!B166</f>
        <v>Performance KPIs</v>
      </c>
      <c r="D105" s="402"/>
      <c r="E105" s="398" t="b">
        <f t="shared" ref="E105:E111" si="63">IF(OR(D105="y",D105="n"), G105)</f>
        <v>0</v>
      </c>
      <c r="F105" s="399" t="str">
        <f t="shared" ref="F105:F111" si="64">IF(D105 = "Y",E105, IF(D105="n",0, ""))</f>
        <v/>
      </c>
      <c r="G105" s="398">
        <v>30</v>
      </c>
      <c r="H105" s="400"/>
      <c r="I105" s="162"/>
      <c r="J105" s="230" t="str">
        <f>Glossary!B169</f>
        <v>Performance Test Results match Performance KPIs</v>
      </c>
      <c r="K105" s="402"/>
      <c r="L105" t="b">
        <f t="shared" ref="L105:L108" si="65">IF(OR(K105="y",K105="n"), N105)</f>
        <v>0</v>
      </c>
      <c r="M105" s="51" t="str">
        <f t="shared" ref="M105:M108" si="66">IF(K105 = "Y",L105, IF(K105="n",0, ""))</f>
        <v/>
      </c>
      <c r="N105">
        <v>40</v>
      </c>
      <c r="O105" s="162"/>
    </row>
    <row r="106" spans="1:15" ht="16.5" customHeight="1">
      <c r="A106" s="469"/>
      <c r="B106" s="487"/>
      <c r="C106" s="230" t="str">
        <f>Glossary!B270</f>
        <v>Use cases</v>
      </c>
      <c r="D106" s="402"/>
      <c r="E106" s="398" t="b">
        <f t="shared" si="63"/>
        <v>0</v>
      </c>
      <c r="F106" s="399" t="str">
        <f t="shared" si="64"/>
        <v/>
      </c>
      <c r="G106" s="398">
        <v>10</v>
      </c>
      <c r="H106" s="400"/>
      <c r="I106" s="162"/>
      <c r="J106" s="230" t="str">
        <f>Glossary!B168</f>
        <v>Performance Test Report</v>
      </c>
      <c r="K106" s="402"/>
      <c r="L106" t="b">
        <f t="shared" si="65"/>
        <v>0</v>
      </c>
      <c r="M106" s="51" t="str">
        <f t="shared" si="66"/>
        <v/>
      </c>
      <c r="N106">
        <v>30</v>
      </c>
      <c r="O106" s="162"/>
    </row>
    <row r="107" spans="1:15" ht="17.25" customHeight="1">
      <c r="A107" s="469"/>
      <c r="B107" s="487"/>
      <c r="C107" s="230" t="str">
        <f>Glossary!B250</f>
        <v>Test Content</v>
      </c>
      <c r="D107" s="402"/>
      <c r="E107" s="398" t="b">
        <f t="shared" si="63"/>
        <v>0</v>
      </c>
      <c r="F107" s="399" t="str">
        <f t="shared" si="64"/>
        <v/>
      </c>
      <c r="G107" s="398">
        <v>15</v>
      </c>
      <c r="H107" s="400"/>
      <c r="I107" s="162"/>
      <c r="J107" s="230" t="str">
        <f>Glossary!B263</f>
        <v>Threshold definition</v>
      </c>
      <c r="K107" s="402"/>
      <c r="L107" t="b">
        <f t="shared" si="65"/>
        <v>0</v>
      </c>
      <c r="M107" s="51" t="str">
        <f t="shared" si="66"/>
        <v/>
      </c>
      <c r="N107">
        <v>15</v>
      </c>
      <c r="O107" s="162"/>
    </row>
    <row r="108" spans="1:15" ht="18.75" customHeight="1">
      <c r="A108" s="469"/>
      <c r="B108" s="487"/>
      <c r="C108" s="230" t="str">
        <f>Glossary!B249</f>
        <v>Testing Concept</v>
      </c>
      <c r="D108" s="402"/>
      <c r="E108" s="398" t="b">
        <f t="shared" si="63"/>
        <v>0</v>
      </c>
      <c r="F108" s="399" t="str">
        <f t="shared" si="64"/>
        <v/>
      </c>
      <c r="G108" s="398">
        <v>20</v>
      </c>
      <c r="H108" s="400"/>
      <c r="I108" s="162"/>
      <c r="J108" s="140" t="str">
        <f>Glossary!B78</f>
        <v xml:space="preserve">Durabilty Test </v>
      </c>
      <c r="K108" s="402"/>
      <c r="L108" t="b">
        <f t="shared" si="65"/>
        <v>0</v>
      </c>
      <c r="M108" s="51" t="str">
        <f t="shared" si="66"/>
        <v/>
      </c>
      <c r="N108">
        <v>15</v>
      </c>
      <c r="O108" s="162"/>
    </row>
    <row r="109" spans="1:15" ht="14.25" customHeight="1">
      <c r="A109" s="469"/>
      <c r="B109" s="487"/>
      <c r="C109" s="161" t="str">
        <f>Glossary!B255</f>
        <v>Test Suite</v>
      </c>
      <c r="D109" s="402"/>
      <c r="E109" s="398" t="b">
        <f t="shared" si="63"/>
        <v>0</v>
      </c>
      <c r="F109" s="399" t="str">
        <f t="shared" si="64"/>
        <v/>
      </c>
      <c r="G109" s="398">
        <v>5</v>
      </c>
      <c r="H109" s="400"/>
      <c r="I109" s="162"/>
      <c r="J109" s="297"/>
      <c r="K109" s="223"/>
      <c r="O109" s="162"/>
    </row>
    <row r="110" spans="1:15" ht="15" customHeight="1">
      <c r="A110" s="469"/>
      <c r="B110" s="487"/>
      <c r="C110" s="161" t="str">
        <f>Glossary!B37</f>
        <v>Caching Strategy</v>
      </c>
      <c r="D110" s="402"/>
      <c r="E110" s="398" t="b">
        <f t="shared" si="63"/>
        <v>0</v>
      </c>
      <c r="F110" s="399" t="str">
        <f t="shared" si="64"/>
        <v/>
      </c>
      <c r="G110" s="422">
        <v>15</v>
      </c>
      <c r="H110" s="400"/>
      <c r="I110" s="162"/>
      <c r="J110" s="297"/>
      <c r="K110" s="223"/>
      <c r="L110" s="155"/>
      <c r="M110" s="155"/>
      <c r="O110" s="162"/>
    </row>
    <row r="111" spans="1:15" ht="15" customHeight="1">
      <c r="A111" s="469"/>
      <c r="B111" s="487"/>
      <c r="C111" s="230" t="str">
        <f>Glossary!B165</f>
        <v>Performance Benchmark</v>
      </c>
      <c r="D111" s="402"/>
      <c r="E111" s="398" t="b">
        <f t="shared" si="63"/>
        <v>0</v>
      </c>
      <c r="F111" s="399" t="str">
        <f t="shared" si="64"/>
        <v/>
      </c>
      <c r="G111" s="408">
        <v>20</v>
      </c>
      <c r="H111" s="400"/>
      <c r="I111" s="162"/>
      <c r="J111" s="297"/>
      <c r="K111" s="223"/>
      <c r="L111" s="155"/>
      <c r="M111" s="90"/>
      <c r="O111" s="162"/>
    </row>
    <row r="112" spans="1:15" ht="15" customHeight="1">
      <c r="A112" s="470"/>
      <c r="B112" s="487"/>
      <c r="C112" s="195"/>
      <c r="D112" s="416"/>
      <c r="E112" s="416"/>
      <c r="F112" s="416"/>
      <c r="G112" s="416"/>
      <c r="H112" s="416"/>
      <c r="I112" s="165"/>
      <c r="J112" s="195"/>
      <c r="K112" s="164"/>
      <c r="L112" s="155"/>
      <c r="M112" s="155"/>
      <c r="O112" s="162"/>
    </row>
    <row r="113" spans="1:15" ht="3" hidden="1" customHeight="1">
      <c r="A113" s="254"/>
      <c r="B113" s="491"/>
      <c r="C113" s="307"/>
      <c r="D113" s="418">
        <f>COUNTA(D105:D111,K105:K108)/COUNTA(F105:F111,M105:M108)</f>
        <v>0</v>
      </c>
      <c r="E113" s="413">
        <f t="shared" ref="E113:F113" si="67">SUM(E105:E111)</f>
        <v>0</v>
      </c>
      <c r="F113" s="413">
        <f t="shared" si="67"/>
        <v>0</v>
      </c>
      <c r="G113" s="413"/>
      <c r="H113" s="411" t="str">
        <f>IFERROR(AVERAGE(H105:H111),"")</f>
        <v/>
      </c>
      <c r="I113" s="162"/>
      <c r="J113" s="307"/>
      <c r="L113" s="92">
        <f t="shared" ref="L113:M113" si="68">SUM(L105:L109)</f>
        <v>0</v>
      </c>
      <c r="M113" s="92">
        <f t="shared" si="68"/>
        <v>0</v>
      </c>
      <c r="O113" s="162"/>
    </row>
    <row r="114" spans="1:15" ht="16.5" customHeight="1">
      <c r="A114" s="484" t="s">
        <v>52</v>
      </c>
      <c r="B114" s="472" t="s">
        <v>109</v>
      </c>
      <c r="C114" s="230" t="str">
        <f>Glossary!B210</f>
        <v xml:space="preserve">Security Checklist </v>
      </c>
      <c r="D114" s="402"/>
      <c r="E114" s="398" t="b">
        <f t="shared" ref="E114:E116" si="69">IF(OR(D114="y",D114="n"), G114)</f>
        <v>0</v>
      </c>
      <c r="F114" s="399" t="str">
        <f t="shared" ref="F114:F116" si="70">IF(D114 = "Y",E114, IF(D114="n",0, ""))</f>
        <v/>
      </c>
      <c r="G114" s="398">
        <v>45</v>
      </c>
      <c r="H114" s="400"/>
      <c r="I114" s="162"/>
      <c r="J114" s="230" t="str">
        <f>Glossary!B213</f>
        <v xml:space="preserve">Security issues listed and assesed </v>
      </c>
      <c r="K114" s="402"/>
      <c r="L114" t="b">
        <f t="shared" ref="L114:L116" si="71">IF(OR(K114="y",K114="n"), N114)</f>
        <v>0</v>
      </c>
      <c r="M114" s="51" t="str">
        <f t="shared" ref="M114:M116" si="72">IF(K114 = "Y",L114, IF(K114="n",0, ""))</f>
        <v/>
      </c>
      <c r="N114" s="3">
        <v>30</v>
      </c>
      <c r="O114" s="162"/>
    </row>
    <row r="115" spans="1:15" ht="28">
      <c r="A115" s="480"/>
      <c r="B115" s="469"/>
      <c r="C115" s="282" t="str">
        <f>Glossary!B236</f>
        <v>System Architecture Definition</v>
      </c>
      <c r="D115" s="402"/>
      <c r="E115" s="398" t="b">
        <f t="shared" si="69"/>
        <v>0</v>
      </c>
      <c r="F115" s="399" t="str">
        <f t="shared" si="70"/>
        <v/>
      </c>
      <c r="G115" s="398">
        <v>25</v>
      </c>
      <c r="H115" s="400"/>
      <c r="I115" s="162"/>
      <c r="J115" s="334" t="str">
        <f>Glossary!B35</f>
        <v>Business sign off on any required adjustments to the solution or architecture identified and aligned against ROI and KPI expectations</v>
      </c>
      <c r="K115" s="402"/>
      <c r="L115" t="b">
        <f t="shared" si="71"/>
        <v>0</v>
      </c>
      <c r="M115" s="51" t="str">
        <f t="shared" si="72"/>
        <v/>
      </c>
      <c r="N115" s="3">
        <v>40</v>
      </c>
      <c r="O115" s="162"/>
    </row>
    <row r="116" spans="1:15" ht="16.5" customHeight="1">
      <c r="A116" s="480"/>
      <c r="B116" s="469"/>
      <c r="C116" s="230" t="str">
        <f>Glossary!B276</f>
        <v>White box test results</v>
      </c>
      <c r="D116" s="402"/>
      <c r="E116" s="398" t="b">
        <f t="shared" si="69"/>
        <v>0</v>
      </c>
      <c r="F116" s="399" t="str">
        <f t="shared" si="70"/>
        <v/>
      </c>
      <c r="G116" s="408">
        <v>30</v>
      </c>
      <c r="H116" s="400"/>
      <c r="I116" s="162"/>
      <c r="J116" s="334" t="str">
        <f>Glossary!B172</f>
        <v>Penetration Test passed</v>
      </c>
      <c r="K116" s="402"/>
      <c r="L116" t="b">
        <f t="shared" si="71"/>
        <v>0</v>
      </c>
      <c r="M116" s="51" t="str">
        <f t="shared" si="72"/>
        <v/>
      </c>
      <c r="N116">
        <v>50</v>
      </c>
      <c r="O116" s="162"/>
    </row>
    <row r="117" spans="1:15" ht="16.5" customHeight="1">
      <c r="A117" s="480"/>
      <c r="B117" s="469"/>
      <c r="C117" s="195"/>
      <c r="D117" s="416"/>
      <c r="E117" s="416"/>
      <c r="F117" s="416"/>
      <c r="G117" s="416"/>
      <c r="H117" s="416"/>
      <c r="I117" s="165"/>
      <c r="J117" s="195"/>
      <c r="K117" s="164"/>
      <c r="O117" s="162"/>
    </row>
    <row r="118" spans="1:15" ht="16.5" hidden="1" customHeight="1">
      <c r="A118" s="254"/>
      <c r="B118" s="274"/>
      <c r="C118" s="307"/>
      <c r="D118" s="426">
        <f>COUNTA(D114:D116,K114:K116)/COUNTA(F114:F116,M114:M116)</f>
        <v>0</v>
      </c>
      <c r="E118" s="413">
        <f t="shared" ref="E118:F118" si="73">SUM(E114:E116)</f>
        <v>0</v>
      </c>
      <c r="F118" s="413">
        <f t="shared" si="73"/>
        <v>0</v>
      </c>
      <c r="G118" s="413"/>
      <c r="H118" s="411" t="str">
        <f>IFERROR(AVERAGE(H114:H116),"")</f>
        <v/>
      </c>
      <c r="I118" s="162"/>
      <c r="J118" s="305"/>
      <c r="K118" s="97"/>
      <c r="L118" s="92">
        <f t="shared" ref="L118:M118" si="74">SUM(L114:L116)</f>
        <v>0</v>
      </c>
      <c r="M118" s="92">
        <f t="shared" si="74"/>
        <v>0</v>
      </c>
      <c r="O118" s="162"/>
    </row>
    <row r="119" spans="1:15" ht="16.5" customHeight="1">
      <c r="A119" s="255" t="s">
        <v>53</v>
      </c>
      <c r="B119" s="490" t="s">
        <v>46</v>
      </c>
      <c r="C119" s="230" t="str">
        <f>Glossary!B57</f>
        <v>Content Architecture Document</v>
      </c>
      <c r="D119" s="402"/>
      <c r="E119" s="398" t="b">
        <f t="shared" ref="E119:E120" si="75">IF(OR(D119="y",D119="n"), G119)</f>
        <v>0</v>
      </c>
      <c r="F119" s="399" t="str">
        <f t="shared" ref="F119:F120" si="76">IF(D119 = "Y",E119, IF(D119="n",0, ""))</f>
        <v/>
      </c>
      <c r="G119" s="398">
        <v>50</v>
      </c>
      <c r="H119" s="400"/>
      <c r="I119" s="162"/>
      <c r="J119" s="230" t="str">
        <f>Glossary!B269</f>
        <v>URL handling concept</v>
      </c>
      <c r="K119" s="460"/>
      <c r="L119" t="b">
        <f t="shared" ref="L119:L120" si="77">IF(OR(K119="y",K119="n"), N119)</f>
        <v>0</v>
      </c>
      <c r="M119" s="51" t="str">
        <f t="shared" ref="M119:M120" si="78">IF(K119 = "Y",L119, IF(K119="n",0, ""))</f>
        <v/>
      </c>
      <c r="N119" s="3">
        <v>30</v>
      </c>
      <c r="O119" s="162"/>
    </row>
    <row r="120" spans="1:15" ht="16.5" customHeight="1">
      <c r="A120" s="254"/>
      <c r="B120" s="487"/>
      <c r="C120" s="161" t="str">
        <f>Glossary!B106</f>
        <v>Historical Content Structure</v>
      </c>
      <c r="D120" s="406"/>
      <c r="E120" s="398" t="b">
        <f t="shared" si="75"/>
        <v>0</v>
      </c>
      <c r="F120" s="399" t="str">
        <f t="shared" si="76"/>
        <v/>
      </c>
      <c r="G120" s="398">
        <v>50</v>
      </c>
      <c r="H120" s="407"/>
      <c r="I120" s="162"/>
      <c r="J120" s="161" t="str">
        <f>Glossary!B68</f>
        <v>Default security enabled</v>
      </c>
      <c r="K120" s="406"/>
      <c r="L120" t="b">
        <f t="shared" si="77"/>
        <v>0</v>
      </c>
      <c r="M120" s="51" t="str">
        <f t="shared" si="78"/>
        <v/>
      </c>
      <c r="N120">
        <v>15</v>
      </c>
      <c r="O120" s="162"/>
    </row>
    <row r="121" spans="1:15" ht="16.5" customHeight="1">
      <c r="A121" s="134"/>
      <c r="B121" s="487"/>
      <c r="C121" s="233"/>
      <c r="D121" s="409"/>
      <c r="E121" s="409"/>
      <c r="F121" s="409"/>
      <c r="G121" s="409"/>
      <c r="H121" s="409"/>
      <c r="I121" s="165"/>
      <c r="J121" s="233"/>
      <c r="K121" s="179"/>
      <c r="M121" s="51"/>
      <c r="O121" s="162"/>
    </row>
    <row r="122" spans="1:15" ht="16.5" customHeight="1">
      <c r="A122" s="486"/>
      <c r="B122" s="488" t="s">
        <v>94</v>
      </c>
      <c r="C122" s="303" t="str">
        <f>Glossary!B210</f>
        <v xml:space="preserve">Security Checklist </v>
      </c>
      <c r="D122" s="410"/>
      <c r="E122" s="398" t="b">
        <f t="shared" ref="E122:E124" si="79">IF(OR(D122="y",D122="n"), G122)</f>
        <v>0</v>
      </c>
      <c r="F122" s="399" t="str">
        <f t="shared" ref="F122:F124" si="80">IF(D122 = "Y",E122, IF(D122="n",0, ""))</f>
        <v/>
      </c>
      <c r="G122" s="398">
        <v>10</v>
      </c>
      <c r="H122" s="411"/>
      <c r="I122" s="162"/>
      <c r="J122" s="303" t="str">
        <f>Glossary!B214</f>
        <v>Security sign off from business stakeholders</v>
      </c>
      <c r="K122" s="410"/>
      <c r="L122" t="b">
        <f t="shared" ref="L122:L123" si="81">IF(OR(K122="y",K122="n"), N122)</f>
        <v>0</v>
      </c>
      <c r="M122" s="51" t="str">
        <f t="shared" ref="M122:M123" si="82">IF(K122 = "Y",L122, IF(K122="n",0, ""))</f>
        <v/>
      </c>
      <c r="N122">
        <v>20</v>
      </c>
      <c r="O122" s="162"/>
    </row>
    <row r="123" spans="1:15" ht="16.5" customHeight="1">
      <c r="A123" s="487"/>
      <c r="B123" s="487"/>
      <c r="C123" s="230" t="str">
        <f>Glossary!B213</f>
        <v xml:space="preserve">Security issues listed and assesed </v>
      </c>
      <c r="D123" s="402"/>
      <c r="E123" s="398" t="b">
        <f t="shared" si="79"/>
        <v>0</v>
      </c>
      <c r="F123" s="399" t="str">
        <f t="shared" si="80"/>
        <v/>
      </c>
      <c r="G123" s="398">
        <v>15</v>
      </c>
      <c r="H123" s="400"/>
      <c r="I123" s="162"/>
      <c r="J123" s="230" t="str">
        <f>Glossary!B172</f>
        <v>Penetration Test passed</v>
      </c>
      <c r="K123" s="402"/>
      <c r="L123" t="b">
        <f t="shared" si="81"/>
        <v>0</v>
      </c>
      <c r="M123" s="51" t="str">
        <f t="shared" si="82"/>
        <v/>
      </c>
      <c r="N123">
        <v>15</v>
      </c>
      <c r="O123" s="162"/>
    </row>
    <row r="124" spans="1:15" ht="16.5" customHeight="1">
      <c r="A124" s="487"/>
      <c r="B124" s="487"/>
      <c r="C124" s="230" t="str">
        <f>Glossary!B171</f>
        <v>Penetration Test Results</v>
      </c>
      <c r="D124" s="402"/>
      <c r="E124" s="398" t="b">
        <f t="shared" si="79"/>
        <v>0</v>
      </c>
      <c r="F124" s="399" t="str">
        <f t="shared" si="80"/>
        <v/>
      </c>
      <c r="G124" s="408">
        <v>15</v>
      </c>
      <c r="H124" s="400"/>
      <c r="I124" s="162"/>
      <c r="J124" s="297"/>
      <c r="K124" s="223"/>
      <c r="O124" s="162"/>
    </row>
    <row r="125" spans="1:15" ht="16.5" customHeight="1">
      <c r="A125" s="487"/>
      <c r="B125" s="489"/>
      <c r="C125" s="182"/>
      <c r="D125" s="415"/>
      <c r="E125" s="415"/>
      <c r="F125" s="415"/>
      <c r="G125" s="415"/>
      <c r="H125" s="415"/>
      <c r="I125" s="165"/>
      <c r="J125" s="182"/>
      <c r="K125" s="182"/>
      <c r="O125" s="162"/>
    </row>
    <row r="126" spans="1:15" ht="16.5" customHeight="1">
      <c r="A126" s="487"/>
      <c r="B126" s="490" t="s">
        <v>95</v>
      </c>
      <c r="C126" s="303" t="str">
        <f>Glossary!B92</f>
        <v>Fallback system and procedure</v>
      </c>
      <c r="D126" s="410"/>
      <c r="E126" s="398" t="b">
        <f t="shared" ref="E126:E127" si="83">IF(OR(D126="y",D126="n"), G126)</f>
        <v>0</v>
      </c>
      <c r="F126" s="399" t="str">
        <f t="shared" ref="F126:F127" si="84">IF(D126 = "Y",E126, IF(D126="n",0, ""))</f>
        <v/>
      </c>
      <c r="G126" s="398">
        <v>20</v>
      </c>
      <c r="H126" s="411"/>
      <c r="I126" s="162"/>
      <c r="J126" s="303" t="str">
        <f>Glossary!B93</f>
        <v>Fallback system sign off from business stakeholders</v>
      </c>
      <c r="K126" s="410"/>
      <c r="L126" t="b">
        <f>IF(OR(K126="y",K126="n"), N126)</f>
        <v>0</v>
      </c>
      <c r="M126" s="51" t="str">
        <f>IF(K126 = "Y",L126, IF(K126="n",0, ""))</f>
        <v/>
      </c>
      <c r="N126" s="3">
        <v>40</v>
      </c>
      <c r="O126" s="162"/>
    </row>
    <row r="127" spans="1:15" ht="16.5" customHeight="1">
      <c r="A127" s="487"/>
      <c r="B127" s="487"/>
      <c r="C127" s="161" t="str">
        <f>Glossary!B91</f>
        <v>Fallback system and procedure tested</v>
      </c>
      <c r="D127" s="406"/>
      <c r="E127" s="398" t="b">
        <f t="shared" si="83"/>
        <v>0</v>
      </c>
      <c r="F127" s="399" t="str">
        <f t="shared" si="84"/>
        <v/>
      </c>
      <c r="G127" s="398">
        <v>20</v>
      </c>
      <c r="H127" s="407"/>
      <c r="I127" s="162"/>
      <c r="J127" s="196"/>
      <c r="K127" s="196"/>
      <c r="M127" s="51"/>
      <c r="O127" s="162"/>
    </row>
    <row r="128" spans="1:15" ht="16.5" customHeight="1">
      <c r="A128" s="487"/>
      <c r="B128" s="489"/>
      <c r="C128" s="233"/>
      <c r="D128" s="409"/>
      <c r="E128" s="409"/>
      <c r="F128" s="409"/>
      <c r="G128" s="409"/>
      <c r="H128" s="409"/>
      <c r="I128" s="165"/>
      <c r="J128" s="195"/>
      <c r="K128" s="195"/>
      <c r="M128" s="51"/>
      <c r="O128" s="162"/>
    </row>
    <row r="129" spans="1:15" ht="16.5" customHeight="1">
      <c r="A129" s="487"/>
      <c r="B129" s="256" t="s">
        <v>97</v>
      </c>
      <c r="C129" s="303" t="str">
        <f>Glossary!B46</f>
        <v>Customer Monitoring Policies or Requirements</v>
      </c>
      <c r="D129" s="410"/>
      <c r="E129" s="398" t="b">
        <f t="shared" ref="E129:E131" si="85">IF(OR(D129="y",D129="n"), G129)</f>
        <v>0</v>
      </c>
      <c r="F129" s="399" t="str">
        <f t="shared" ref="F129:F131" si="86">IF(D129 = "Y",E129, IF(D129="n",0, ""))</f>
        <v/>
      </c>
      <c r="G129" s="398">
        <v>10</v>
      </c>
      <c r="H129" s="411"/>
      <c r="I129" s="162"/>
      <c r="J129" s="230" t="str">
        <f>Glossary!B154</f>
        <v>Monitoring Concept</v>
      </c>
      <c r="K129" s="402"/>
      <c r="L129" t="b">
        <f t="shared" ref="L129:L130" si="87">IF(OR(K129="y",K129="n"), N129)</f>
        <v>0</v>
      </c>
      <c r="M129" s="51" t="str">
        <f t="shared" ref="M129:M130" si="88">IF(K129 = "Y",L129, IF(K129="n",0, ""))</f>
        <v/>
      </c>
      <c r="N129" s="3">
        <v>20</v>
      </c>
      <c r="O129" s="162"/>
    </row>
    <row r="130" spans="1:15" ht="16.5" customHeight="1">
      <c r="A130" s="254"/>
      <c r="B130" s="261"/>
      <c r="C130" s="230" t="str">
        <f>Glossary!B70</f>
        <v>Deployment / Release Policies and Processes</v>
      </c>
      <c r="D130" s="402"/>
      <c r="E130" s="398" t="b">
        <f t="shared" si="85"/>
        <v>0</v>
      </c>
      <c r="F130" s="399" t="str">
        <f t="shared" si="86"/>
        <v/>
      </c>
      <c r="G130" s="398">
        <v>5</v>
      </c>
      <c r="H130" s="400"/>
      <c r="I130" s="162"/>
      <c r="J130" s="230" t="str">
        <f>Glossary!B30</f>
        <v>Back up and Restore Concept</v>
      </c>
      <c r="K130" s="402"/>
      <c r="L130" t="b">
        <f t="shared" si="87"/>
        <v>0</v>
      </c>
      <c r="M130" s="51" t="str">
        <f t="shared" si="88"/>
        <v/>
      </c>
      <c r="N130">
        <v>10</v>
      </c>
      <c r="O130" s="162"/>
    </row>
    <row r="131" spans="1:15" ht="16.5" customHeight="1">
      <c r="A131" s="262"/>
      <c r="B131" s="264"/>
      <c r="C131" s="230" t="str">
        <f>Glossary!B178</f>
        <v>Production Sign off Process and Policy</v>
      </c>
      <c r="D131" s="402"/>
      <c r="E131" s="398" t="b">
        <f t="shared" si="85"/>
        <v>0</v>
      </c>
      <c r="F131" s="399" t="str">
        <f t="shared" si="86"/>
        <v/>
      </c>
      <c r="G131" s="427">
        <v>5</v>
      </c>
      <c r="H131" s="400"/>
      <c r="I131" s="162"/>
      <c r="J131" s="201"/>
      <c r="K131" s="266"/>
      <c r="L131" s="155"/>
      <c r="M131" s="145"/>
      <c r="O131" s="162"/>
    </row>
    <row r="132" spans="1:15" ht="16.5" hidden="1" customHeight="1">
      <c r="A132" s="254"/>
      <c r="B132" s="261"/>
      <c r="C132" s="307"/>
      <c r="D132" s="420">
        <f>COUNTA(D119:D131,K119:K129)/COUNTA(F119:F131,M119:M129)</f>
        <v>0</v>
      </c>
      <c r="E132" s="421">
        <f t="shared" ref="E132:F132" si="89">SUM(E119:E131)</f>
        <v>0</v>
      </c>
      <c r="F132" s="421">
        <f t="shared" si="89"/>
        <v>0</v>
      </c>
      <c r="G132" s="421"/>
      <c r="H132" s="428" t="str">
        <f>IFERROR(AVERAGE(H119:H131),"")</f>
        <v/>
      </c>
      <c r="J132" s="204"/>
      <c r="L132" s="271">
        <f t="shared" ref="L132:M132" si="90">SUM(L119:L130)</f>
        <v>0</v>
      </c>
      <c r="M132" s="271">
        <f t="shared" si="90"/>
        <v>0</v>
      </c>
      <c r="O132" s="162"/>
    </row>
    <row r="133" spans="1:15" ht="19.5" customHeight="1">
      <c r="A133" s="211"/>
      <c r="B133" s="211"/>
      <c r="C133" s="211"/>
      <c r="D133" s="429"/>
      <c r="E133" s="429"/>
      <c r="F133" s="429"/>
      <c r="G133" s="429"/>
      <c r="H133" s="429"/>
      <c r="I133" s="162"/>
      <c r="J133" s="211"/>
      <c r="K133" s="211"/>
      <c r="O133" s="162"/>
    </row>
    <row r="134" spans="1:15" ht="12.75" customHeight="1">
      <c r="D134" s="430"/>
      <c r="H134" s="431"/>
      <c r="K134" s="212"/>
      <c r="L134" s="212"/>
      <c r="M134" s="212"/>
    </row>
    <row r="135" spans="1:15" ht="12.75" customHeight="1">
      <c r="D135" s="430"/>
      <c r="H135" s="431"/>
      <c r="K135" s="212"/>
      <c r="L135" s="212"/>
      <c r="M135" s="212"/>
    </row>
    <row r="136" spans="1:15" ht="12.75" customHeight="1">
      <c r="D136" s="432"/>
      <c r="E136" s="433"/>
      <c r="F136" s="433"/>
      <c r="G136" s="433"/>
      <c r="H136" s="434"/>
      <c r="I136" s="214"/>
      <c r="J136" s="213"/>
      <c r="K136" s="212"/>
      <c r="L136" s="212"/>
      <c r="M136" s="212"/>
    </row>
    <row r="137" spans="1:15" ht="12.75" customHeight="1">
      <c r="D137" s="430"/>
      <c r="H137" s="431"/>
      <c r="K137" s="212"/>
      <c r="L137" s="212"/>
      <c r="M137" s="212"/>
    </row>
    <row r="138" spans="1:15" ht="12.75" customHeight="1">
      <c r="D138" s="430"/>
      <c r="H138" s="431"/>
      <c r="K138" s="212"/>
      <c r="L138" s="212"/>
      <c r="M138" s="212"/>
    </row>
    <row r="139" spans="1:15" ht="12.75" customHeight="1">
      <c r="D139" s="430"/>
      <c r="H139" s="431"/>
      <c r="K139" s="212"/>
      <c r="L139" s="212"/>
      <c r="M139" s="212"/>
    </row>
    <row r="140" spans="1:15" ht="12.75" customHeight="1">
      <c r="D140" s="430"/>
      <c r="H140" s="431"/>
      <c r="K140" s="212"/>
      <c r="L140" s="212"/>
      <c r="M140" s="212"/>
    </row>
    <row r="141" spans="1:15" ht="12.75" customHeight="1">
      <c r="D141" s="430"/>
      <c r="H141" s="431"/>
      <c r="K141" s="212"/>
      <c r="L141" s="212"/>
      <c r="M141" s="212"/>
    </row>
    <row r="142" spans="1:15" ht="12.75" customHeight="1">
      <c r="D142" s="430"/>
      <c r="H142" s="431"/>
      <c r="K142" s="212"/>
      <c r="L142" s="212"/>
      <c r="M142" s="212"/>
    </row>
    <row r="143" spans="1:15" ht="12.75" customHeight="1">
      <c r="D143" s="430"/>
      <c r="H143" s="431"/>
      <c r="K143" s="212"/>
      <c r="L143" s="212"/>
      <c r="M143" s="212"/>
    </row>
    <row r="144" spans="1:15" ht="12.75" customHeight="1">
      <c r="D144" s="430"/>
      <c r="H144" s="431"/>
      <c r="K144" s="212"/>
      <c r="L144" s="212"/>
      <c r="M144" s="212"/>
    </row>
    <row r="145" spans="4:13" ht="12.75" customHeight="1">
      <c r="D145" s="430"/>
      <c r="H145" s="431"/>
      <c r="K145" s="212"/>
      <c r="L145" s="212"/>
      <c r="M145" s="212"/>
    </row>
    <row r="146" spans="4:13" ht="12.75" customHeight="1">
      <c r="D146" s="430"/>
      <c r="H146" s="431"/>
      <c r="K146" s="212"/>
      <c r="L146" s="212"/>
      <c r="M146" s="212"/>
    </row>
    <row r="147" spans="4:13" ht="12.75" customHeight="1">
      <c r="D147" s="430"/>
      <c r="H147" s="431"/>
      <c r="K147" s="212"/>
      <c r="L147" s="212"/>
      <c r="M147" s="212"/>
    </row>
    <row r="148" spans="4:13" ht="12.75" customHeight="1">
      <c r="D148" s="430"/>
      <c r="H148" s="431"/>
      <c r="K148" s="212"/>
      <c r="L148" s="212"/>
      <c r="M148" s="212"/>
    </row>
    <row r="149" spans="4:13" ht="12.75" customHeight="1">
      <c r="D149" s="430"/>
      <c r="H149" s="431"/>
      <c r="K149" s="212"/>
      <c r="L149" s="212"/>
      <c r="M149" s="212"/>
    </row>
    <row r="150" spans="4:13" ht="12.75" customHeight="1">
      <c r="D150" s="430"/>
      <c r="H150" s="431"/>
      <c r="K150" s="212"/>
      <c r="L150" s="212"/>
      <c r="M150" s="212"/>
    </row>
    <row r="151" spans="4:13" ht="12.75" customHeight="1">
      <c r="D151" s="430"/>
      <c r="H151" s="431"/>
      <c r="K151" s="212"/>
      <c r="L151" s="212"/>
      <c r="M151" s="212"/>
    </row>
    <row r="152" spans="4:13" ht="12.75" customHeight="1">
      <c r="D152" s="430"/>
      <c r="H152" s="431"/>
      <c r="K152" s="212"/>
      <c r="L152" s="212"/>
      <c r="M152" s="212"/>
    </row>
    <row r="153" spans="4:13" ht="12.75" customHeight="1">
      <c r="D153" s="430"/>
      <c r="H153" s="431"/>
      <c r="K153" s="212"/>
      <c r="L153" s="212"/>
      <c r="M153" s="212"/>
    </row>
    <row r="154" spans="4:13" ht="12.75" customHeight="1">
      <c r="D154" s="430"/>
      <c r="H154" s="431"/>
      <c r="K154" s="212"/>
      <c r="L154" s="212"/>
      <c r="M154" s="212"/>
    </row>
    <row r="155" spans="4:13" ht="12.75" customHeight="1">
      <c r="D155" s="430"/>
      <c r="H155" s="431"/>
      <c r="K155" s="212"/>
      <c r="L155" s="212"/>
      <c r="M155" s="212"/>
    </row>
    <row r="156" spans="4:13" ht="12.75" customHeight="1">
      <c r="D156" s="430"/>
      <c r="H156" s="431"/>
      <c r="K156" s="212"/>
      <c r="L156" s="212"/>
      <c r="M156" s="212"/>
    </row>
    <row r="157" spans="4:13" ht="12.75" customHeight="1">
      <c r="D157" s="430"/>
      <c r="H157" s="431"/>
      <c r="K157" s="212"/>
      <c r="L157" s="212"/>
      <c r="M157" s="212"/>
    </row>
    <row r="158" spans="4:13" ht="12.75" customHeight="1">
      <c r="D158" s="430"/>
      <c r="H158" s="431"/>
      <c r="K158" s="212"/>
      <c r="L158" s="212"/>
      <c r="M158" s="212"/>
    </row>
    <row r="159" spans="4:13" ht="12.75" customHeight="1">
      <c r="D159" s="430"/>
      <c r="H159" s="431"/>
      <c r="K159" s="212"/>
      <c r="L159" s="212"/>
      <c r="M159" s="212"/>
    </row>
    <row r="160" spans="4:13" ht="12.75" customHeight="1">
      <c r="D160" s="430"/>
      <c r="H160" s="431"/>
      <c r="K160" s="212"/>
      <c r="L160" s="212"/>
      <c r="M160" s="212"/>
    </row>
    <row r="161" spans="4:13" ht="12.75" customHeight="1">
      <c r="D161" s="430"/>
      <c r="H161" s="431"/>
      <c r="K161" s="212"/>
      <c r="L161" s="212"/>
      <c r="M161" s="212"/>
    </row>
    <row r="162" spans="4:13" ht="12.75" customHeight="1">
      <c r="D162" s="430"/>
      <c r="H162" s="431"/>
      <c r="K162" s="212"/>
      <c r="L162" s="212"/>
      <c r="M162" s="212"/>
    </row>
    <row r="163" spans="4:13" ht="12.75" customHeight="1">
      <c r="D163" s="430"/>
      <c r="H163" s="431"/>
      <c r="K163" s="212"/>
      <c r="L163" s="212"/>
      <c r="M163" s="212"/>
    </row>
    <row r="164" spans="4:13" ht="12.75" customHeight="1">
      <c r="D164" s="430"/>
      <c r="H164" s="431"/>
      <c r="K164" s="212"/>
      <c r="L164" s="212"/>
      <c r="M164" s="212"/>
    </row>
    <row r="165" spans="4:13" ht="12.75" customHeight="1">
      <c r="D165" s="430"/>
      <c r="H165" s="431"/>
      <c r="K165" s="212"/>
      <c r="L165" s="212"/>
      <c r="M165" s="212"/>
    </row>
    <row r="166" spans="4:13" ht="12.75" customHeight="1">
      <c r="D166" s="430"/>
      <c r="H166" s="431"/>
      <c r="K166" s="212"/>
      <c r="L166" s="212"/>
      <c r="M166" s="212"/>
    </row>
    <row r="167" spans="4:13" ht="12.75" customHeight="1">
      <c r="D167" s="430"/>
      <c r="H167" s="431"/>
      <c r="K167" s="212"/>
      <c r="L167" s="212"/>
      <c r="M167" s="212"/>
    </row>
    <row r="168" spans="4:13" ht="12.75" customHeight="1">
      <c r="D168" s="430"/>
      <c r="H168" s="431"/>
      <c r="K168" s="212"/>
      <c r="L168" s="212"/>
      <c r="M168" s="212"/>
    </row>
    <row r="169" spans="4:13" ht="12.75" customHeight="1">
      <c r="D169" s="430"/>
      <c r="H169" s="431"/>
      <c r="K169" s="212"/>
      <c r="L169" s="212"/>
      <c r="M169" s="212"/>
    </row>
    <row r="170" spans="4:13" ht="12.75" customHeight="1">
      <c r="D170" s="430"/>
      <c r="H170" s="431"/>
      <c r="K170" s="212"/>
      <c r="L170" s="212"/>
      <c r="M170" s="212"/>
    </row>
    <row r="171" spans="4:13" ht="12.75" customHeight="1">
      <c r="D171" s="430"/>
      <c r="H171" s="431"/>
      <c r="K171" s="212"/>
      <c r="L171" s="212"/>
      <c r="M171" s="212"/>
    </row>
    <row r="172" spans="4:13" ht="12.75" customHeight="1">
      <c r="D172" s="430"/>
      <c r="H172" s="431"/>
      <c r="K172" s="212"/>
      <c r="L172" s="212"/>
      <c r="M172" s="212"/>
    </row>
    <row r="173" spans="4:13" ht="12.75" customHeight="1">
      <c r="D173" s="430"/>
      <c r="H173" s="431"/>
      <c r="K173" s="212"/>
      <c r="L173" s="212"/>
      <c r="M173" s="212"/>
    </row>
    <row r="174" spans="4:13" ht="12.75" customHeight="1">
      <c r="D174" s="430"/>
      <c r="H174" s="431"/>
      <c r="K174" s="212"/>
      <c r="L174" s="212"/>
      <c r="M174" s="212"/>
    </row>
    <row r="175" spans="4:13" ht="12.75" customHeight="1">
      <c r="D175" s="430"/>
      <c r="H175" s="431"/>
      <c r="K175" s="212"/>
      <c r="L175" s="212"/>
      <c r="M175" s="212"/>
    </row>
    <row r="176" spans="4:13" ht="12.75" customHeight="1">
      <c r="D176" s="430"/>
      <c r="H176" s="431"/>
      <c r="K176" s="212"/>
      <c r="L176" s="212"/>
      <c r="M176" s="212"/>
    </row>
    <row r="177" spans="4:13" ht="12.75" customHeight="1">
      <c r="D177" s="430"/>
      <c r="H177" s="431"/>
      <c r="K177" s="212"/>
      <c r="L177" s="212"/>
      <c r="M177" s="212"/>
    </row>
    <row r="178" spans="4:13" ht="12.75" customHeight="1">
      <c r="D178" s="430"/>
      <c r="H178" s="431"/>
      <c r="K178" s="212"/>
      <c r="L178" s="212"/>
      <c r="M178" s="212"/>
    </row>
    <row r="179" spans="4:13" ht="12.75" customHeight="1">
      <c r="D179" s="430"/>
      <c r="H179" s="431"/>
      <c r="K179" s="212"/>
      <c r="L179" s="212"/>
      <c r="M179" s="212"/>
    </row>
    <row r="180" spans="4:13" ht="12.75" customHeight="1">
      <c r="D180" s="430"/>
      <c r="H180" s="431"/>
      <c r="K180" s="212"/>
      <c r="L180" s="212"/>
      <c r="M180" s="212"/>
    </row>
    <row r="181" spans="4:13" ht="12.75" customHeight="1">
      <c r="D181" s="430"/>
      <c r="H181" s="431"/>
      <c r="K181" s="212"/>
      <c r="L181" s="212"/>
      <c r="M181" s="212"/>
    </row>
    <row r="182" spans="4:13" ht="12.75" customHeight="1">
      <c r="D182" s="430"/>
      <c r="H182" s="431"/>
      <c r="K182" s="212"/>
      <c r="L182" s="212"/>
      <c r="M182" s="212"/>
    </row>
    <row r="183" spans="4:13" ht="12.75" customHeight="1">
      <c r="D183" s="430"/>
      <c r="H183" s="431"/>
      <c r="K183" s="212"/>
      <c r="L183" s="212"/>
      <c r="M183" s="212"/>
    </row>
    <row r="184" spans="4:13" ht="12.75" customHeight="1">
      <c r="D184" s="430"/>
      <c r="H184" s="431"/>
      <c r="K184" s="212"/>
      <c r="L184" s="212"/>
      <c r="M184" s="212"/>
    </row>
    <row r="185" spans="4:13" ht="12.75" customHeight="1">
      <c r="D185" s="430"/>
      <c r="H185" s="431"/>
      <c r="K185" s="212"/>
      <c r="L185" s="212"/>
      <c r="M185" s="212"/>
    </row>
    <row r="186" spans="4:13" ht="12.75" customHeight="1">
      <c r="D186" s="430"/>
      <c r="H186" s="431"/>
      <c r="K186" s="212"/>
      <c r="L186" s="212"/>
      <c r="M186" s="212"/>
    </row>
    <row r="187" spans="4:13" ht="12.75" customHeight="1">
      <c r="D187" s="430"/>
      <c r="H187" s="431"/>
      <c r="K187" s="212"/>
      <c r="L187" s="212"/>
      <c r="M187" s="212"/>
    </row>
    <row r="188" spans="4:13" ht="12.75" customHeight="1">
      <c r="D188" s="430"/>
      <c r="H188" s="431"/>
      <c r="K188" s="212"/>
      <c r="L188" s="212"/>
      <c r="M188" s="212"/>
    </row>
    <row r="189" spans="4:13" ht="12.75" customHeight="1">
      <c r="D189" s="430"/>
      <c r="H189" s="431"/>
      <c r="K189" s="212"/>
      <c r="L189" s="212"/>
      <c r="M189" s="212"/>
    </row>
    <row r="190" spans="4:13" ht="12.75" customHeight="1">
      <c r="D190" s="430"/>
      <c r="H190" s="431"/>
      <c r="K190" s="212"/>
      <c r="L190" s="212"/>
      <c r="M190" s="212"/>
    </row>
    <row r="191" spans="4:13" ht="12.75" customHeight="1">
      <c r="D191" s="430"/>
      <c r="H191" s="431"/>
      <c r="K191" s="212"/>
      <c r="L191" s="212"/>
      <c r="M191" s="212"/>
    </row>
    <row r="192" spans="4:13" ht="12.75" customHeight="1">
      <c r="D192" s="430"/>
      <c r="H192" s="431"/>
      <c r="K192" s="212"/>
      <c r="L192" s="212"/>
      <c r="M192" s="212"/>
    </row>
    <row r="193" spans="4:13" ht="12.75" customHeight="1">
      <c r="D193" s="430"/>
      <c r="H193" s="431"/>
      <c r="K193" s="212"/>
      <c r="L193" s="212"/>
      <c r="M193" s="212"/>
    </row>
    <row r="194" spans="4:13" ht="12.75" customHeight="1">
      <c r="D194" s="430"/>
      <c r="H194" s="431"/>
      <c r="K194" s="212"/>
      <c r="L194" s="212"/>
      <c r="M194" s="212"/>
    </row>
    <row r="195" spans="4:13" ht="12.75" customHeight="1">
      <c r="D195" s="430"/>
      <c r="H195" s="431"/>
      <c r="K195" s="212"/>
      <c r="L195" s="212"/>
      <c r="M195" s="212"/>
    </row>
    <row r="196" spans="4:13" ht="12.75" customHeight="1">
      <c r="D196" s="430"/>
      <c r="H196" s="431"/>
      <c r="K196" s="212"/>
      <c r="L196" s="212"/>
      <c r="M196" s="212"/>
    </row>
    <row r="197" spans="4:13" ht="12.75" customHeight="1">
      <c r="D197" s="430"/>
      <c r="H197" s="431"/>
      <c r="K197" s="212"/>
      <c r="L197" s="212"/>
      <c r="M197" s="212"/>
    </row>
    <row r="198" spans="4:13" ht="12.75" customHeight="1">
      <c r="D198" s="430"/>
      <c r="H198" s="431"/>
      <c r="K198" s="212"/>
      <c r="L198" s="212"/>
      <c r="M198" s="212"/>
    </row>
    <row r="199" spans="4:13" ht="12.75" customHeight="1">
      <c r="D199" s="430"/>
      <c r="H199" s="431"/>
      <c r="K199" s="212"/>
      <c r="L199" s="212"/>
      <c r="M199" s="212"/>
    </row>
    <row r="200" spans="4:13" ht="12.75" customHeight="1">
      <c r="D200" s="430"/>
      <c r="H200" s="431"/>
      <c r="K200" s="212"/>
      <c r="L200" s="212"/>
      <c r="M200" s="212"/>
    </row>
    <row r="201" spans="4:13" ht="12.75" customHeight="1">
      <c r="D201" s="430"/>
      <c r="H201" s="431"/>
      <c r="K201" s="212"/>
      <c r="L201" s="212"/>
      <c r="M201" s="212"/>
    </row>
    <row r="202" spans="4:13" ht="12.75" customHeight="1">
      <c r="D202" s="430"/>
      <c r="H202" s="431"/>
      <c r="K202" s="212"/>
      <c r="L202" s="212"/>
      <c r="M202" s="212"/>
    </row>
    <row r="203" spans="4:13" ht="12.75" customHeight="1">
      <c r="D203" s="430"/>
      <c r="H203" s="431"/>
      <c r="K203" s="212"/>
      <c r="L203" s="212"/>
      <c r="M203" s="212"/>
    </row>
    <row r="204" spans="4:13" ht="12.75" customHeight="1">
      <c r="D204" s="430"/>
      <c r="H204" s="431"/>
      <c r="K204" s="212"/>
      <c r="L204" s="212"/>
      <c r="M204" s="212"/>
    </row>
    <row r="205" spans="4:13" ht="12.75" customHeight="1">
      <c r="D205" s="430"/>
      <c r="H205" s="431"/>
      <c r="K205" s="212"/>
      <c r="L205" s="212"/>
      <c r="M205" s="212"/>
    </row>
    <row r="206" spans="4:13" ht="12.75" customHeight="1">
      <c r="D206" s="430"/>
      <c r="H206" s="431"/>
      <c r="K206" s="212"/>
      <c r="L206" s="212"/>
      <c r="M206" s="212"/>
    </row>
    <row r="207" spans="4:13" ht="12.75" customHeight="1">
      <c r="D207" s="430"/>
      <c r="H207" s="431"/>
      <c r="K207" s="212"/>
      <c r="L207" s="212"/>
      <c r="M207" s="212"/>
    </row>
    <row r="208" spans="4:13" ht="12.75" customHeight="1">
      <c r="D208" s="430"/>
      <c r="H208" s="431"/>
      <c r="K208" s="212"/>
      <c r="L208" s="212"/>
      <c r="M208" s="212"/>
    </row>
    <row r="209" spans="4:13" ht="12.75" customHeight="1">
      <c r="D209" s="430"/>
      <c r="H209" s="431"/>
      <c r="K209" s="212"/>
      <c r="L209" s="212"/>
      <c r="M209" s="212"/>
    </row>
    <row r="210" spans="4:13" ht="12.75" customHeight="1">
      <c r="D210" s="430"/>
      <c r="H210" s="431"/>
      <c r="K210" s="212"/>
      <c r="L210" s="212"/>
      <c r="M210" s="212"/>
    </row>
    <row r="211" spans="4:13" ht="12.75" customHeight="1">
      <c r="D211" s="430"/>
      <c r="H211" s="431"/>
      <c r="K211" s="212"/>
      <c r="L211" s="212"/>
      <c r="M211" s="212"/>
    </row>
    <row r="212" spans="4:13" ht="12.75" customHeight="1">
      <c r="D212" s="430"/>
      <c r="H212" s="431"/>
      <c r="K212" s="212"/>
      <c r="L212" s="212"/>
      <c r="M212" s="212"/>
    </row>
    <row r="213" spans="4:13" ht="12.75" customHeight="1">
      <c r="D213" s="430"/>
      <c r="H213" s="431"/>
      <c r="K213" s="212"/>
      <c r="L213" s="212"/>
      <c r="M213" s="212"/>
    </row>
    <row r="214" spans="4:13" ht="12.75" customHeight="1">
      <c r="D214" s="430"/>
      <c r="H214" s="431"/>
      <c r="K214" s="212"/>
      <c r="L214" s="212"/>
      <c r="M214" s="212"/>
    </row>
    <row r="215" spans="4:13" ht="12.75" customHeight="1">
      <c r="D215" s="430"/>
      <c r="H215" s="431"/>
      <c r="K215" s="212"/>
      <c r="L215" s="212"/>
      <c r="M215" s="212"/>
    </row>
    <row r="216" spans="4:13" ht="12.75" customHeight="1">
      <c r="D216" s="430"/>
      <c r="H216" s="431"/>
      <c r="K216" s="212"/>
      <c r="L216" s="212"/>
      <c r="M216" s="212"/>
    </row>
    <row r="217" spans="4:13" ht="12.75" customHeight="1">
      <c r="D217" s="430"/>
      <c r="H217" s="431"/>
      <c r="K217" s="212"/>
      <c r="L217" s="212"/>
      <c r="M217" s="212"/>
    </row>
    <row r="218" spans="4:13" ht="12.75" customHeight="1">
      <c r="D218" s="430"/>
      <c r="H218" s="431"/>
      <c r="K218" s="212"/>
      <c r="L218" s="212"/>
      <c r="M218" s="212"/>
    </row>
    <row r="219" spans="4:13" ht="12.75" customHeight="1">
      <c r="D219" s="430"/>
      <c r="H219" s="431"/>
      <c r="K219" s="212"/>
      <c r="L219" s="212"/>
      <c r="M219" s="212"/>
    </row>
    <row r="220" spans="4:13" ht="12.75" customHeight="1">
      <c r="D220" s="430"/>
      <c r="H220" s="431"/>
      <c r="K220" s="212"/>
      <c r="L220" s="212"/>
      <c r="M220" s="212"/>
    </row>
    <row r="221" spans="4:13" ht="12.75" customHeight="1">
      <c r="D221" s="430"/>
      <c r="H221" s="431"/>
      <c r="K221" s="212"/>
      <c r="L221" s="212"/>
      <c r="M221" s="212"/>
    </row>
    <row r="222" spans="4:13" ht="12.75" customHeight="1">
      <c r="D222" s="430"/>
      <c r="H222" s="431"/>
      <c r="K222" s="212"/>
      <c r="L222" s="212"/>
      <c r="M222" s="212"/>
    </row>
    <row r="223" spans="4:13" ht="12.75" customHeight="1">
      <c r="D223" s="430"/>
      <c r="H223" s="431"/>
      <c r="K223" s="212"/>
      <c r="L223" s="212"/>
      <c r="M223" s="212"/>
    </row>
    <row r="224" spans="4:13" ht="12.75" customHeight="1">
      <c r="D224" s="430"/>
      <c r="H224" s="431"/>
      <c r="K224" s="212"/>
      <c r="L224" s="212"/>
      <c r="M224" s="212"/>
    </row>
    <row r="225" spans="4:13" ht="12.75" customHeight="1">
      <c r="D225" s="430"/>
      <c r="H225" s="431"/>
      <c r="K225" s="212"/>
      <c r="L225" s="212"/>
      <c r="M225" s="212"/>
    </row>
    <row r="226" spans="4:13" ht="12.75" customHeight="1">
      <c r="D226" s="430"/>
      <c r="H226" s="431"/>
      <c r="K226" s="212"/>
      <c r="L226" s="212"/>
      <c r="M226" s="212"/>
    </row>
    <row r="227" spans="4:13" ht="12.75" customHeight="1">
      <c r="D227" s="430"/>
      <c r="H227" s="431"/>
      <c r="K227" s="212"/>
      <c r="L227" s="212"/>
      <c r="M227" s="212"/>
    </row>
    <row r="228" spans="4:13" ht="12.75" customHeight="1">
      <c r="D228" s="430"/>
      <c r="H228" s="431"/>
      <c r="K228" s="212"/>
      <c r="L228" s="212"/>
      <c r="M228" s="212"/>
    </row>
    <row r="229" spans="4:13" ht="12.75" customHeight="1">
      <c r="D229" s="430"/>
      <c r="H229" s="431"/>
      <c r="K229" s="212"/>
      <c r="L229" s="212"/>
      <c r="M229" s="212"/>
    </row>
    <row r="230" spans="4:13" ht="12.75" customHeight="1">
      <c r="D230" s="430"/>
      <c r="H230" s="431"/>
      <c r="K230" s="212"/>
      <c r="L230" s="212"/>
      <c r="M230" s="212"/>
    </row>
    <row r="231" spans="4:13" ht="12.75" customHeight="1">
      <c r="D231" s="430"/>
      <c r="H231" s="431"/>
      <c r="K231" s="212"/>
      <c r="L231" s="212"/>
      <c r="M231" s="212"/>
    </row>
    <row r="232" spans="4:13" ht="12.75" customHeight="1">
      <c r="D232" s="430"/>
      <c r="H232" s="431"/>
      <c r="K232" s="212"/>
      <c r="L232" s="212"/>
      <c r="M232" s="212"/>
    </row>
    <row r="233" spans="4:13" ht="12.75" customHeight="1">
      <c r="D233" s="430"/>
      <c r="H233" s="431"/>
      <c r="K233" s="212"/>
      <c r="L233" s="212"/>
      <c r="M233" s="212"/>
    </row>
    <row r="234" spans="4:13" ht="12.75" customHeight="1">
      <c r="D234" s="430"/>
      <c r="H234" s="431"/>
      <c r="K234" s="212"/>
      <c r="L234" s="212"/>
      <c r="M234" s="212"/>
    </row>
    <row r="235" spans="4:13" ht="12.75" customHeight="1">
      <c r="D235" s="430"/>
      <c r="H235" s="431"/>
      <c r="K235" s="212"/>
      <c r="L235" s="212"/>
      <c r="M235" s="212"/>
    </row>
    <row r="236" spans="4:13" ht="12.75" customHeight="1">
      <c r="D236" s="430"/>
      <c r="H236" s="431"/>
      <c r="K236" s="212"/>
      <c r="L236" s="212"/>
      <c r="M236" s="212"/>
    </row>
    <row r="237" spans="4:13" ht="12.75" customHeight="1">
      <c r="D237" s="430"/>
      <c r="H237" s="431"/>
      <c r="K237" s="212"/>
      <c r="L237" s="212"/>
      <c r="M237" s="212"/>
    </row>
    <row r="238" spans="4:13" ht="12.75" customHeight="1">
      <c r="D238" s="430"/>
      <c r="H238" s="431"/>
      <c r="K238" s="212"/>
      <c r="L238" s="212"/>
      <c r="M238" s="212"/>
    </row>
    <row r="239" spans="4:13" ht="12.75" customHeight="1">
      <c r="D239" s="430"/>
      <c r="H239" s="431"/>
      <c r="K239" s="212"/>
      <c r="L239" s="212"/>
      <c r="M239" s="212"/>
    </row>
    <row r="240" spans="4:13" ht="12.75" customHeight="1">
      <c r="D240" s="430"/>
      <c r="H240" s="431"/>
      <c r="K240" s="212"/>
      <c r="L240" s="212"/>
      <c r="M240" s="212"/>
    </row>
    <row r="241" spans="4:13" ht="12.75" customHeight="1">
      <c r="D241" s="430"/>
      <c r="H241" s="431"/>
      <c r="K241" s="212"/>
      <c r="L241" s="212"/>
      <c r="M241" s="212"/>
    </row>
    <row r="242" spans="4:13" ht="12.75" customHeight="1">
      <c r="D242" s="430"/>
      <c r="H242" s="431"/>
      <c r="K242" s="212"/>
      <c r="L242" s="212"/>
      <c r="M242" s="212"/>
    </row>
    <row r="243" spans="4:13" ht="12.75" customHeight="1">
      <c r="D243" s="430"/>
      <c r="H243" s="431"/>
      <c r="K243" s="212"/>
      <c r="L243" s="212"/>
      <c r="M243" s="212"/>
    </row>
    <row r="244" spans="4:13" ht="12.75" customHeight="1">
      <c r="D244" s="430"/>
      <c r="H244" s="431"/>
      <c r="K244" s="212"/>
      <c r="L244" s="212"/>
      <c r="M244" s="212"/>
    </row>
    <row r="245" spans="4:13" ht="12.75" customHeight="1">
      <c r="D245" s="430"/>
      <c r="H245" s="431"/>
      <c r="K245" s="212"/>
      <c r="L245" s="212"/>
      <c r="M245" s="212"/>
    </row>
    <row r="246" spans="4:13" ht="12.75" customHeight="1">
      <c r="D246" s="430"/>
      <c r="H246" s="431"/>
      <c r="K246" s="212"/>
      <c r="L246" s="212"/>
      <c r="M246" s="212"/>
    </row>
    <row r="247" spans="4:13" ht="12.75" customHeight="1">
      <c r="D247" s="430"/>
      <c r="H247" s="431"/>
      <c r="K247" s="212"/>
      <c r="L247" s="212"/>
      <c r="M247" s="212"/>
    </row>
    <row r="248" spans="4:13" ht="12.75" customHeight="1">
      <c r="D248" s="430"/>
      <c r="H248" s="431"/>
      <c r="K248" s="212"/>
      <c r="L248" s="212"/>
      <c r="M248" s="212"/>
    </row>
    <row r="249" spans="4:13" ht="12.75" customHeight="1">
      <c r="D249" s="430"/>
      <c r="H249" s="431"/>
      <c r="K249" s="212"/>
      <c r="L249" s="212"/>
      <c r="M249" s="212"/>
    </row>
    <row r="250" spans="4:13" ht="12.75" customHeight="1">
      <c r="D250" s="430"/>
      <c r="H250" s="431"/>
      <c r="K250" s="212"/>
      <c r="L250" s="212"/>
      <c r="M250" s="212"/>
    </row>
    <row r="251" spans="4:13" ht="12.75" customHeight="1">
      <c r="D251" s="430"/>
      <c r="H251" s="431"/>
      <c r="K251" s="212"/>
      <c r="L251" s="212"/>
      <c r="M251" s="212"/>
    </row>
    <row r="252" spans="4:13" ht="12.75" customHeight="1">
      <c r="D252" s="430"/>
      <c r="H252" s="431"/>
      <c r="K252" s="212"/>
      <c r="L252" s="212"/>
      <c r="M252" s="212"/>
    </row>
    <row r="253" spans="4:13" ht="12.75" customHeight="1">
      <c r="D253" s="430"/>
      <c r="H253" s="431"/>
      <c r="K253" s="212"/>
      <c r="L253" s="212"/>
      <c r="M253" s="212"/>
    </row>
    <row r="254" spans="4:13" ht="12.75" customHeight="1">
      <c r="D254" s="430"/>
      <c r="H254" s="431"/>
      <c r="K254" s="212"/>
      <c r="L254" s="212"/>
      <c r="M254" s="212"/>
    </row>
    <row r="255" spans="4:13" ht="12.75" customHeight="1">
      <c r="D255" s="430"/>
      <c r="H255" s="431"/>
      <c r="K255" s="212"/>
      <c r="L255" s="212"/>
      <c r="M255" s="212"/>
    </row>
    <row r="256" spans="4:13" ht="12.75" customHeight="1">
      <c r="D256" s="430"/>
      <c r="H256" s="431"/>
      <c r="K256" s="212"/>
      <c r="L256" s="212"/>
      <c r="M256" s="212"/>
    </row>
    <row r="257" spans="4:13" ht="12.75" customHeight="1">
      <c r="D257" s="430"/>
      <c r="H257" s="431"/>
      <c r="K257" s="212"/>
      <c r="L257" s="212"/>
      <c r="M257" s="212"/>
    </row>
    <row r="258" spans="4:13" ht="12.75" customHeight="1">
      <c r="D258" s="430"/>
      <c r="H258" s="431"/>
      <c r="K258" s="212"/>
      <c r="L258" s="212"/>
      <c r="M258" s="212"/>
    </row>
    <row r="259" spans="4:13" ht="12.75" customHeight="1">
      <c r="D259" s="430"/>
      <c r="H259" s="431"/>
      <c r="K259" s="212"/>
      <c r="L259" s="212"/>
      <c r="M259" s="212"/>
    </row>
    <row r="260" spans="4:13" ht="12.75" customHeight="1">
      <c r="D260" s="430"/>
      <c r="H260" s="431"/>
      <c r="K260" s="212"/>
      <c r="L260" s="212"/>
      <c r="M260" s="212"/>
    </row>
    <row r="261" spans="4:13" ht="12.75" customHeight="1">
      <c r="D261" s="430"/>
      <c r="H261" s="431"/>
      <c r="K261" s="212"/>
      <c r="L261" s="212"/>
      <c r="M261" s="212"/>
    </row>
    <row r="262" spans="4:13" ht="12.75" customHeight="1">
      <c r="D262" s="430"/>
      <c r="H262" s="431"/>
      <c r="K262" s="212"/>
      <c r="L262" s="212"/>
      <c r="M262" s="212"/>
    </row>
    <row r="263" spans="4:13" ht="12.75" customHeight="1">
      <c r="D263" s="430"/>
      <c r="H263" s="431"/>
      <c r="K263" s="212"/>
      <c r="L263" s="212"/>
      <c r="M263" s="212"/>
    </row>
    <row r="264" spans="4:13" ht="12.75" customHeight="1">
      <c r="D264" s="430"/>
      <c r="H264" s="431"/>
      <c r="K264" s="212"/>
      <c r="L264" s="212"/>
      <c r="M264" s="212"/>
    </row>
    <row r="265" spans="4:13" ht="12.75" customHeight="1">
      <c r="D265" s="430"/>
      <c r="H265" s="431"/>
      <c r="K265" s="212"/>
      <c r="L265" s="212"/>
      <c r="M265" s="212"/>
    </row>
    <row r="266" spans="4:13" ht="12.75" customHeight="1">
      <c r="D266" s="430"/>
      <c r="H266" s="431"/>
      <c r="K266" s="212"/>
      <c r="L266" s="212"/>
      <c r="M266" s="212"/>
    </row>
    <row r="267" spans="4:13" ht="12.75" customHeight="1">
      <c r="D267" s="430"/>
      <c r="H267" s="431"/>
      <c r="K267" s="212"/>
      <c r="L267" s="212"/>
      <c r="M267" s="212"/>
    </row>
    <row r="268" spans="4:13" ht="12.75" customHeight="1">
      <c r="D268" s="430"/>
      <c r="H268" s="431"/>
      <c r="K268" s="212"/>
      <c r="L268" s="212"/>
      <c r="M268" s="212"/>
    </row>
    <row r="269" spans="4:13" ht="12.75" customHeight="1">
      <c r="D269" s="430"/>
      <c r="H269" s="431"/>
      <c r="K269" s="212"/>
      <c r="L269" s="212"/>
      <c r="M269" s="212"/>
    </row>
    <row r="270" spans="4:13" ht="12.75" customHeight="1">
      <c r="D270" s="430"/>
      <c r="H270" s="431"/>
      <c r="K270" s="212"/>
      <c r="L270" s="212"/>
      <c r="M270" s="212"/>
    </row>
    <row r="271" spans="4:13" ht="12.75" customHeight="1">
      <c r="D271" s="430"/>
      <c r="H271" s="431"/>
      <c r="K271" s="212"/>
      <c r="L271" s="212"/>
      <c r="M271" s="212"/>
    </row>
    <row r="272" spans="4:13" ht="12.75" customHeight="1">
      <c r="D272" s="430"/>
      <c r="H272" s="431"/>
      <c r="K272" s="212"/>
      <c r="L272" s="212"/>
      <c r="M272" s="212"/>
    </row>
    <row r="273" spans="4:13" ht="12.75" customHeight="1">
      <c r="D273" s="430"/>
      <c r="H273" s="431"/>
      <c r="K273" s="212"/>
      <c r="L273" s="212"/>
      <c r="M273" s="212"/>
    </row>
    <row r="274" spans="4:13" ht="12.75" customHeight="1">
      <c r="D274" s="430"/>
      <c r="H274" s="431"/>
      <c r="K274" s="212"/>
      <c r="L274" s="212"/>
      <c r="M274" s="212"/>
    </row>
    <row r="275" spans="4:13" ht="12.75" customHeight="1">
      <c r="D275" s="430"/>
      <c r="H275" s="431"/>
      <c r="K275" s="212"/>
      <c r="L275" s="212"/>
      <c r="M275" s="212"/>
    </row>
    <row r="276" spans="4:13" ht="12.75" customHeight="1">
      <c r="D276" s="430"/>
      <c r="H276" s="431"/>
      <c r="K276" s="212"/>
      <c r="L276" s="212"/>
      <c r="M276" s="212"/>
    </row>
    <row r="277" spans="4:13" ht="12.75" customHeight="1">
      <c r="D277" s="430"/>
      <c r="H277" s="431"/>
      <c r="K277" s="212"/>
      <c r="L277" s="212"/>
      <c r="M277" s="212"/>
    </row>
    <row r="278" spans="4:13" ht="12.75" customHeight="1">
      <c r="D278" s="430"/>
      <c r="H278" s="431"/>
      <c r="K278" s="212"/>
      <c r="L278" s="212"/>
      <c r="M278" s="212"/>
    </row>
    <row r="279" spans="4:13" ht="12.75" customHeight="1">
      <c r="D279" s="430"/>
      <c r="H279" s="431"/>
      <c r="K279" s="212"/>
      <c r="L279" s="212"/>
      <c r="M279" s="212"/>
    </row>
    <row r="280" spans="4:13" ht="12.75" customHeight="1">
      <c r="D280" s="430"/>
      <c r="H280" s="431"/>
      <c r="K280" s="212"/>
      <c r="L280" s="212"/>
      <c r="M280" s="212"/>
    </row>
    <row r="281" spans="4:13" ht="12.75" customHeight="1">
      <c r="D281" s="430"/>
      <c r="H281" s="431"/>
      <c r="K281" s="212"/>
      <c r="L281" s="212"/>
      <c r="M281" s="212"/>
    </row>
    <row r="282" spans="4:13" ht="12.75" customHeight="1">
      <c r="D282" s="430"/>
      <c r="H282" s="431"/>
      <c r="K282" s="212"/>
      <c r="L282" s="212"/>
      <c r="M282" s="212"/>
    </row>
    <row r="283" spans="4:13" ht="12.75" customHeight="1">
      <c r="D283" s="430"/>
      <c r="H283" s="431"/>
      <c r="K283" s="212"/>
      <c r="L283" s="212"/>
      <c r="M283" s="212"/>
    </row>
    <row r="284" spans="4:13" ht="12.75" customHeight="1">
      <c r="D284" s="430"/>
      <c r="H284" s="431"/>
      <c r="K284" s="212"/>
      <c r="L284" s="212"/>
      <c r="M284" s="212"/>
    </row>
    <row r="285" spans="4:13" ht="12.75" customHeight="1">
      <c r="D285" s="430"/>
      <c r="H285" s="431"/>
      <c r="K285" s="212"/>
      <c r="L285" s="212"/>
      <c r="M285" s="212"/>
    </row>
    <row r="286" spans="4:13" ht="12.75" customHeight="1">
      <c r="D286" s="430"/>
      <c r="H286" s="431"/>
      <c r="K286" s="212"/>
      <c r="L286" s="212"/>
      <c r="M286" s="212"/>
    </row>
    <row r="287" spans="4:13" ht="12.75" customHeight="1">
      <c r="D287" s="430"/>
      <c r="H287" s="431"/>
      <c r="K287" s="212"/>
      <c r="L287" s="212"/>
      <c r="M287" s="212"/>
    </row>
    <row r="288" spans="4:13" ht="12.75" customHeight="1">
      <c r="D288" s="430"/>
      <c r="H288" s="431"/>
      <c r="K288" s="212"/>
      <c r="L288" s="212"/>
      <c r="M288" s="212"/>
    </row>
    <row r="289" spans="4:13" ht="12.75" customHeight="1">
      <c r="D289" s="430"/>
      <c r="H289" s="431"/>
      <c r="K289" s="212"/>
      <c r="L289" s="212"/>
      <c r="M289" s="212"/>
    </row>
    <row r="290" spans="4:13" ht="12.75" customHeight="1">
      <c r="D290" s="430"/>
      <c r="H290" s="431"/>
      <c r="K290" s="212"/>
      <c r="L290" s="212"/>
      <c r="M290" s="212"/>
    </row>
    <row r="291" spans="4:13" ht="12.75" customHeight="1">
      <c r="D291" s="430"/>
      <c r="H291" s="431"/>
      <c r="K291" s="212"/>
      <c r="L291" s="212"/>
      <c r="M291" s="212"/>
    </row>
    <row r="292" spans="4:13" ht="12.75" customHeight="1">
      <c r="D292" s="430"/>
      <c r="H292" s="431"/>
      <c r="K292" s="212"/>
      <c r="L292" s="212"/>
      <c r="M292" s="212"/>
    </row>
    <row r="293" spans="4:13" ht="12.75" customHeight="1">
      <c r="D293" s="430"/>
      <c r="H293" s="431"/>
      <c r="K293" s="212"/>
      <c r="L293" s="212"/>
      <c r="M293" s="212"/>
    </row>
    <row r="294" spans="4:13" ht="12.75" customHeight="1">
      <c r="D294" s="430"/>
      <c r="H294" s="431"/>
      <c r="K294" s="212"/>
      <c r="L294" s="212"/>
      <c r="M294" s="212"/>
    </row>
    <row r="295" spans="4:13" ht="12.75" customHeight="1">
      <c r="D295" s="430"/>
      <c r="H295" s="431"/>
      <c r="K295" s="212"/>
      <c r="L295" s="212"/>
      <c r="M295" s="212"/>
    </row>
    <row r="296" spans="4:13" ht="12.75" customHeight="1">
      <c r="D296" s="430"/>
      <c r="H296" s="431"/>
      <c r="K296" s="212"/>
      <c r="L296" s="212"/>
      <c r="M296" s="212"/>
    </row>
    <row r="297" spans="4:13" ht="12.75" customHeight="1">
      <c r="D297" s="430"/>
      <c r="H297" s="431"/>
      <c r="K297" s="212"/>
      <c r="L297" s="212"/>
      <c r="M297" s="212"/>
    </row>
    <row r="298" spans="4:13" ht="12.75" customHeight="1">
      <c r="D298" s="430"/>
      <c r="H298" s="431"/>
      <c r="K298" s="212"/>
      <c r="L298" s="212"/>
      <c r="M298" s="212"/>
    </row>
    <row r="299" spans="4:13" ht="12.75" customHeight="1">
      <c r="D299" s="430"/>
      <c r="H299" s="431"/>
      <c r="K299" s="212"/>
      <c r="L299" s="212"/>
      <c r="M299" s="212"/>
    </row>
    <row r="300" spans="4:13" ht="12.75" customHeight="1">
      <c r="D300" s="430"/>
      <c r="H300" s="431"/>
      <c r="K300" s="212"/>
      <c r="L300" s="212"/>
      <c r="M300" s="212"/>
    </row>
    <row r="301" spans="4:13" ht="12.75" customHeight="1">
      <c r="D301" s="430"/>
      <c r="H301" s="431"/>
      <c r="K301" s="212"/>
      <c r="L301" s="212"/>
      <c r="M301" s="212"/>
    </row>
    <row r="302" spans="4:13" ht="12.75" customHeight="1">
      <c r="D302" s="430"/>
      <c r="H302" s="431"/>
      <c r="K302" s="212"/>
      <c r="L302" s="212"/>
      <c r="M302" s="212"/>
    </row>
    <row r="303" spans="4:13" ht="12.75" customHeight="1">
      <c r="D303" s="430"/>
      <c r="H303" s="431"/>
      <c r="K303" s="212"/>
      <c r="L303" s="212"/>
      <c r="M303" s="212"/>
    </row>
    <row r="304" spans="4:13" ht="12.75" customHeight="1">
      <c r="D304" s="430"/>
      <c r="H304" s="431"/>
      <c r="K304" s="212"/>
      <c r="L304" s="212"/>
      <c r="M304" s="212"/>
    </row>
    <row r="305" spans="4:13" ht="12.75" customHeight="1">
      <c r="D305" s="430"/>
      <c r="H305" s="431"/>
      <c r="K305" s="212"/>
      <c r="L305" s="212"/>
      <c r="M305" s="212"/>
    </row>
    <row r="306" spans="4:13" ht="12.75" customHeight="1">
      <c r="D306" s="430"/>
      <c r="H306" s="431"/>
      <c r="K306" s="212"/>
      <c r="L306" s="212"/>
      <c r="M306" s="212"/>
    </row>
    <row r="307" spans="4:13" ht="12.75" customHeight="1">
      <c r="D307" s="430"/>
      <c r="H307" s="431"/>
      <c r="K307" s="212"/>
      <c r="L307" s="212"/>
      <c r="M307" s="212"/>
    </row>
    <row r="308" spans="4:13" ht="12.75" customHeight="1">
      <c r="D308" s="430"/>
      <c r="H308" s="431"/>
      <c r="K308" s="212"/>
      <c r="L308" s="212"/>
      <c r="M308" s="212"/>
    </row>
    <row r="309" spans="4:13" ht="12.75" customHeight="1">
      <c r="D309" s="430"/>
      <c r="H309" s="431"/>
      <c r="K309" s="212"/>
      <c r="L309" s="212"/>
      <c r="M309" s="212"/>
    </row>
    <row r="310" spans="4:13" ht="12.75" customHeight="1">
      <c r="D310" s="430"/>
      <c r="H310" s="431"/>
      <c r="K310" s="212"/>
      <c r="L310" s="212"/>
      <c r="M310" s="212"/>
    </row>
    <row r="311" spans="4:13" ht="12.75" customHeight="1">
      <c r="D311" s="430"/>
      <c r="H311" s="431"/>
      <c r="K311" s="212"/>
      <c r="L311" s="212"/>
      <c r="M311" s="212"/>
    </row>
    <row r="312" spans="4:13" ht="12.75" customHeight="1">
      <c r="D312" s="430"/>
      <c r="H312" s="431"/>
      <c r="K312" s="212"/>
      <c r="L312" s="212"/>
      <c r="M312" s="212"/>
    </row>
    <row r="313" spans="4:13" ht="12.75" customHeight="1">
      <c r="D313" s="430"/>
      <c r="H313" s="431"/>
      <c r="K313" s="212"/>
      <c r="L313" s="212"/>
      <c r="M313" s="212"/>
    </row>
    <row r="314" spans="4:13" ht="12.75" customHeight="1">
      <c r="D314" s="430"/>
      <c r="H314" s="431"/>
      <c r="K314" s="212"/>
      <c r="L314" s="212"/>
      <c r="M314" s="212"/>
    </row>
    <row r="315" spans="4:13" ht="12.75" customHeight="1">
      <c r="D315" s="430"/>
      <c r="H315" s="431"/>
      <c r="K315" s="212"/>
      <c r="L315" s="212"/>
      <c r="M315" s="212"/>
    </row>
    <row r="316" spans="4:13" ht="12.75" customHeight="1">
      <c r="D316" s="430"/>
      <c r="H316" s="431"/>
      <c r="K316" s="212"/>
      <c r="L316" s="212"/>
      <c r="M316" s="212"/>
    </row>
    <row r="317" spans="4:13" ht="12.75" customHeight="1">
      <c r="D317" s="430"/>
      <c r="H317" s="431"/>
      <c r="K317" s="212"/>
      <c r="L317" s="212"/>
      <c r="M317" s="212"/>
    </row>
    <row r="318" spans="4:13" ht="12.75" customHeight="1">
      <c r="D318" s="430"/>
      <c r="H318" s="431"/>
      <c r="K318" s="212"/>
      <c r="L318" s="212"/>
      <c r="M318" s="212"/>
    </row>
    <row r="319" spans="4:13" ht="12.75" customHeight="1">
      <c r="D319" s="430"/>
      <c r="H319" s="431"/>
      <c r="K319" s="212"/>
      <c r="L319" s="212"/>
      <c r="M319" s="212"/>
    </row>
    <row r="320" spans="4:13" ht="12.75" customHeight="1">
      <c r="D320" s="430"/>
      <c r="H320" s="431"/>
      <c r="K320" s="212"/>
      <c r="L320" s="212"/>
      <c r="M320" s="212"/>
    </row>
    <row r="321" spans="4:13" ht="12.75" customHeight="1">
      <c r="D321" s="430"/>
      <c r="H321" s="431"/>
      <c r="K321" s="212"/>
      <c r="L321" s="212"/>
      <c r="M321" s="212"/>
    </row>
    <row r="322" spans="4:13" ht="12.75" customHeight="1">
      <c r="D322" s="430"/>
      <c r="H322" s="431"/>
      <c r="K322" s="212"/>
      <c r="L322" s="212"/>
      <c r="M322" s="212"/>
    </row>
    <row r="323" spans="4:13" ht="12.75" customHeight="1">
      <c r="D323" s="430"/>
      <c r="H323" s="431"/>
      <c r="K323" s="212"/>
      <c r="L323" s="212"/>
      <c r="M323" s="212"/>
    </row>
    <row r="324" spans="4:13" ht="12.75" customHeight="1">
      <c r="D324" s="430"/>
      <c r="H324" s="431"/>
      <c r="K324" s="212"/>
      <c r="L324" s="212"/>
      <c r="M324" s="212"/>
    </row>
    <row r="325" spans="4:13" ht="12.75" customHeight="1">
      <c r="D325" s="430"/>
      <c r="H325" s="431"/>
      <c r="K325" s="212"/>
      <c r="L325" s="212"/>
      <c r="M325" s="212"/>
    </row>
    <row r="326" spans="4:13" ht="12.75" customHeight="1">
      <c r="D326" s="430"/>
      <c r="H326" s="431"/>
      <c r="K326" s="212"/>
      <c r="L326" s="212"/>
      <c r="M326" s="212"/>
    </row>
    <row r="327" spans="4:13" ht="12.75" customHeight="1">
      <c r="D327" s="430"/>
      <c r="H327" s="431"/>
      <c r="K327" s="212"/>
      <c r="L327" s="212"/>
      <c r="M327" s="212"/>
    </row>
    <row r="328" spans="4:13" ht="12.75" customHeight="1">
      <c r="D328" s="430"/>
      <c r="H328" s="431"/>
      <c r="K328" s="212"/>
      <c r="L328" s="212"/>
      <c r="M328" s="212"/>
    </row>
    <row r="329" spans="4:13" ht="12.75" customHeight="1">
      <c r="D329" s="430"/>
      <c r="H329" s="431"/>
      <c r="K329" s="212"/>
      <c r="L329" s="212"/>
      <c r="M329" s="212"/>
    </row>
    <row r="330" spans="4:13" ht="12.75" customHeight="1">
      <c r="D330" s="430"/>
      <c r="H330" s="431"/>
      <c r="K330" s="212"/>
      <c r="L330" s="212"/>
      <c r="M330" s="212"/>
    </row>
    <row r="331" spans="4:13" ht="12.75" customHeight="1">
      <c r="D331" s="430"/>
      <c r="H331" s="431"/>
      <c r="K331" s="212"/>
      <c r="L331" s="212"/>
      <c r="M331" s="212"/>
    </row>
    <row r="332" spans="4:13" ht="12.75" customHeight="1">
      <c r="D332" s="430"/>
      <c r="H332" s="431"/>
      <c r="K332" s="212"/>
      <c r="L332" s="212"/>
      <c r="M332" s="212"/>
    </row>
    <row r="333" spans="4:13" ht="12.75" customHeight="1">
      <c r="D333" s="430"/>
      <c r="H333" s="431"/>
      <c r="K333" s="212"/>
      <c r="L333" s="212"/>
      <c r="M333" s="212"/>
    </row>
    <row r="334" spans="4:13" ht="12.75" customHeight="1">
      <c r="D334" s="430"/>
      <c r="H334" s="431"/>
      <c r="K334" s="212"/>
      <c r="L334" s="212"/>
      <c r="M334" s="212"/>
    </row>
    <row r="335" spans="4:13" ht="12.75" customHeight="1">
      <c r="D335" s="430"/>
      <c r="H335" s="431"/>
      <c r="K335" s="212"/>
      <c r="L335" s="212"/>
      <c r="M335" s="212"/>
    </row>
    <row r="336" spans="4:13" ht="12.75" customHeight="1">
      <c r="D336" s="430"/>
      <c r="H336" s="431"/>
      <c r="K336" s="212"/>
      <c r="L336" s="212"/>
      <c r="M336" s="212"/>
    </row>
    <row r="337" spans="4:13" ht="12.75" customHeight="1">
      <c r="D337" s="430"/>
      <c r="H337" s="431"/>
      <c r="K337" s="212"/>
      <c r="L337" s="212"/>
      <c r="M337" s="212"/>
    </row>
    <row r="338" spans="4:13" ht="12.75" customHeight="1">
      <c r="D338" s="430"/>
      <c r="H338" s="431"/>
      <c r="K338" s="212"/>
      <c r="L338" s="212"/>
      <c r="M338" s="212"/>
    </row>
    <row r="339" spans="4:13" ht="12.75" customHeight="1">
      <c r="D339" s="430"/>
      <c r="H339" s="431"/>
      <c r="K339" s="212"/>
      <c r="L339" s="212"/>
      <c r="M339" s="212"/>
    </row>
    <row r="340" spans="4:13" ht="12.75" customHeight="1">
      <c r="D340" s="430"/>
      <c r="H340" s="431"/>
      <c r="K340" s="212"/>
      <c r="L340" s="212"/>
      <c r="M340" s="212"/>
    </row>
    <row r="341" spans="4:13" ht="12.75" customHeight="1">
      <c r="D341" s="430"/>
      <c r="H341" s="431"/>
      <c r="K341" s="212"/>
      <c r="L341" s="212"/>
      <c r="M341" s="212"/>
    </row>
    <row r="342" spans="4:13" ht="12.75" customHeight="1">
      <c r="D342" s="430"/>
      <c r="H342" s="431"/>
      <c r="K342" s="212"/>
      <c r="L342" s="212"/>
      <c r="M342" s="212"/>
    </row>
    <row r="343" spans="4:13" ht="12.75" customHeight="1">
      <c r="D343" s="430"/>
      <c r="H343" s="431"/>
      <c r="K343" s="212"/>
      <c r="L343" s="212"/>
      <c r="M343" s="212"/>
    </row>
    <row r="344" spans="4:13" ht="12.75" customHeight="1">
      <c r="D344" s="430"/>
      <c r="H344" s="431"/>
      <c r="K344" s="212"/>
      <c r="L344" s="212"/>
      <c r="M344" s="212"/>
    </row>
    <row r="345" spans="4:13" ht="12.75" customHeight="1">
      <c r="D345" s="430"/>
      <c r="H345" s="431"/>
      <c r="K345" s="212"/>
      <c r="L345" s="212"/>
      <c r="M345" s="212"/>
    </row>
    <row r="346" spans="4:13" ht="12.75" customHeight="1">
      <c r="D346" s="430"/>
      <c r="H346" s="431"/>
      <c r="K346" s="212"/>
      <c r="L346" s="212"/>
      <c r="M346" s="212"/>
    </row>
    <row r="347" spans="4:13" ht="12.75" customHeight="1">
      <c r="D347" s="430"/>
      <c r="H347" s="431"/>
      <c r="K347" s="212"/>
      <c r="L347" s="212"/>
      <c r="M347" s="212"/>
    </row>
    <row r="348" spans="4:13" ht="12.75" customHeight="1">
      <c r="D348" s="430"/>
      <c r="H348" s="431"/>
      <c r="K348" s="212"/>
      <c r="L348" s="212"/>
      <c r="M348" s="212"/>
    </row>
    <row r="349" spans="4:13" ht="12.75" customHeight="1">
      <c r="D349" s="430"/>
      <c r="H349" s="431"/>
      <c r="K349" s="212"/>
      <c r="L349" s="212"/>
      <c r="M349" s="212"/>
    </row>
    <row r="350" spans="4:13" ht="12.75" customHeight="1">
      <c r="D350" s="430"/>
      <c r="H350" s="431"/>
      <c r="K350" s="212"/>
      <c r="L350" s="212"/>
      <c r="M350" s="212"/>
    </row>
    <row r="351" spans="4:13" ht="12.75" customHeight="1">
      <c r="D351" s="430"/>
      <c r="H351" s="431"/>
      <c r="K351" s="212"/>
      <c r="L351" s="212"/>
      <c r="M351" s="212"/>
    </row>
    <row r="352" spans="4:13" ht="12.75" customHeight="1">
      <c r="D352" s="430"/>
      <c r="H352" s="431"/>
      <c r="K352" s="212"/>
      <c r="L352" s="212"/>
      <c r="M352" s="212"/>
    </row>
    <row r="353" spans="4:13" ht="12.75" customHeight="1">
      <c r="D353" s="430"/>
      <c r="H353" s="431"/>
      <c r="K353" s="212"/>
      <c r="L353" s="212"/>
      <c r="M353" s="212"/>
    </row>
    <row r="354" spans="4:13" ht="12.75" customHeight="1">
      <c r="D354" s="430"/>
      <c r="H354" s="431"/>
      <c r="K354" s="212"/>
      <c r="L354" s="212"/>
      <c r="M354" s="212"/>
    </row>
    <row r="355" spans="4:13" ht="12.75" customHeight="1">
      <c r="D355" s="430"/>
      <c r="H355" s="431"/>
      <c r="K355" s="212"/>
      <c r="L355" s="212"/>
      <c r="M355" s="212"/>
    </row>
    <row r="356" spans="4:13" ht="12.75" customHeight="1">
      <c r="D356" s="430"/>
      <c r="H356" s="431"/>
      <c r="K356" s="212"/>
      <c r="L356" s="212"/>
      <c r="M356" s="212"/>
    </row>
    <row r="357" spans="4:13" ht="12.75" customHeight="1">
      <c r="D357" s="430"/>
      <c r="H357" s="431"/>
      <c r="K357" s="212"/>
      <c r="L357" s="212"/>
      <c r="M357" s="212"/>
    </row>
    <row r="358" spans="4:13" ht="12.75" customHeight="1">
      <c r="D358" s="430"/>
      <c r="H358" s="431"/>
      <c r="K358" s="212"/>
      <c r="L358" s="212"/>
      <c r="M358" s="212"/>
    </row>
    <row r="359" spans="4:13" ht="12.75" customHeight="1">
      <c r="D359" s="430"/>
      <c r="H359" s="431"/>
      <c r="K359" s="212"/>
      <c r="L359" s="212"/>
      <c r="M359" s="212"/>
    </row>
    <row r="360" spans="4:13" ht="12.75" customHeight="1">
      <c r="D360" s="430"/>
      <c r="H360" s="431"/>
      <c r="K360" s="212"/>
      <c r="L360" s="212"/>
      <c r="M360" s="212"/>
    </row>
    <row r="361" spans="4:13" ht="12.75" customHeight="1">
      <c r="D361" s="430"/>
      <c r="H361" s="431"/>
      <c r="K361" s="212"/>
      <c r="L361" s="212"/>
      <c r="M361" s="212"/>
    </row>
    <row r="362" spans="4:13" ht="12.75" customHeight="1">
      <c r="D362" s="430"/>
      <c r="H362" s="431"/>
      <c r="K362" s="212"/>
      <c r="L362" s="212"/>
      <c r="M362" s="212"/>
    </row>
    <row r="363" spans="4:13" ht="12.75" customHeight="1">
      <c r="D363" s="430"/>
      <c r="H363" s="431"/>
      <c r="K363" s="212"/>
      <c r="L363" s="212"/>
      <c r="M363" s="212"/>
    </row>
    <row r="364" spans="4:13" ht="12.75" customHeight="1">
      <c r="D364" s="430"/>
      <c r="H364" s="431"/>
      <c r="K364" s="212"/>
      <c r="L364" s="212"/>
      <c r="M364" s="212"/>
    </row>
    <row r="365" spans="4:13" ht="12.75" customHeight="1">
      <c r="D365" s="430"/>
      <c r="H365" s="431"/>
      <c r="K365" s="212"/>
      <c r="L365" s="212"/>
      <c r="M365" s="212"/>
    </row>
    <row r="366" spans="4:13" ht="12.75" customHeight="1">
      <c r="D366" s="430"/>
      <c r="H366" s="431"/>
      <c r="K366" s="212"/>
      <c r="L366" s="212"/>
      <c r="M366" s="212"/>
    </row>
    <row r="367" spans="4:13" ht="12.75" customHeight="1">
      <c r="D367" s="430"/>
      <c r="H367" s="431"/>
      <c r="K367" s="212"/>
      <c r="L367" s="212"/>
      <c r="M367" s="212"/>
    </row>
    <row r="368" spans="4:13" ht="12.75" customHeight="1">
      <c r="D368" s="430"/>
      <c r="H368" s="431"/>
      <c r="K368" s="212"/>
      <c r="L368" s="212"/>
      <c r="M368" s="212"/>
    </row>
    <row r="369" spans="4:13" ht="12.75" customHeight="1">
      <c r="D369" s="430"/>
      <c r="H369" s="431"/>
      <c r="K369" s="212"/>
      <c r="L369" s="212"/>
      <c r="M369" s="212"/>
    </row>
    <row r="370" spans="4:13" ht="12.75" customHeight="1">
      <c r="D370" s="430"/>
      <c r="H370" s="431"/>
      <c r="K370" s="212"/>
      <c r="L370" s="212"/>
      <c r="M370" s="212"/>
    </row>
    <row r="371" spans="4:13" ht="12.75" customHeight="1">
      <c r="D371" s="430"/>
      <c r="H371" s="431"/>
      <c r="K371" s="212"/>
      <c r="L371" s="212"/>
      <c r="M371" s="212"/>
    </row>
    <row r="372" spans="4:13" ht="12.75" customHeight="1">
      <c r="D372" s="430"/>
      <c r="H372" s="431"/>
      <c r="K372" s="212"/>
      <c r="L372" s="212"/>
      <c r="M372" s="212"/>
    </row>
    <row r="373" spans="4:13" ht="12.75" customHeight="1">
      <c r="D373" s="430"/>
      <c r="H373" s="431"/>
      <c r="K373" s="212"/>
      <c r="L373" s="212"/>
      <c r="M373" s="212"/>
    </row>
    <row r="374" spans="4:13" ht="12.75" customHeight="1">
      <c r="D374" s="430"/>
      <c r="H374" s="431"/>
      <c r="K374" s="212"/>
      <c r="L374" s="212"/>
      <c r="M374" s="212"/>
    </row>
    <row r="375" spans="4:13" ht="12.75" customHeight="1">
      <c r="D375" s="430"/>
      <c r="H375" s="431"/>
      <c r="K375" s="212"/>
      <c r="L375" s="212"/>
      <c r="M375" s="212"/>
    </row>
    <row r="376" spans="4:13" ht="12.75" customHeight="1">
      <c r="D376" s="430"/>
      <c r="H376" s="431"/>
      <c r="K376" s="212"/>
      <c r="L376" s="212"/>
      <c r="M376" s="212"/>
    </row>
    <row r="377" spans="4:13" ht="12.75" customHeight="1">
      <c r="D377" s="430"/>
      <c r="H377" s="431"/>
      <c r="K377" s="212"/>
      <c r="L377" s="212"/>
      <c r="M377" s="212"/>
    </row>
    <row r="378" spans="4:13" ht="12.75" customHeight="1">
      <c r="D378" s="430"/>
      <c r="H378" s="431"/>
      <c r="K378" s="212"/>
      <c r="L378" s="212"/>
      <c r="M378" s="212"/>
    </row>
    <row r="379" spans="4:13" ht="12.75" customHeight="1">
      <c r="D379" s="430"/>
      <c r="H379" s="431"/>
      <c r="K379" s="212"/>
      <c r="L379" s="212"/>
      <c r="M379" s="212"/>
    </row>
    <row r="380" spans="4:13" ht="12.75" customHeight="1">
      <c r="D380" s="430"/>
      <c r="H380" s="431"/>
      <c r="K380" s="212"/>
      <c r="L380" s="212"/>
      <c r="M380" s="212"/>
    </row>
    <row r="381" spans="4:13" ht="12.75" customHeight="1">
      <c r="D381" s="430"/>
      <c r="H381" s="431"/>
      <c r="K381" s="212"/>
      <c r="L381" s="212"/>
      <c r="M381" s="212"/>
    </row>
    <row r="382" spans="4:13" ht="12.75" customHeight="1">
      <c r="D382" s="430"/>
      <c r="H382" s="431"/>
      <c r="K382" s="212"/>
      <c r="L382" s="212"/>
      <c r="M382" s="212"/>
    </row>
    <row r="383" spans="4:13" ht="12.75" customHeight="1">
      <c r="D383" s="430"/>
      <c r="H383" s="431"/>
      <c r="K383" s="212"/>
      <c r="L383" s="212"/>
      <c r="M383" s="212"/>
    </row>
    <row r="384" spans="4:13" ht="12.75" customHeight="1">
      <c r="D384" s="430"/>
      <c r="H384" s="431"/>
      <c r="K384" s="212"/>
      <c r="L384" s="212"/>
      <c r="M384" s="212"/>
    </row>
    <row r="385" spans="4:13" ht="12.75" customHeight="1">
      <c r="D385" s="430"/>
      <c r="H385" s="431"/>
      <c r="K385" s="212"/>
      <c r="L385" s="212"/>
      <c r="M385" s="212"/>
    </row>
    <row r="386" spans="4:13" ht="12.75" customHeight="1">
      <c r="D386" s="430"/>
      <c r="H386" s="431"/>
      <c r="K386" s="212"/>
      <c r="L386" s="212"/>
      <c r="M386" s="212"/>
    </row>
    <row r="387" spans="4:13" ht="12.75" customHeight="1">
      <c r="D387" s="430"/>
      <c r="H387" s="431"/>
      <c r="K387" s="212"/>
      <c r="L387" s="212"/>
      <c r="M387" s="212"/>
    </row>
    <row r="388" spans="4:13" ht="12.75" customHeight="1">
      <c r="D388" s="430"/>
      <c r="H388" s="431"/>
      <c r="K388" s="212"/>
      <c r="L388" s="212"/>
      <c r="M388" s="212"/>
    </row>
    <row r="389" spans="4:13" ht="12.75" customHeight="1">
      <c r="D389" s="430"/>
      <c r="H389" s="431"/>
      <c r="K389" s="212"/>
      <c r="L389" s="212"/>
      <c r="M389" s="212"/>
    </row>
    <row r="390" spans="4:13" ht="12.75" customHeight="1">
      <c r="D390" s="430"/>
      <c r="H390" s="431"/>
      <c r="K390" s="212"/>
      <c r="L390" s="212"/>
      <c r="M390" s="212"/>
    </row>
    <row r="391" spans="4:13" ht="12.75" customHeight="1">
      <c r="D391" s="430"/>
      <c r="H391" s="431"/>
      <c r="K391" s="212"/>
      <c r="L391" s="212"/>
      <c r="M391" s="212"/>
    </row>
    <row r="392" spans="4:13" ht="12.75" customHeight="1">
      <c r="D392" s="430"/>
      <c r="H392" s="431"/>
      <c r="K392" s="212"/>
      <c r="L392" s="212"/>
      <c r="M392" s="212"/>
    </row>
    <row r="393" spans="4:13" ht="12.75" customHeight="1">
      <c r="D393" s="430"/>
      <c r="H393" s="431"/>
      <c r="K393" s="212"/>
      <c r="L393" s="212"/>
      <c r="M393" s="212"/>
    </row>
    <row r="394" spans="4:13" ht="12.75" customHeight="1">
      <c r="D394" s="430"/>
      <c r="H394" s="431"/>
      <c r="K394" s="212"/>
      <c r="L394" s="212"/>
      <c r="M394" s="212"/>
    </row>
    <row r="395" spans="4:13" ht="12.75" customHeight="1">
      <c r="D395" s="430"/>
      <c r="H395" s="431"/>
      <c r="K395" s="212"/>
      <c r="L395" s="212"/>
      <c r="M395" s="212"/>
    </row>
    <row r="396" spans="4:13" ht="12.75" customHeight="1">
      <c r="D396" s="430"/>
      <c r="H396" s="431"/>
      <c r="K396" s="212"/>
      <c r="L396" s="212"/>
      <c r="M396" s="212"/>
    </row>
    <row r="397" spans="4:13" ht="12.75" customHeight="1">
      <c r="D397" s="430"/>
      <c r="H397" s="431"/>
      <c r="K397" s="212"/>
      <c r="L397" s="212"/>
      <c r="M397" s="212"/>
    </row>
    <row r="398" spans="4:13" ht="12.75" customHeight="1">
      <c r="D398" s="430"/>
      <c r="H398" s="431"/>
      <c r="K398" s="212"/>
      <c r="L398" s="212"/>
      <c r="M398" s="212"/>
    </row>
    <row r="399" spans="4:13" ht="12.75" customHeight="1">
      <c r="D399" s="430"/>
      <c r="H399" s="431"/>
      <c r="K399" s="212"/>
      <c r="L399" s="212"/>
      <c r="M399" s="212"/>
    </row>
    <row r="400" spans="4:13" ht="12.75" customHeight="1">
      <c r="D400" s="430"/>
      <c r="H400" s="431"/>
      <c r="K400" s="212"/>
      <c r="L400" s="212"/>
      <c r="M400" s="212"/>
    </row>
    <row r="401" spans="4:13" ht="12.75" customHeight="1">
      <c r="D401" s="430"/>
      <c r="H401" s="431"/>
      <c r="K401" s="212"/>
      <c r="L401" s="212"/>
      <c r="M401" s="212"/>
    </row>
    <row r="402" spans="4:13" ht="12.75" customHeight="1">
      <c r="D402" s="430"/>
      <c r="H402" s="431"/>
      <c r="K402" s="212"/>
      <c r="L402" s="212"/>
      <c r="M402" s="212"/>
    </row>
    <row r="403" spans="4:13" ht="12.75" customHeight="1">
      <c r="D403" s="430"/>
      <c r="H403" s="431"/>
      <c r="K403" s="212"/>
      <c r="L403" s="212"/>
      <c r="M403" s="212"/>
    </row>
    <row r="404" spans="4:13" ht="12.75" customHeight="1">
      <c r="D404" s="430"/>
      <c r="H404" s="431"/>
      <c r="K404" s="212"/>
      <c r="L404" s="212"/>
      <c r="M404" s="212"/>
    </row>
    <row r="405" spans="4:13" ht="12.75" customHeight="1">
      <c r="D405" s="430"/>
      <c r="H405" s="431"/>
      <c r="K405" s="212"/>
      <c r="L405" s="212"/>
      <c r="M405" s="212"/>
    </row>
    <row r="406" spans="4:13" ht="12.75" customHeight="1">
      <c r="D406" s="430"/>
      <c r="H406" s="431"/>
      <c r="K406" s="212"/>
      <c r="L406" s="212"/>
      <c r="M406" s="212"/>
    </row>
    <row r="407" spans="4:13" ht="12.75" customHeight="1">
      <c r="D407" s="430"/>
      <c r="H407" s="431"/>
      <c r="K407" s="212"/>
      <c r="L407" s="212"/>
      <c r="M407" s="212"/>
    </row>
    <row r="408" spans="4:13" ht="12.75" customHeight="1">
      <c r="D408" s="430"/>
      <c r="H408" s="431"/>
      <c r="K408" s="212"/>
      <c r="L408" s="212"/>
      <c r="M408" s="212"/>
    </row>
    <row r="409" spans="4:13" ht="12.75" customHeight="1">
      <c r="D409" s="430"/>
      <c r="H409" s="431"/>
      <c r="K409" s="212"/>
      <c r="L409" s="212"/>
      <c r="M409" s="212"/>
    </row>
    <row r="410" spans="4:13" ht="12.75" customHeight="1">
      <c r="D410" s="430"/>
      <c r="H410" s="431"/>
      <c r="K410" s="212"/>
      <c r="L410" s="212"/>
      <c r="M410" s="212"/>
    </row>
    <row r="411" spans="4:13" ht="12.75" customHeight="1">
      <c r="D411" s="430"/>
      <c r="H411" s="431"/>
      <c r="K411" s="212"/>
      <c r="L411" s="212"/>
      <c r="M411" s="212"/>
    </row>
    <row r="412" spans="4:13" ht="12.75" customHeight="1">
      <c r="D412" s="430"/>
      <c r="H412" s="431"/>
      <c r="K412" s="212"/>
      <c r="L412" s="212"/>
      <c r="M412" s="212"/>
    </row>
    <row r="413" spans="4:13" ht="12.75" customHeight="1">
      <c r="D413" s="430"/>
      <c r="H413" s="431"/>
      <c r="K413" s="212"/>
      <c r="L413" s="212"/>
      <c r="M413" s="212"/>
    </row>
    <row r="414" spans="4:13" ht="12.75" customHeight="1">
      <c r="D414" s="430"/>
      <c r="H414" s="431"/>
      <c r="K414" s="212"/>
      <c r="L414" s="212"/>
      <c r="M414" s="212"/>
    </row>
    <row r="415" spans="4:13" ht="12.75" customHeight="1">
      <c r="D415" s="430"/>
      <c r="H415" s="431"/>
      <c r="K415" s="212"/>
      <c r="L415" s="212"/>
      <c r="M415" s="212"/>
    </row>
    <row r="416" spans="4:13" ht="12.75" customHeight="1">
      <c r="D416" s="430"/>
      <c r="H416" s="431"/>
      <c r="K416" s="212"/>
      <c r="L416" s="212"/>
      <c r="M416" s="212"/>
    </row>
    <row r="417" spans="4:13" ht="12.75" customHeight="1">
      <c r="D417" s="430"/>
      <c r="H417" s="431"/>
      <c r="K417" s="212"/>
      <c r="L417" s="212"/>
      <c r="M417" s="212"/>
    </row>
    <row r="418" spans="4:13" ht="12.75" customHeight="1">
      <c r="D418" s="430"/>
      <c r="H418" s="431"/>
      <c r="K418" s="212"/>
      <c r="L418" s="212"/>
      <c r="M418" s="212"/>
    </row>
    <row r="419" spans="4:13" ht="12.75" customHeight="1">
      <c r="D419" s="430"/>
      <c r="H419" s="431"/>
      <c r="K419" s="212"/>
      <c r="L419" s="212"/>
      <c r="M419" s="212"/>
    </row>
    <row r="420" spans="4:13" ht="12.75" customHeight="1">
      <c r="D420" s="430"/>
      <c r="H420" s="431"/>
      <c r="K420" s="212"/>
      <c r="L420" s="212"/>
      <c r="M420" s="212"/>
    </row>
    <row r="421" spans="4:13" ht="12.75" customHeight="1">
      <c r="D421" s="430"/>
      <c r="H421" s="431"/>
      <c r="K421" s="212"/>
      <c r="L421" s="212"/>
      <c r="M421" s="212"/>
    </row>
    <row r="422" spans="4:13" ht="12.75" customHeight="1">
      <c r="D422" s="430"/>
      <c r="H422" s="431"/>
      <c r="K422" s="212"/>
      <c r="L422" s="212"/>
      <c r="M422" s="212"/>
    </row>
    <row r="423" spans="4:13" ht="12.75" customHeight="1">
      <c r="D423" s="430"/>
      <c r="H423" s="431"/>
      <c r="K423" s="212"/>
      <c r="L423" s="212"/>
      <c r="M423" s="212"/>
    </row>
    <row r="424" spans="4:13" ht="12.75" customHeight="1">
      <c r="D424" s="430"/>
      <c r="H424" s="431"/>
      <c r="K424" s="212"/>
      <c r="L424" s="212"/>
      <c r="M424" s="212"/>
    </row>
    <row r="425" spans="4:13" ht="12.75" customHeight="1">
      <c r="D425" s="430"/>
      <c r="H425" s="431"/>
      <c r="K425" s="212"/>
      <c r="L425" s="212"/>
      <c r="M425" s="212"/>
    </row>
    <row r="426" spans="4:13" ht="12.75" customHeight="1">
      <c r="D426" s="430"/>
      <c r="H426" s="431"/>
      <c r="K426" s="212"/>
      <c r="L426" s="212"/>
      <c r="M426" s="212"/>
    </row>
    <row r="427" spans="4:13" ht="12.75" customHeight="1">
      <c r="D427" s="430"/>
      <c r="H427" s="431"/>
      <c r="K427" s="212"/>
      <c r="L427" s="212"/>
      <c r="M427" s="212"/>
    </row>
    <row r="428" spans="4:13" ht="12.75" customHeight="1">
      <c r="D428" s="430"/>
      <c r="H428" s="431"/>
      <c r="K428" s="212"/>
      <c r="L428" s="212"/>
      <c r="M428" s="212"/>
    </row>
    <row r="429" spans="4:13" ht="12.75" customHeight="1">
      <c r="D429" s="430"/>
      <c r="H429" s="431"/>
      <c r="K429" s="212"/>
      <c r="L429" s="212"/>
      <c r="M429" s="212"/>
    </row>
    <row r="430" spans="4:13" ht="12.75" customHeight="1">
      <c r="D430" s="430"/>
      <c r="H430" s="431"/>
      <c r="K430" s="212"/>
      <c r="L430" s="212"/>
      <c r="M430" s="212"/>
    </row>
    <row r="431" spans="4:13" ht="12.75" customHeight="1">
      <c r="D431" s="430"/>
      <c r="H431" s="431"/>
      <c r="K431" s="212"/>
      <c r="L431" s="212"/>
      <c r="M431" s="212"/>
    </row>
    <row r="432" spans="4:13" ht="12.75" customHeight="1">
      <c r="D432" s="430"/>
      <c r="H432" s="431"/>
      <c r="K432" s="212"/>
      <c r="L432" s="212"/>
      <c r="M432" s="212"/>
    </row>
    <row r="433" spans="4:13" ht="12.75" customHeight="1">
      <c r="D433" s="430"/>
      <c r="H433" s="431"/>
      <c r="K433" s="212"/>
      <c r="L433" s="212"/>
      <c r="M433" s="212"/>
    </row>
    <row r="434" spans="4:13" ht="12.75" customHeight="1">
      <c r="D434" s="430"/>
      <c r="H434" s="431"/>
      <c r="K434" s="212"/>
      <c r="L434" s="212"/>
      <c r="M434" s="212"/>
    </row>
    <row r="435" spans="4:13" ht="12.75" customHeight="1">
      <c r="D435" s="430"/>
      <c r="H435" s="431"/>
      <c r="K435" s="212"/>
      <c r="L435" s="212"/>
      <c r="M435" s="212"/>
    </row>
    <row r="436" spans="4:13" ht="12.75" customHeight="1">
      <c r="D436" s="430"/>
      <c r="H436" s="431"/>
      <c r="K436" s="212"/>
      <c r="L436" s="212"/>
      <c r="M436" s="212"/>
    </row>
    <row r="437" spans="4:13" ht="12.75" customHeight="1">
      <c r="D437" s="430"/>
      <c r="H437" s="431"/>
      <c r="K437" s="212"/>
      <c r="L437" s="212"/>
      <c r="M437" s="212"/>
    </row>
    <row r="438" spans="4:13" ht="12.75" customHeight="1">
      <c r="D438" s="430"/>
      <c r="H438" s="431"/>
      <c r="K438" s="212"/>
      <c r="L438" s="212"/>
      <c r="M438" s="212"/>
    </row>
    <row r="439" spans="4:13" ht="12.75" customHeight="1">
      <c r="D439" s="430"/>
      <c r="H439" s="431"/>
      <c r="K439" s="212"/>
      <c r="L439" s="212"/>
      <c r="M439" s="212"/>
    </row>
    <row r="440" spans="4:13" ht="12.75" customHeight="1">
      <c r="D440" s="430"/>
      <c r="H440" s="431"/>
      <c r="K440" s="212"/>
      <c r="L440" s="212"/>
      <c r="M440" s="212"/>
    </row>
    <row r="441" spans="4:13" ht="12.75" customHeight="1">
      <c r="D441" s="430"/>
      <c r="H441" s="431"/>
      <c r="K441" s="212"/>
      <c r="L441" s="212"/>
      <c r="M441" s="212"/>
    </row>
    <row r="442" spans="4:13" ht="12.75" customHeight="1">
      <c r="D442" s="430"/>
      <c r="H442" s="431"/>
      <c r="K442" s="212"/>
      <c r="L442" s="212"/>
      <c r="M442" s="212"/>
    </row>
    <row r="443" spans="4:13" ht="12.75" customHeight="1">
      <c r="D443" s="430"/>
      <c r="H443" s="431"/>
      <c r="K443" s="212"/>
      <c r="L443" s="212"/>
      <c r="M443" s="212"/>
    </row>
    <row r="444" spans="4:13" ht="12.75" customHeight="1">
      <c r="D444" s="430"/>
      <c r="H444" s="431"/>
      <c r="K444" s="212"/>
      <c r="L444" s="212"/>
      <c r="M444" s="212"/>
    </row>
    <row r="445" spans="4:13" ht="12.75" customHeight="1">
      <c r="D445" s="430"/>
      <c r="H445" s="431"/>
      <c r="K445" s="212"/>
      <c r="L445" s="212"/>
      <c r="M445" s="212"/>
    </row>
    <row r="446" spans="4:13" ht="12.75" customHeight="1">
      <c r="D446" s="430"/>
      <c r="H446" s="431"/>
      <c r="K446" s="212"/>
      <c r="L446" s="212"/>
      <c r="M446" s="212"/>
    </row>
    <row r="447" spans="4:13" ht="12.75" customHeight="1">
      <c r="D447" s="430"/>
      <c r="H447" s="431"/>
      <c r="K447" s="212"/>
      <c r="L447" s="212"/>
      <c r="M447" s="212"/>
    </row>
    <row r="448" spans="4:13" ht="12.75" customHeight="1">
      <c r="D448" s="430"/>
      <c r="H448" s="431"/>
      <c r="K448" s="212"/>
      <c r="L448" s="212"/>
      <c r="M448" s="212"/>
    </row>
    <row r="449" spans="4:13" ht="12.75" customHeight="1">
      <c r="D449" s="430"/>
      <c r="H449" s="431"/>
      <c r="K449" s="212"/>
      <c r="L449" s="212"/>
      <c r="M449" s="212"/>
    </row>
    <row r="450" spans="4:13" ht="12.75" customHeight="1">
      <c r="D450" s="430"/>
      <c r="H450" s="431"/>
      <c r="K450" s="212"/>
      <c r="L450" s="212"/>
      <c r="M450" s="212"/>
    </row>
    <row r="451" spans="4:13" ht="12.75" customHeight="1">
      <c r="D451" s="430"/>
      <c r="H451" s="431"/>
      <c r="K451" s="212"/>
      <c r="L451" s="212"/>
      <c r="M451" s="212"/>
    </row>
    <row r="452" spans="4:13" ht="12.75" customHeight="1">
      <c r="D452" s="430"/>
      <c r="H452" s="431"/>
      <c r="K452" s="212"/>
      <c r="L452" s="212"/>
      <c r="M452" s="212"/>
    </row>
    <row r="453" spans="4:13" ht="12.75" customHeight="1">
      <c r="D453" s="430"/>
      <c r="H453" s="431"/>
      <c r="K453" s="212"/>
      <c r="L453" s="212"/>
      <c r="M453" s="212"/>
    </row>
    <row r="454" spans="4:13" ht="12.75" customHeight="1">
      <c r="D454" s="430"/>
      <c r="H454" s="431"/>
      <c r="K454" s="212"/>
      <c r="L454" s="212"/>
      <c r="M454" s="212"/>
    </row>
    <row r="455" spans="4:13" ht="12.75" customHeight="1">
      <c r="D455" s="430"/>
      <c r="H455" s="431"/>
      <c r="K455" s="212"/>
      <c r="L455" s="212"/>
      <c r="M455" s="212"/>
    </row>
    <row r="456" spans="4:13" ht="12.75" customHeight="1">
      <c r="D456" s="430"/>
      <c r="H456" s="431"/>
      <c r="K456" s="212"/>
      <c r="L456" s="212"/>
      <c r="M456" s="212"/>
    </row>
    <row r="457" spans="4:13" ht="12.75" customHeight="1">
      <c r="D457" s="430"/>
      <c r="H457" s="431"/>
      <c r="K457" s="212"/>
      <c r="L457" s="212"/>
      <c r="M457" s="212"/>
    </row>
    <row r="458" spans="4:13" ht="12.75" customHeight="1">
      <c r="D458" s="430"/>
      <c r="H458" s="431"/>
      <c r="K458" s="212"/>
      <c r="L458" s="212"/>
      <c r="M458" s="212"/>
    </row>
    <row r="459" spans="4:13" ht="12.75" customHeight="1">
      <c r="D459" s="430"/>
      <c r="H459" s="431"/>
      <c r="K459" s="212"/>
      <c r="L459" s="212"/>
      <c r="M459" s="212"/>
    </row>
    <row r="460" spans="4:13" ht="12.75" customHeight="1">
      <c r="D460" s="430"/>
      <c r="H460" s="431"/>
      <c r="K460" s="212"/>
      <c r="L460" s="212"/>
      <c r="M460" s="212"/>
    </row>
    <row r="461" spans="4:13" ht="12.75" customHeight="1">
      <c r="D461" s="430"/>
      <c r="H461" s="431"/>
      <c r="K461" s="212"/>
      <c r="L461" s="212"/>
      <c r="M461" s="212"/>
    </row>
    <row r="462" spans="4:13" ht="12.75" customHeight="1">
      <c r="D462" s="430"/>
      <c r="H462" s="431"/>
      <c r="K462" s="212"/>
      <c r="L462" s="212"/>
      <c r="M462" s="212"/>
    </row>
    <row r="463" spans="4:13" ht="12.75" customHeight="1">
      <c r="D463" s="430"/>
      <c r="H463" s="431"/>
      <c r="K463" s="212"/>
      <c r="L463" s="212"/>
      <c r="M463" s="212"/>
    </row>
    <row r="464" spans="4:13" ht="12.75" customHeight="1">
      <c r="D464" s="430"/>
      <c r="H464" s="431"/>
      <c r="K464" s="212"/>
      <c r="L464" s="212"/>
      <c r="M464" s="212"/>
    </row>
    <row r="465" spans="4:13" ht="12.75" customHeight="1">
      <c r="D465" s="430"/>
      <c r="H465" s="431"/>
      <c r="K465" s="212"/>
      <c r="L465" s="212"/>
      <c r="M465" s="212"/>
    </row>
    <row r="466" spans="4:13" ht="12.75" customHeight="1">
      <c r="D466" s="430"/>
      <c r="H466" s="431"/>
      <c r="K466" s="212"/>
      <c r="L466" s="212"/>
      <c r="M466" s="212"/>
    </row>
    <row r="467" spans="4:13" ht="12.75" customHeight="1">
      <c r="D467" s="430"/>
      <c r="H467" s="431"/>
      <c r="K467" s="212"/>
      <c r="L467" s="212"/>
      <c r="M467" s="212"/>
    </row>
    <row r="468" spans="4:13" ht="12.75" customHeight="1">
      <c r="D468" s="430"/>
      <c r="H468" s="431"/>
      <c r="K468" s="212"/>
      <c r="L468" s="212"/>
      <c r="M468" s="212"/>
    </row>
    <row r="469" spans="4:13" ht="12.75" customHeight="1">
      <c r="D469" s="430"/>
      <c r="H469" s="431"/>
      <c r="K469" s="212"/>
      <c r="L469" s="212"/>
      <c r="M469" s="212"/>
    </row>
    <row r="470" spans="4:13" ht="12.75" customHeight="1">
      <c r="D470" s="430"/>
      <c r="H470" s="431"/>
      <c r="K470" s="212"/>
      <c r="L470" s="212"/>
      <c r="M470" s="212"/>
    </row>
    <row r="471" spans="4:13" ht="12.75" customHeight="1">
      <c r="D471" s="430"/>
      <c r="H471" s="431"/>
      <c r="K471" s="212"/>
      <c r="L471" s="212"/>
      <c r="M471" s="212"/>
    </row>
    <row r="472" spans="4:13" ht="12.75" customHeight="1">
      <c r="D472" s="430"/>
      <c r="H472" s="431"/>
      <c r="K472" s="212"/>
      <c r="L472" s="212"/>
      <c r="M472" s="212"/>
    </row>
    <row r="473" spans="4:13" ht="12.75" customHeight="1">
      <c r="D473" s="430"/>
      <c r="H473" s="431"/>
      <c r="K473" s="212"/>
      <c r="L473" s="212"/>
      <c r="M473" s="212"/>
    </row>
    <row r="474" spans="4:13" ht="12.75" customHeight="1">
      <c r="D474" s="430"/>
      <c r="H474" s="431"/>
      <c r="K474" s="212"/>
      <c r="L474" s="212"/>
      <c r="M474" s="212"/>
    </row>
    <row r="475" spans="4:13" ht="12.75" customHeight="1">
      <c r="D475" s="430"/>
      <c r="H475" s="431"/>
      <c r="K475" s="212"/>
      <c r="L475" s="212"/>
      <c r="M475" s="212"/>
    </row>
    <row r="476" spans="4:13" ht="12.75" customHeight="1">
      <c r="D476" s="430"/>
      <c r="H476" s="431"/>
      <c r="K476" s="212"/>
      <c r="L476" s="212"/>
      <c r="M476" s="212"/>
    </row>
    <row r="477" spans="4:13" ht="12.75" customHeight="1">
      <c r="D477" s="430"/>
      <c r="H477" s="431"/>
      <c r="K477" s="212"/>
      <c r="L477" s="212"/>
      <c r="M477" s="212"/>
    </row>
    <row r="478" spans="4:13" ht="12.75" customHeight="1">
      <c r="D478" s="430"/>
      <c r="H478" s="431"/>
      <c r="K478" s="212"/>
      <c r="L478" s="212"/>
      <c r="M478" s="212"/>
    </row>
    <row r="479" spans="4:13" ht="12.75" customHeight="1">
      <c r="D479" s="430"/>
      <c r="H479" s="431"/>
      <c r="K479" s="212"/>
      <c r="L479" s="212"/>
      <c r="M479" s="212"/>
    </row>
    <row r="480" spans="4:13" ht="12.75" customHeight="1">
      <c r="D480" s="430"/>
      <c r="H480" s="431"/>
      <c r="K480" s="212"/>
      <c r="L480" s="212"/>
      <c r="M480" s="212"/>
    </row>
    <row r="481" spans="4:13" ht="12.75" customHeight="1">
      <c r="D481" s="430"/>
      <c r="H481" s="431"/>
      <c r="K481" s="212"/>
      <c r="L481" s="212"/>
      <c r="M481" s="212"/>
    </row>
    <row r="482" spans="4:13" ht="12.75" customHeight="1">
      <c r="D482" s="430"/>
      <c r="H482" s="431"/>
      <c r="K482" s="212"/>
      <c r="L482" s="212"/>
      <c r="M482" s="212"/>
    </row>
    <row r="483" spans="4:13" ht="12.75" customHeight="1">
      <c r="D483" s="430"/>
      <c r="H483" s="431"/>
      <c r="K483" s="212"/>
      <c r="L483" s="212"/>
      <c r="M483" s="212"/>
    </row>
    <row r="484" spans="4:13" ht="12.75" customHeight="1">
      <c r="D484" s="430"/>
      <c r="H484" s="431"/>
      <c r="K484" s="212"/>
      <c r="L484" s="212"/>
      <c r="M484" s="212"/>
    </row>
    <row r="485" spans="4:13" ht="12.75" customHeight="1">
      <c r="D485" s="430"/>
      <c r="H485" s="431"/>
      <c r="K485" s="212"/>
      <c r="L485" s="212"/>
      <c r="M485" s="212"/>
    </row>
    <row r="486" spans="4:13" ht="12.75" customHeight="1">
      <c r="D486" s="430"/>
      <c r="H486" s="431"/>
      <c r="K486" s="212"/>
      <c r="L486" s="212"/>
      <c r="M486" s="212"/>
    </row>
    <row r="487" spans="4:13" ht="12.75" customHeight="1">
      <c r="D487" s="430"/>
      <c r="H487" s="431"/>
      <c r="K487" s="212"/>
      <c r="L487" s="212"/>
      <c r="M487" s="212"/>
    </row>
    <row r="488" spans="4:13" ht="12.75" customHeight="1">
      <c r="D488" s="430"/>
      <c r="H488" s="431"/>
      <c r="K488" s="212"/>
      <c r="L488" s="212"/>
      <c r="M488" s="212"/>
    </row>
    <row r="489" spans="4:13" ht="12.75" customHeight="1">
      <c r="D489" s="430"/>
      <c r="H489" s="431"/>
      <c r="K489" s="212"/>
      <c r="L489" s="212"/>
      <c r="M489" s="212"/>
    </row>
    <row r="490" spans="4:13" ht="12.75" customHeight="1">
      <c r="D490" s="430"/>
      <c r="H490" s="431"/>
      <c r="K490" s="212"/>
      <c r="L490" s="212"/>
      <c r="M490" s="212"/>
    </row>
    <row r="491" spans="4:13" ht="12.75" customHeight="1">
      <c r="D491" s="430"/>
      <c r="H491" s="431"/>
      <c r="K491" s="212"/>
      <c r="L491" s="212"/>
      <c r="M491" s="212"/>
    </row>
    <row r="492" spans="4:13" ht="12.75" customHeight="1">
      <c r="D492" s="430"/>
      <c r="H492" s="431"/>
      <c r="K492" s="212"/>
      <c r="L492" s="212"/>
      <c r="M492" s="212"/>
    </row>
    <row r="493" spans="4:13" ht="12.75" customHeight="1">
      <c r="D493" s="430"/>
      <c r="H493" s="431"/>
      <c r="K493" s="212"/>
      <c r="L493" s="212"/>
      <c r="M493" s="212"/>
    </row>
    <row r="494" spans="4:13" ht="12.75" customHeight="1">
      <c r="D494" s="430"/>
      <c r="H494" s="431"/>
      <c r="K494" s="212"/>
      <c r="L494" s="212"/>
      <c r="M494" s="212"/>
    </row>
    <row r="495" spans="4:13" ht="12.75" customHeight="1">
      <c r="D495" s="430"/>
      <c r="H495" s="431"/>
      <c r="K495" s="212"/>
      <c r="L495" s="212"/>
      <c r="M495" s="212"/>
    </row>
    <row r="496" spans="4:13" ht="12.75" customHeight="1">
      <c r="D496" s="430"/>
      <c r="H496" s="431"/>
      <c r="K496" s="212"/>
      <c r="L496" s="212"/>
      <c r="M496" s="212"/>
    </row>
    <row r="497" spans="4:13" ht="12.75" customHeight="1">
      <c r="D497" s="430"/>
      <c r="H497" s="431"/>
      <c r="K497" s="212"/>
      <c r="L497" s="212"/>
      <c r="M497" s="212"/>
    </row>
    <row r="498" spans="4:13" ht="12.75" customHeight="1">
      <c r="D498" s="430"/>
      <c r="H498" s="431"/>
      <c r="K498" s="212"/>
      <c r="L498" s="212"/>
      <c r="M498" s="212"/>
    </row>
    <row r="499" spans="4:13" ht="12.75" customHeight="1">
      <c r="D499" s="430"/>
      <c r="H499" s="431"/>
      <c r="K499" s="212"/>
      <c r="L499" s="212"/>
      <c r="M499" s="212"/>
    </row>
    <row r="500" spans="4:13" ht="12.75" customHeight="1">
      <c r="D500" s="430"/>
      <c r="H500" s="431"/>
      <c r="K500" s="212"/>
      <c r="L500" s="212"/>
      <c r="M500" s="212"/>
    </row>
    <row r="501" spans="4:13" ht="12.75" customHeight="1">
      <c r="D501" s="430"/>
      <c r="H501" s="431"/>
      <c r="K501" s="212"/>
      <c r="L501" s="212"/>
      <c r="M501" s="212"/>
    </row>
    <row r="502" spans="4:13" ht="12.75" customHeight="1">
      <c r="D502" s="430"/>
      <c r="H502" s="431"/>
      <c r="K502" s="212"/>
      <c r="L502" s="212"/>
      <c r="M502" s="212"/>
    </row>
    <row r="503" spans="4:13" ht="12.75" customHeight="1">
      <c r="D503" s="430"/>
      <c r="H503" s="431"/>
      <c r="K503" s="212"/>
      <c r="L503" s="212"/>
      <c r="M503" s="212"/>
    </row>
    <row r="504" spans="4:13" ht="12.75" customHeight="1">
      <c r="D504" s="430"/>
      <c r="H504" s="431"/>
      <c r="K504" s="212"/>
      <c r="L504" s="212"/>
      <c r="M504" s="212"/>
    </row>
    <row r="505" spans="4:13" ht="12.75" customHeight="1">
      <c r="D505" s="430"/>
      <c r="H505" s="431"/>
      <c r="K505" s="212"/>
      <c r="L505" s="212"/>
      <c r="M505" s="212"/>
    </row>
    <row r="506" spans="4:13" ht="12.75" customHeight="1">
      <c r="D506" s="430"/>
      <c r="H506" s="431"/>
      <c r="K506" s="212"/>
      <c r="L506" s="212"/>
      <c r="M506" s="212"/>
    </row>
    <row r="507" spans="4:13" ht="12.75" customHeight="1">
      <c r="D507" s="430"/>
      <c r="H507" s="431"/>
      <c r="K507" s="212"/>
      <c r="L507" s="212"/>
      <c r="M507" s="212"/>
    </row>
    <row r="508" spans="4:13" ht="12.75" customHeight="1">
      <c r="D508" s="430"/>
      <c r="H508" s="431"/>
      <c r="K508" s="212"/>
      <c r="L508" s="212"/>
      <c r="M508" s="212"/>
    </row>
    <row r="509" spans="4:13" ht="12.75" customHeight="1">
      <c r="D509" s="430"/>
      <c r="H509" s="431"/>
      <c r="K509" s="212"/>
      <c r="L509" s="212"/>
      <c r="M509" s="212"/>
    </row>
    <row r="510" spans="4:13" ht="12.75" customHeight="1">
      <c r="D510" s="430"/>
      <c r="H510" s="431"/>
      <c r="K510" s="212"/>
      <c r="L510" s="212"/>
      <c r="M510" s="212"/>
    </row>
    <row r="511" spans="4:13" ht="12.75" customHeight="1">
      <c r="D511" s="430"/>
      <c r="H511" s="431"/>
      <c r="K511" s="212"/>
      <c r="L511" s="212"/>
      <c r="M511" s="212"/>
    </row>
    <row r="512" spans="4:13" ht="12.75" customHeight="1">
      <c r="D512" s="430"/>
      <c r="H512" s="431"/>
      <c r="K512" s="212"/>
      <c r="L512" s="212"/>
      <c r="M512" s="212"/>
    </row>
    <row r="513" spans="4:13" ht="12.75" customHeight="1">
      <c r="D513" s="430"/>
      <c r="H513" s="431"/>
      <c r="K513" s="212"/>
      <c r="L513" s="212"/>
      <c r="M513" s="212"/>
    </row>
    <row r="514" spans="4:13" ht="12.75" customHeight="1">
      <c r="D514" s="430"/>
      <c r="H514" s="431"/>
      <c r="K514" s="212"/>
      <c r="L514" s="212"/>
      <c r="M514" s="212"/>
    </row>
    <row r="515" spans="4:13" ht="12.75" customHeight="1">
      <c r="D515" s="430"/>
      <c r="H515" s="431"/>
      <c r="K515" s="212"/>
      <c r="L515" s="212"/>
      <c r="M515" s="212"/>
    </row>
    <row r="516" spans="4:13" ht="12.75" customHeight="1">
      <c r="D516" s="430"/>
      <c r="H516" s="431"/>
      <c r="K516" s="212"/>
      <c r="L516" s="212"/>
      <c r="M516" s="212"/>
    </row>
    <row r="517" spans="4:13" ht="12.75" customHeight="1">
      <c r="D517" s="430"/>
      <c r="H517" s="431"/>
      <c r="K517" s="212"/>
      <c r="L517" s="212"/>
      <c r="M517" s="212"/>
    </row>
    <row r="518" spans="4:13" ht="12.75" customHeight="1">
      <c r="D518" s="430"/>
      <c r="H518" s="431"/>
      <c r="K518" s="212"/>
      <c r="L518" s="212"/>
      <c r="M518" s="212"/>
    </row>
    <row r="519" spans="4:13" ht="12.75" customHeight="1">
      <c r="D519" s="430"/>
      <c r="H519" s="431"/>
      <c r="K519" s="212"/>
      <c r="L519" s="212"/>
      <c r="M519" s="212"/>
    </row>
    <row r="520" spans="4:13" ht="12.75" customHeight="1">
      <c r="D520" s="430"/>
      <c r="H520" s="431"/>
      <c r="K520" s="212"/>
      <c r="L520" s="212"/>
      <c r="M520" s="212"/>
    </row>
    <row r="521" spans="4:13" ht="12.75" customHeight="1">
      <c r="D521" s="430"/>
      <c r="H521" s="431"/>
      <c r="K521" s="212"/>
      <c r="L521" s="212"/>
      <c r="M521" s="212"/>
    </row>
    <row r="522" spans="4:13" ht="12.75" customHeight="1">
      <c r="D522" s="430"/>
      <c r="H522" s="431"/>
      <c r="K522" s="212"/>
      <c r="L522" s="212"/>
      <c r="M522" s="212"/>
    </row>
    <row r="523" spans="4:13" ht="12.75" customHeight="1">
      <c r="D523" s="430"/>
      <c r="H523" s="431"/>
      <c r="K523" s="212"/>
      <c r="L523" s="212"/>
      <c r="M523" s="212"/>
    </row>
    <row r="524" spans="4:13" ht="12.75" customHeight="1">
      <c r="D524" s="430"/>
      <c r="H524" s="431"/>
      <c r="K524" s="212"/>
      <c r="L524" s="212"/>
      <c r="M524" s="212"/>
    </row>
    <row r="525" spans="4:13" ht="12.75" customHeight="1">
      <c r="D525" s="430"/>
      <c r="H525" s="431"/>
      <c r="K525" s="212"/>
      <c r="L525" s="212"/>
      <c r="M525" s="212"/>
    </row>
    <row r="526" spans="4:13" ht="12.75" customHeight="1">
      <c r="D526" s="430"/>
      <c r="H526" s="431"/>
      <c r="K526" s="212"/>
      <c r="L526" s="212"/>
      <c r="M526" s="212"/>
    </row>
    <row r="527" spans="4:13" ht="12.75" customHeight="1">
      <c r="D527" s="430"/>
      <c r="H527" s="431"/>
      <c r="K527" s="212"/>
      <c r="L527" s="212"/>
      <c r="M527" s="212"/>
    </row>
    <row r="528" spans="4:13" ht="12.75" customHeight="1">
      <c r="D528" s="430"/>
      <c r="H528" s="431"/>
      <c r="K528" s="212"/>
      <c r="L528" s="212"/>
      <c r="M528" s="212"/>
    </row>
    <row r="529" spans="4:13" ht="12.75" customHeight="1">
      <c r="D529" s="430"/>
      <c r="H529" s="431"/>
      <c r="K529" s="212"/>
      <c r="L529" s="212"/>
      <c r="M529" s="212"/>
    </row>
    <row r="530" spans="4:13" ht="12.75" customHeight="1">
      <c r="D530" s="430"/>
      <c r="H530" s="431"/>
      <c r="K530" s="212"/>
      <c r="L530" s="212"/>
      <c r="M530" s="212"/>
    </row>
    <row r="531" spans="4:13" ht="12.75" customHeight="1">
      <c r="D531" s="430"/>
      <c r="H531" s="431"/>
      <c r="K531" s="212"/>
      <c r="L531" s="212"/>
      <c r="M531" s="212"/>
    </row>
    <row r="532" spans="4:13" ht="12.75" customHeight="1">
      <c r="D532" s="430"/>
      <c r="H532" s="431"/>
      <c r="K532" s="212"/>
      <c r="L532" s="212"/>
      <c r="M532" s="212"/>
    </row>
    <row r="533" spans="4:13" ht="12.75" customHeight="1">
      <c r="D533" s="430"/>
      <c r="H533" s="431"/>
      <c r="K533" s="212"/>
      <c r="L533" s="212"/>
      <c r="M533" s="212"/>
    </row>
    <row r="534" spans="4:13" ht="12.75" customHeight="1">
      <c r="D534" s="430"/>
      <c r="H534" s="431"/>
      <c r="K534" s="212"/>
      <c r="L534" s="212"/>
      <c r="M534" s="212"/>
    </row>
    <row r="535" spans="4:13" ht="12.75" customHeight="1">
      <c r="D535" s="430"/>
      <c r="H535" s="431"/>
      <c r="K535" s="212"/>
      <c r="L535" s="212"/>
      <c r="M535" s="212"/>
    </row>
    <row r="536" spans="4:13" ht="12.75" customHeight="1">
      <c r="D536" s="430"/>
      <c r="H536" s="431"/>
      <c r="K536" s="212"/>
      <c r="L536" s="212"/>
      <c r="M536" s="212"/>
    </row>
    <row r="537" spans="4:13" ht="12.75" customHeight="1">
      <c r="D537" s="430"/>
      <c r="H537" s="431"/>
      <c r="K537" s="212"/>
      <c r="L537" s="212"/>
      <c r="M537" s="212"/>
    </row>
    <row r="538" spans="4:13" ht="12.75" customHeight="1">
      <c r="D538" s="430"/>
      <c r="H538" s="431"/>
      <c r="K538" s="212"/>
      <c r="L538" s="212"/>
      <c r="M538" s="212"/>
    </row>
    <row r="539" spans="4:13" ht="12.75" customHeight="1">
      <c r="D539" s="430"/>
      <c r="H539" s="431"/>
      <c r="K539" s="212"/>
      <c r="L539" s="212"/>
      <c r="M539" s="212"/>
    </row>
    <row r="540" spans="4:13" ht="12.75" customHeight="1">
      <c r="D540" s="430"/>
      <c r="H540" s="431"/>
      <c r="K540" s="212"/>
      <c r="L540" s="212"/>
      <c r="M540" s="212"/>
    </row>
    <row r="541" spans="4:13" ht="12.75" customHeight="1">
      <c r="D541" s="430"/>
      <c r="H541" s="431"/>
      <c r="K541" s="212"/>
      <c r="L541" s="212"/>
      <c r="M541" s="212"/>
    </row>
    <row r="542" spans="4:13" ht="12.75" customHeight="1">
      <c r="D542" s="430"/>
      <c r="H542" s="431"/>
      <c r="K542" s="212"/>
      <c r="L542" s="212"/>
      <c r="M542" s="212"/>
    </row>
    <row r="543" spans="4:13" ht="12.75" customHeight="1">
      <c r="D543" s="430"/>
      <c r="H543" s="431"/>
      <c r="K543" s="212"/>
      <c r="L543" s="212"/>
      <c r="M543" s="212"/>
    </row>
    <row r="544" spans="4:13" ht="12.75" customHeight="1">
      <c r="D544" s="430"/>
      <c r="H544" s="431"/>
      <c r="K544" s="212"/>
      <c r="L544" s="212"/>
      <c r="M544" s="212"/>
    </row>
    <row r="545" spans="4:13" ht="12.75" customHeight="1">
      <c r="D545" s="430"/>
      <c r="H545" s="431"/>
      <c r="K545" s="212"/>
      <c r="L545" s="212"/>
      <c r="M545" s="212"/>
    </row>
    <row r="546" spans="4:13" ht="12.75" customHeight="1">
      <c r="D546" s="430"/>
      <c r="H546" s="431"/>
      <c r="K546" s="212"/>
      <c r="L546" s="212"/>
      <c r="M546" s="212"/>
    </row>
    <row r="547" spans="4:13" ht="12.75" customHeight="1">
      <c r="D547" s="430"/>
      <c r="H547" s="431"/>
      <c r="K547" s="212"/>
      <c r="L547" s="212"/>
      <c r="M547" s="212"/>
    </row>
    <row r="548" spans="4:13" ht="12.75" customHeight="1">
      <c r="D548" s="430"/>
      <c r="H548" s="431"/>
      <c r="K548" s="212"/>
      <c r="L548" s="212"/>
      <c r="M548" s="212"/>
    </row>
    <row r="549" spans="4:13" ht="12.75" customHeight="1">
      <c r="D549" s="430"/>
      <c r="H549" s="431"/>
      <c r="K549" s="212"/>
      <c r="L549" s="212"/>
      <c r="M549" s="212"/>
    </row>
    <row r="550" spans="4:13" ht="12.75" customHeight="1">
      <c r="D550" s="430"/>
      <c r="H550" s="431"/>
      <c r="K550" s="212"/>
      <c r="L550" s="212"/>
      <c r="M550" s="212"/>
    </row>
    <row r="551" spans="4:13" ht="12.75" customHeight="1">
      <c r="D551" s="430"/>
      <c r="H551" s="431"/>
      <c r="K551" s="212"/>
      <c r="L551" s="212"/>
      <c r="M551" s="212"/>
    </row>
    <row r="552" spans="4:13" ht="12.75" customHeight="1">
      <c r="D552" s="430"/>
      <c r="H552" s="431"/>
      <c r="K552" s="212"/>
      <c r="L552" s="212"/>
      <c r="M552" s="212"/>
    </row>
    <row r="553" spans="4:13" ht="12.75" customHeight="1">
      <c r="D553" s="430"/>
      <c r="H553" s="431"/>
      <c r="K553" s="212"/>
      <c r="L553" s="212"/>
      <c r="M553" s="212"/>
    </row>
    <row r="554" spans="4:13" ht="12.75" customHeight="1">
      <c r="D554" s="430"/>
      <c r="H554" s="431"/>
      <c r="K554" s="212"/>
      <c r="L554" s="212"/>
      <c r="M554" s="212"/>
    </row>
    <row r="555" spans="4:13" ht="12.75" customHeight="1">
      <c r="D555" s="430"/>
      <c r="H555" s="431"/>
      <c r="K555" s="212"/>
      <c r="L555" s="212"/>
      <c r="M555" s="212"/>
    </row>
    <row r="556" spans="4:13" ht="12.75" customHeight="1">
      <c r="D556" s="430"/>
      <c r="H556" s="431"/>
      <c r="K556" s="212"/>
      <c r="L556" s="212"/>
      <c r="M556" s="212"/>
    </row>
    <row r="557" spans="4:13" ht="12.75" customHeight="1">
      <c r="D557" s="430"/>
      <c r="H557" s="431"/>
      <c r="K557" s="212"/>
      <c r="L557" s="212"/>
      <c r="M557" s="212"/>
    </row>
    <row r="558" spans="4:13" ht="12.75" customHeight="1">
      <c r="D558" s="430"/>
      <c r="H558" s="431"/>
      <c r="K558" s="212"/>
      <c r="L558" s="212"/>
      <c r="M558" s="212"/>
    </row>
    <row r="559" spans="4:13" ht="12.75" customHeight="1">
      <c r="D559" s="430"/>
      <c r="H559" s="431"/>
      <c r="K559" s="212"/>
      <c r="L559" s="212"/>
      <c r="M559" s="212"/>
    </row>
    <row r="560" spans="4:13" ht="12.75" customHeight="1">
      <c r="D560" s="430"/>
      <c r="H560" s="431"/>
      <c r="K560" s="212"/>
      <c r="L560" s="212"/>
      <c r="M560" s="212"/>
    </row>
    <row r="561" spans="4:13" ht="12.75" customHeight="1">
      <c r="D561" s="430"/>
      <c r="H561" s="431"/>
      <c r="K561" s="212"/>
      <c r="L561" s="212"/>
      <c r="M561" s="212"/>
    </row>
    <row r="562" spans="4:13" ht="12.75" customHeight="1">
      <c r="D562" s="430"/>
      <c r="H562" s="431"/>
      <c r="K562" s="212"/>
      <c r="L562" s="212"/>
      <c r="M562" s="212"/>
    </row>
    <row r="563" spans="4:13" ht="12.75" customHeight="1">
      <c r="D563" s="430"/>
      <c r="H563" s="431"/>
      <c r="K563" s="212"/>
      <c r="L563" s="212"/>
      <c r="M563" s="212"/>
    </row>
    <row r="564" spans="4:13" ht="12.75" customHeight="1">
      <c r="D564" s="430"/>
      <c r="H564" s="431"/>
      <c r="K564" s="212"/>
      <c r="L564" s="212"/>
      <c r="M564" s="212"/>
    </row>
    <row r="565" spans="4:13" ht="12.75" customHeight="1">
      <c r="D565" s="430"/>
      <c r="H565" s="431"/>
      <c r="K565" s="212"/>
      <c r="L565" s="212"/>
      <c r="M565" s="212"/>
    </row>
    <row r="566" spans="4:13" ht="12.75" customHeight="1">
      <c r="D566" s="430"/>
      <c r="H566" s="431"/>
      <c r="K566" s="212"/>
      <c r="L566" s="212"/>
      <c r="M566" s="212"/>
    </row>
    <row r="567" spans="4:13" ht="12.75" customHeight="1">
      <c r="D567" s="430"/>
      <c r="H567" s="431"/>
      <c r="K567" s="212"/>
      <c r="L567" s="212"/>
      <c r="M567" s="212"/>
    </row>
    <row r="568" spans="4:13" ht="12.75" customHeight="1">
      <c r="D568" s="430"/>
      <c r="H568" s="431"/>
      <c r="K568" s="212"/>
      <c r="L568" s="212"/>
      <c r="M568" s="212"/>
    </row>
    <row r="569" spans="4:13" ht="12.75" customHeight="1">
      <c r="D569" s="430"/>
      <c r="H569" s="431"/>
      <c r="K569" s="212"/>
      <c r="L569" s="212"/>
      <c r="M569" s="212"/>
    </row>
    <row r="570" spans="4:13" ht="12.75" customHeight="1">
      <c r="D570" s="430"/>
      <c r="H570" s="431"/>
      <c r="K570" s="212"/>
      <c r="L570" s="212"/>
      <c r="M570" s="212"/>
    </row>
    <row r="571" spans="4:13" ht="12.75" customHeight="1">
      <c r="D571" s="430"/>
      <c r="H571" s="431"/>
      <c r="K571" s="212"/>
      <c r="L571" s="212"/>
      <c r="M571" s="212"/>
    </row>
    <row r="572" spans="4:13" ht="12.75" customHeight="1">
      <c r="D572" s="430"/>
      <c r="H572" s="431"/>
      <c r="K572" s="212"/>
      <c r="L572" s="212"/>
      <c r="M572" s="212"/>
    </row>
    <row r="573" spans="4:13" ht="12.75" customHeight="1">
      <c r="D573" s="430"/>
      <c r="H573" s="431"/>
      <c r="K573" s="212"/>
      <c r="L573" s="212"/>
      <c r="M573" s="212"/>
    </row>
    <row r="574" spans="4:13" ht="12.75" customHeight="1">
      <c r="D574" s="430"/>
      <c r="H574" s="431"/>
      <c r="K574" s="212"/>
      <c r="L574" s="212"/>
      <c r="M574" s="212"/>
    </row>
    <row r="575" spans="4:13" ht="12.75" customHeight="1">
      <c r="D575" s="430"/>
      <c r="H575" s="431"/>
      <c r="K575" s="212"/>
      <c r="L575" s="212"/>
      <c r="M575" s="212"/>
    </row>
    <row r="576" spans="4:13" ht="12.75" customHeight="1">
      <c r="D576" s="430"/>
      <c r="H576" s="431"/>
      <c r="K576" s="212"/>
      <c r="L576" s="212"/>
      <c r="M576" s="212"/>
    </row>
    <row r="577" spans="4:13" ht="12.75" customHeight="1">
      <c r="D577" s="430"/>
      <c r="H577" s="431"/>
      <c r="K577" s="212"/>
      <c r="L577" s="212"/>
      <c r="M577" s="212"/>
    </row>
    <row r="578" spans="4:13" ht="12.75" customHeight="1">
      <c r="D578" s="430"/>
      <c r="H578" s="431"/>
      <c r="K578" s="212"/>
      <c r="L578" s="212"/>
      <c r="M578" s="212"/>
    </row>
    <row r="579" spans="4:13" ht="12.75" customHeight="1">
      <c r="D579" s="430"/>
      <c r="H579" s="431"/>
      <c r="K579" s="212"/>
      <c r="L579" s="212"/>
      <c r="M579" s="212"/>
    </row>
    <row r="580" spans="4:13" ht="12.75" customHeight="1">
      <c r="D580" s="430"/>
      <c r="H580" s="431"/>
      <c r="K580" s="212"/>
      <c r="L580" s="212"/>
      <c r="M580" s="212"/>
    </row>
    <row r="581" spans="4:13" ht="12.75" customHeight="1">
      <c r="D581" s="430"/>
      <c r="H581" s="431"/>
      <c r="K581" s="212"/>
      <c r="L581" s="212"/>
      <c r="M581" s="212"/>
    </row>
    <row r="582" spans="4:13" ht="12.75" customHeight="1">
      <c r="D582" s="430"/>
      <c r="H582" s="431"/>
      <c r="K582" s="212"/>
      <c r="L582" s="212"/>
      <c r="M582" s="212"/>
    </row>
    <row r="583" spans="4:13" ht="12.75" customHeight="1">
      <c r="D583" s="430"/>
      <c r="H583" s="431"/>
      <c r="K583" s="212"/>
      <c r="L583" s="212"/>
      <c r="M583" s="212"/>
    </row>
    <row r="584" spans="4:13" ht="12.75" customHeight="1">
      <c r="D584" s="430"/>
      <c r="H584" s="431"/>
      <c r="K584" s="212"/>
      <c r="L584" s="212"/>
      <c r="M584" s="212"/>
    </row>
    <row r="585" spans="4:13" ht="12.75" customHeight="1">
      <c r="D585" s="430"/>
      <c r="H585" s="431"/>
      <c r="K585" s="212"/>
      <c r="L585" s="212"/>
      <c r="M585" s="212"/>
    </row>
    <row r="586" spans="4:13" ht="12.75" customHeight="1">
      <c r="D586" s="430"/>
      <c r="H586" s="431"/>
      <c r="K586" s="212"/>
      <c r="L586" s="212"/>
      <c r="M586" s="212"/>
    </row>
    <row r="587" spans="4:13" ht="12.75" customHeight="1">
      <c r="D587" s="430"/>
      <c r="H587" s="431"/>
      <c r="K587" s="212"/>
      <c r="L587" s="212"/>
      <c r="M587" s="212"/>
    </row>
    <row r="588" spans="4:13" ht="12.75" customHeight="1">
      <c r="D588" s="430"/>
      <c r="H588" s="431"/>
      <c r="K588" s="212"/>
      <c r="L588" s="212"/>
      <c r="M588" s="212"/>
    </row>
    <row r="589" spans="4:13" ht="12.75" customHeight="1">
      <c r="D589" s="430"/>
      <c r="H589" s="431"/>
      <c r="K589" s="212"/>
      <c r="L589" s="212"/>
      <c r="M589" s="212"/>
    </row>
    <row r="590" spans="4:13" ht="12.75" customHeight="1">
      <c r="D590" s="430"/>
      <c r="H590" s="431"/>
      <c r="K590" s="212"/>
      <c r="L590" s="212"/>
      <c r="M590" s="212"/>
    </row>
    <row r="591" spans="4:13" ht="12.75" customHeight="1">
      <c r="D591" s="430"/>
      <c r="H591" s="431"/>
      <c r="K591" s="212"/>
      <c r="L591" s="212"/>
      <c r="M591" s="212"/>
    </row>
    <row r="592" spans="4:13" ht="12.75" customHeight="1">
      <c r="D592" s="430"/>
      <c r="H592" s="431"/>
      <c r="K592" s="212"/>
      <c r="L592" s="212"/>
      <c r="M592" s="212"/>
    </row>
    <row r="593" spans="4:13" ht="12.75" customHeight="1">
      <c r="D593" s="430"/>
      <c r="H593" s="431"/>
      <c r="K593" s="212"/>
      <c r="L593" s="212"/>
      <c r="M593" s="212"/>
    </row>
    <row r="594" spans="4:13" ht="12.75" customHeight="1">
      <c r="D594" s="430"/>
      <c r="H594" s="431"/>
      <c r="K594" s="212"/>
      <c r="L594" s="212"/>
      <c r="M594" s="212"/>
    </row>
    <row r="595" spans="4:13" ht="12.75" customHeight="1">
      <c r="D595" s="430"/>
      <c r="H595" s="431"/>
      <c r="K595" s="212"/>
      <c r="L595" s="212"/>
      <c r="M595" s="212"/>
    </row>
    <row r="596" spans="4:13" ht="12.75" customHeight="1">
      <c r="D596" s="430"/>
      <c r="H596" s="431"/>
      <c r="K596" s="212"/>
      <c r="L596" s="212"/>
      <c r="M596" s="212"/>
    </row>
    <row r="597" spans="4:13" ht="12.75" customHeight="1">
      <c r="D597" s="430"/>
      <c r="H597" s="431"/>
      <c r="K597" s="212"/>
      <c r="L597" s="212"/>
      <c r="M597" s="212"/>
    </row>
    <row r="598" spans="4:13" ht="12.75" customHeight="1">
      <c r="D598" s="430"/>
      <c r="H598" s="431"/>
      <c r="K598" s="212"/>
      <c r="L598" s="212"/>
      <c r="M598" s="212"/>
    </row>
    <row r="599" spans="4:13" ht="12.75" customHeight="1">
      <c r="D599" s="430"/>
      <c r="H599" s="431"/>
      <c r="K599" s="212"/>
      <c r="L599" s="212"/>
      <c r="M599" s="212"/>
    </row>
    <row r="600" spans="4:13" ht="12.75" customHeight="1">
      <c r="D600" s="430"/>
      <c r="H600" s="431"/>
      <c r="K600" s="212"/>
      <c r="L600" s="212"/>
      <c r="M600" s="212"/>
    </row>
    <row r="601" spans="4:13" ht="12.75" customHeight="1">
      <c r="D601" s="430"/>
      <c r="H601" s="431"/>
      <c r="K601" s="212"/>
      <c r="L601" s="212"/>
      <c r="M601" s="212"/>
    </row>
    <row r="602" spans="4:13" ht="12.75" customHeight="1">
      <c r="D602" s="430"/>
      <c r="H602" s="431"/>
      <c r="K602" s="212"/>
      <c r="L602" s="212"/>
      <c r="M602" s="212"/>
    </row>
    <row r="603" spans="4:13" ht="12.75" customHeight="1">
      <c r="D603" s="430"/>
      <c r="H603" s="431"/>
      <c r="K603" s="212"/>
      <c r="L603" s="212"/>
      <c r="M603" s="212"/>
    </row>
    <row r="604" spans="4:13" ht="12.75" customHeight="1">
      <c r="D604" s="430"/>
      <c r="H604" s="431"/>
      <c r="K604" s="212"/>
      <c r="L604" s="212"/>
      <c r="M604" s="212"/>
    </row>
    <row r="605" spans="4:13" ht="12.75" customHeight="1">
      <c r="D605" s="430"/>
      <c r="H605" s="431"/>
      <c r="K605" s="212"/>
      <c r="L605" s="212"/>
      <c r="M605" s="212"/>
    </row>
    <row r="606" spans="4:13" ht="12.75" customHeight="1">
      <c r="D606" s="430"/>
      <c r="H606" s="431"/>
      <c r="K606" s="212"/>
      <c r="L606" s="212"/>
      <c r="M606" s="212"/>
    </row>
    <row r="607" spans="4:13" ht="12.75" customHeight="1">
      <c r="D607" s="430"/>
      <c r="H607" s="431"/>
      <c r="K607" s="212"/>
      <c r="L607" s="212"/>
      <c r="M607" s="212"/>
    </row>
    <row r="608" spans="4:13" ht="12.75" customHeight="1">
      <c r="D608" s="430"/>
      <c r="H608" s="431"/>
      <c r="K608" s="212"/>
      <c r="L608" s="212"/>
      <c r="M608" s="212"/>
    </row>
    <row r="609" spans="4:13" ht="12.75" customHeight="1">
      <c r="D609" s="430"/>
      <c r="H609" s="431"/>
      <c r="K609" s="212"/>
      <c r="L609" s="212"/>
      <c r="M609" s="212"/>
    </row>
    <row r="610" spans="4:13" ht="12.75" customHeight="1">
      <c r="D610" s="430"/>
      <c r="H610" s="431"/>
      <c r="K610" s="212"/>
      <c r="L610" s="212"/>
      <c r="M610" s="212"/>
    </row>
    <row r="611" spans="4:13" ht="12.75" customHeight="1">
      <c r="D611" s="430"/>
      <c r="H611" s="431"/>
      <c r="K611" s="212"/>
      <c r="L611" s="212"/>
      <c r="M611" s="212"/>
    </row>
    <row r="612" spans="4:13" ht="12.75" customHeight="1">
      <c r="D612" s="430"/>
      <c r="H612" s="431"/>
      <c r="K612" s="212"/>
      <c r="L612" s="212"/>
      <c r="M612" s="212"/>
    </row>
    <row r="613" spans="4:13" ht="12.75" customHeight="1">
      <c r="D613" s="430"/>
      <c r="H613" s="431"/>
      <c r="K613" s="212"/>
      <c r="L613" s="212"/>
      <c r="M613" s="212"/>
    </row>
    <row r="614" spans="4:13" ht="12.75" customHeight="1">
      <c r="D614" s="430"/>
      <c r="H614" s="431"/>
      <c r="K614" s="212"/>
      <c r="L614" s="212"/>
      <c r="M614" s="212"/>
    </row>
    <row r="615" spans="4:13" ht="12.75" customHeight="1">
      <c r="D615" s="430"/>
      <c r="H615" s="431"/>
      <c r="K615" s="212"/>
      <c r="L615" s="212"/>
      <c r="M615" s="212"/>
    </row>
    <row r="616" spans="4:13" ht="12.75" customHeight="1">
      <c r="D616" s="430"/>
      <c r="H616" s="431"/>
      <c r="K616" s="212"/>
      <c r="L616" s="212"/>
      <c r="M616" s="212"/>
    </row>
    <row r="617" spans="4:13" ht="12.75" customHeight="1">
      <c r="D617" s="430"/>
      <c r="H617" s="431"/>
      <c r="K617" s="212"/>
      <c r="L617" s="212"/>
      <c r="M617" s="212"/>
    </row>
    <row r="618" spans="4:13" ht="12.75" customHeight="1">
      <c r="D618" s="430"/>
      <c r="H618" s="431"/>
      <c r="K618" s="212"/>
      <c r="L618" s="212"/>
      <c r="M618" s="212"/>
    </row>
    <row r="619" spans="4:13" ht="12.75" customHeight="1">
      <c r="D619" s="430"/>
      <c r="H619" s="431"/>
      <c r="K619" s="212"/>
      <c r="L619" s="212"/>
      <c r="M619" s="212"/>
    </row>
    <row r="620" spans="4:13" ht="12.75" customHeight="1">
      <c r="D620" s="430"/>
      <c r="H620" s="431"/>
      <c r="K620" s="212"/>
      <c r="L620" s="212"/>
      <c r="M620" s="212"/>
    </row>
    <row r="621" spans="4:13" ht="12.75" customHeight="1">
      <c r="D621" s="430"/>
      <c r="H621" s="431"/>
      <c r="K621" s="212"/>
      <c r="L621" s="212"/>
      <c r="M621" s="212"/>
    </row>
    <row r="622" spans="4:13" ht="12.75" customHeight="1">
      <c r="D622" s="430"/>
      <c r="H622" s="431"/>
      <c r="K622" s="212"/>
      <c r="L622" s="212"/>
      <c r="M622" s="212"/>
    </row>
    <row r="623" spans="4:13" ht="12.75" customHeight="1">
      <c r="D623" s="430"/>
      <c r="H623" s="431"/>
      <c r="K623" s="212"/>
      <c r="L623" s="212"/>
      <c r="M623" s="212"/>
    </row>
    <row r="624" spans="4:13" ht="12.75" customHeight="1">
      <c r="D624" s="430"/>
      <c r="H624" s="431"/>
      <c r="K624" s="212"/>
      <c r="L624" s="212"/>
      <c r="M624" s="212"/>
    </row>
    <row r="625" spans="4:13" ht="12.75" customHeight="1">
      <c r="D625" s="430"/>
      <c r="H625" s="431"/>
      <c r="K625" s="212"/>
      <c r="L625" s="212"/>
      <c r="M625" s="212"/>
    </row>
    <row r="626" spans="4:13" ht="12.75" customHeight="1">
      <c r="D626" s="430"/>
      <c r="H626" s="431"/>
      <c r="K626" s="212"/>
      <c r="L626" s="212"/>
      <c r="M626" s="212"/>
    </row>
    <row r="627" spans="4:13" ht="12.75" customHeight="1">
      <c r="D627" s="430"/>
      <c r="H627" s="431"/>
      <c r="K627" s="212"/>
      <c r="L627" s="212"/>
      <c r="M627" s="212"/>
    </row>
    <row r="628" spans="4:13" ht="12.75" customHeight="1">
      <c r="D628" s="430"/>
      <c r="H628" s="431"/>
      <c r="K628" s="212"/>
      <c r="L628" s="212"/>
      <c r="M628" s="212"/>
    </row>
    <row r="629" spans="4:13" ht="12.75" customHeight="1">
      <c r="D629" s="430"/>
      <c r="H629" s="431"/>
      <c r="K629" s="212"/>
      <c r="L629" s="212"/>
      <c r="M629" s="212"/>
    </row>
    <row r="630" spans="4:13" ht="12.75" customHeight="1">
      <c r="D630" s="430"/>
      <c r="H630" s="431"/>
      <c r="K630" s="212"/>
      <c r="L630" s="212"/>
      <c r="M630" s="212"/>
    </row>
    <row r="631" spans="4:13" ht="12.75" customHeight="1">
      <c r="D631" s="430"/>
      <c r="H631" s="431"/>
      <c r="K631" s="212"/>
      <c r="L631" s="212"/>
      <c r="M631" s="212"/>
    </row>
    <row r="632" spans="4:13" ht="12.75" customHeight="1">
      <c r="D632" s="430"/>
      <c r="H632" s="431"/>
      <c r="K632" s="212"/>
      <c r="L632" s="212"/>
      <c r="M632" s="212"/>
    </row>
    <row r="633" spans="4:13" ht="12.75" customHeight="1">
      <c r="D633" s="430"/>
      <c r="H633" s="431"/>
      <c r="K633" s="212"/>
      <c r="L633" s="212"/>
      <c r="M633" s="212"/>
    </row>
    <row r="634" spans="4:13" ht="12.75" customHeight="1">
      <c r="D634" s="430"/>
      <c r="H634" s="431"/>
      <c r="K634" s="212"/>
      <c r="L634" s="212"/>
      <c r="M634" s="212"/>
    </row>
    <row r="635" spans="4:13" ht="12.75" customHeight="1">
      <c r="D635" s="430"/>
      <c r="H635" s="431"/>
      <c r="K635" s="212"/>
      <c r="L635" s="212"/>
      <c r="M635" s="212"/>
    </row>
    <row r="636" spans="4:13" ht="12.75" customHeight="1">
      <c r="D636" s="430"/>
      <c r="H636" s="431"/>
      <c r="K636" s="212"/>
      <c r="L636" s="212"/>
      <c r="M636" s="212"/>
    </row>
    <row r="637" spans="4:13" ht="12.75" customHeight="1">
      <c r="D637" s="430"/>
      <c r="H637" s="431"/>
      <c r="K637" s="212"/>
      <c r="L637" s="212"/>
      <c r="M637" s="212"/>
    </row>
    <row r="638" spans="4:13" ht="12.75" customHeight="1">
      <c r="D638" s="430"/>
      <c r="H638" s="431"/>
      <c r="K638" s="212"/>
      <c r="L638" s="212"/>
      <c r="M638" s="212"/>
    </row>
    <row r="639" spans="4:13" ht="12.75" customHeight="1">
      <c r="D639" s="430"/>
      <c r="H639" s="431"/>
      <c r="K639" s="212"/>
      <c r="L639" s="212"/>
      <c r="M639" s="212"/>
    </row>
    <row r="640" spans="4:13" ht="12.75" customHeight="1">
      <c r="D640" s="430"/>
      <c r="H640" s="431"/>
      <c r="K640" s="212"/>
      <c r="L640" s="212"/>
      <c r="M640" s="212"/>
    </row>
    <row r="641" spans="4:13" ht="12.75" customHeight="1">
      <c r="D641" s="430"/>
      <c r="H641" s="431"/>
      <c r="K641" s="212"/>
      <c r="L641" s="212"/>
      <c r="M641" s="212"/>
    </row>
    <row r="642" spans="4:13" ht="12.75" customHeight="1">
      <c r="D642" s="430"/>
      <c r="H642" s="431"/>
      <c r="K642" s="212"/>
      <c r="L642" s="212"/>
      <c r="M642" s="212"/>
    </row>
    <row r="643" spans="4:13" ht="12.75" customHeight="1">
      <c r="D643" s="430"/>
      <c r="H643" s="431"/>
      <c r="K643" s="212"/>
      <c r="L643" s="212"/>
      <c r="M643" s="212"/>
    </row>
    <row r="644" spans="4:13" ht="12.75" customHeight="1">
      <c r="D644" s="430"/>
      <c r="H644" s="431"/>
      <c r="K644" s="212"/>
      <c r="L644" s="212"/>
      <c r="M644" s="212"/>
    </row>
    <row r="645" spans="4:13" ht="12.75" customHeight="1">
      <c r="D645" s="430"/>
      <c r="H645" s="431"/>
      <c r="K645" s="212"/>
      <c r="L645" s="212"/>
      <c r="M645" s="212"/>
    </row>
    <row r="646" spans="4:13" ht="12.75" customHeight="1">
      <c r="D646" s="430"/>
      <c r="H646" s="431"/>
      <c r="K646" s="212"/>
      <c r="L646" s="212"/>
      <c r="M646" s="212"/>
    </row>
    <row r="647" spans="4:13" ht="12.75" customHeight="1">
      <c r="D647" s="430"/>
      <c r="H647" s="431"/>
      <c r="K647" s="212"/>
      <c r="L647" s="212"/>
      <c r="M647" s="212"/>
    </row>
    <row r="648" spans="4:13" ht="12.75" customHeight="1">
      <c r="D648" s="430"/>
      <c r="H648" s="431"/>
      <c r="K648" s="212"/>
      <c r="L648" s="212"/>
      <c r="M648" s="212"/>
    </row>
    <row r="649" spans="4:13" ht="12.75" customHeight="1">
      <c r="D649" s="430"/>
      <c r="H649" s="431"/>
      <c r="K649" s="212"/>
      <c r="L649" s="212"/>
      <c r="M649" s="212"/>
    </row>
    <row r="650" spans="4:13" ht="12.75" customHeight="1">
      <c r="D650" s="430"/>
      <c r="H650" s="431"/>
      <c r="K650" s="212"/>
      <c r="L650" s="212"/>
      <c r="M650" s="212"/>
    </row>
    <row r="651" spans="4:13" ht="12.75" customHeight="1">
      <c r="D651" s="430"/>
      <c r="H651" s="431"/>
      <c r="K651" s="212"/>
      <c r="L651" s="212"/>
      <c r="M651" s="212"/>
    </row>
    <row r="652" spans="4:13" ht="12.75" customHeight="1">
      <c r="D652" s="430"/>
      <c r="H652" s="431"/>
      <c r="K652" s="212"/>
      <c r="L652" s="212"/>
      <c r="M652" s="212"/>
    </row>
    <row r="653" spans="4:13" ht="12.75" customHeight="1">
      <c r="D653" s="430"/>
      <c r="H653" s="431"/>
      <c r="K653" s="212"/>
      <c r="L653" s="212"/>
      <c r="M653" s="212"/>
    </row>
    <row r="654" spans="4:13" ht="12.75" customHeight="1">
      <c r="D654" s="430"/>
      <c r="H654" s="431"/>
      <c r="K654" s="212"/>
      <c r="L654" s="212"/>
      <c r="M654" s="212"/>
    </row>
    <row r="655" spans="4:13" ht="12.75" customHeight="1">
      <c r="D655" s="430"/>
      <c r="H655" s="431"/>
      <c r="K655" s="212"/>
      <c r="L655" s="212"/>
      <c r="M655" s="212"/>
    </row>
    <row r="656" spans="4:13" ht="12.75" customHeight="1">
      <c r="D656" s="430"/>
      <c r="H656" s="431"/>
      <c r="K656" s="212"/>
      <c r="L656" s="212"/>
      <c r="M656" s="212"/>
    </row>
    <row r="657" spans="4:13" ht="12.75" customHeight="1">
      <c r="D657" s="430"/>
      <c r="H657" s="431"/>
      <c r="K657" s="212"/>
      <c r="L657" s="212"/>
      <c r="M657" s="212"/>
    </row>
    <row r="658" spans="4:13" ht="12.75" customHeight="1">
      <c r="D658" s="430"/>
      <c r="H658" s="431"/>
      <c r="K658" s="212"/>
      <c r="L658" s="212"/>
      <c r="M658" s="212"/>
    </row>
    <row r="659" spans="4:13" ht="12.75" customHeight="1">
      <c r="D659" s="430"/>
      <c r="H659" s="431"/>
      <c r="K659" s="212"/>
      <c r="L659" s="212"/>
      <c r="M659" s="212"/>
    </row>
    <row r="660" spans="4:13" ht="12.75" customHeight="1">
      <c r="D660" s="430"/>
      <c r="H660" s="431"/>
      <c r="K660" s="212"/>
      <c r="L660" s="212"/>
      <c r="M660" s="212"/>
    </row>
    <row r="661" spans="4:13" ht="12.75" customHeight="1">
      <c r="D661" s="430"/>
      <c r="H661" s="431"/>
      <c r="K661" s="212"/>
      <c r="L661" s="212"/>
      <c r="M661" s="212"/>
    </row>
    <row r="662" spans="4:13" ht="12.75" customHeight="1">
      <c r="D662" s="430"/>
      <c r="H662" s="431"/>
      <c r="K662" s="212"/>
      <c r="L662" s="212"/>
      <c r="M662" s="212"/>
    </row>
    <row r="663" spans="4:13" ht="12.75" customHeight="1">
      <c r="D663" s="430"/>
      <c r="H663" s="431"/>
      <c r="K663" s="212"/>
      <c r="L663" s="212"/>
      <c r="M663" s="212"/>
    </row>
    <row r="664" spans="4:13" ht="12.75" customHeight="1">
      <c r="D664" s="430"/>
      <c r="H664" s="431"/>
      <c r="K664" s="212"/>
      <c r="L664" s="212"/>
      <c r="M664" s="212"/>
    </row>
    <row r="665" spans="4:13" ht="12.75" customHeight="1">
      <c r="D665" s="430"/>
      <c r="H665" s="431"/>
      <c r="K665" s="212"/>
      <c r="L665" s="212"/>
      <c r="M665" s="212"/>
    </row>
    <row r="666" spans="4:13" ht="12.75" customHeight="1">
      <c r="D666" s="430"/>
      <c r="H666" s="431"/>
      <c r="K666" s="212"/>
      <c r="L666" s="212"/>
      <c r="M666" s="212"/>
    </row>
    <row r="667" spans="4:13" ht="12.75" customHeight="1">
      <c r="D667" s="430"/>
      <c r="H667" s="431"/>
      <c r="K667" s="212"/>
      <c r="L667" s="212"/>
      <c r="M667" s="212"/>
    </row>
    <row r="668" spans="4:13" ht="12.75" customHeight="1">
      <c r="D668" s="430"/>
      <c r="H668" s="431"/>
      <c r="K668" s="212"/>
      <c r="L668" s="212"/>
      <c r="M668" s="212"/>
    </row>
    <row r="669" spans="4:13" ht="12.75" customHeight="1">
      <c r="D669" s="430"/>
      <c r="H669" s="431"/>
      <c r="K669" s="212"/>
      <c r="L669" s="212"/>
      <c r="M669" s="212"/>
    </row>
    <row r="670" spans="4:13" ht="12.75" customHeight="1">
      <c r="D670" s="430"/>
      <c r="H670" s="431"/>
      <c r="K670" s="212"/>
      <c r="L670" s="212"/>
      <c r="M670" s="212"/>
    </row>
    <row r="671" spans="4:13" ht="12.75" customHeight="1">
      <c r="D671" s="430"/>
      <c r="H671" s="431"/>
      <c r="K671" s="212"/>
      <c r="L671" s="212"/>
      <c r="M671" s="212"/>
    </row>
    <row r="672" spans="4:13" ht="12.75" customHeight="1">
      <c r="D672" s="430"/>
      <c r="H672" s="431"/>
      <c r="K672" s="212"/>
      <c r="L672" s="212"/>
      <c r="M672" s="212"/>
    </row>
    <row r="673" spans="4:13" ht="12.75" customHeight="1">
      <c r="D673" s="430"/>
      <c r="H673" s="431"/>
      <c r="K673" s="212"/>
      <c r="L673" s="212"/>
      <c r="M673" s="212"/>
    </row>
    <row r="674" spans="4:13" ht="12.75" customHeight="1">
      <c r="D674" s="430"/>
      <c r="H674" s="431"/>
      <c r="K674" s="212"/>
      <c r="L674" s="212"/>
      <c r="M674" s="212"/>
    </row>
    <row r="675" spans="4:13" ht="12.75" customHeight="1">
      <c r="D675" s="430"/>
      <c r="H675" s="431"/>
      <c r="K675" s="212"/>
      <c r="L675" s="212"/>
      <c r="M675" s="212"/>
    </row>
    <row r="676" spans="4:13" ht="12.75" customHeight="1">
      <c r="D676" s="430"/>
      <c r="H676" s="431"/>
      <c r="K676" s="212"/>
      <c r="L676" s="212"/>
      <c r="M676" s="212"/>
    </row>
    <row r="677" spans="4:13" ht="12.75" customHeight="1">
      <c r="D677" s="430"/>
      <c r="H677" s="431"/>
      <c r="K677" s="212"/>
      <c r="L677" s="212"/>
      <c r="M677" s="212"/>
    </row>
    <row r="678" spans="4:13" ht="12.75" customHeight="1">
      <c r="D678" s="430"/>
      <c r="H678" s="431"/>
      <c r="K678" s="212"/>
      <c r="L678" s="212"/>
      <c r="M678" s="212"/>
    </row>
    <row r="679" spans="4:13" ht="12.75" customHeight="1">
      <c r="D679" s="430"/>
      <c r="H679" s="431"/>
      <c r="K679" s="212"/>
      <c r="L679" s="212"/>
      <c r="M679" s="212"/>
    </row>
    <row r="680" spans="4:13" ht="12.75" customHeight="1">
      <c r="D680" s="430"/>
      <c r="H680" s="431"/>
      <c r="K680" s="212"/>
      <c r="L680" s="212"/>
      <c r="M680" s="212"/>
    </row>
    <row r="681" spans="4:13" ht="12.75" customHeight="1">
      <c r="D681" s="430"/>
      <c r="H681" s="431"/>
      <c r="K681" s="212"/>
      <c r="L681" s="212"/>
      <c r="M681" s="212"/>
    </row>
    <row r="682" spans="4:13" ht="12.75" customHeight="1">
      <c r="D682" s="430"/>
      <c r="H682" s="431"/>
      <c r="K682" s="212"/>
      <c r="L682" s="212"/>
      <c r="M682" s="212"/>
    </row>
    <row r="683" spans="4:13" ht="12.75" customHeight="1">
      <c r="D683" s="430"/>
      <c r="H683" s="431"/>
      <c r="K683" s="212"/>
      <c r="L683" s="212"/>
      <c r="M683" s="212"/>
    </row>
    <row r="684" spans="4:13" ht="12.75" customHeight="1">
      <c r="D684" s="430"/>
      <c r="H684" s="431"/>
      <c r="K684" s="212"/>
      <c r="L684" s="212"/>
      <c r="M684" s="212"/>
    </row>
    <row r="685" spans="4:13" ht="12.75" customHeight="1">
      <c r="D685" s="430"/>
      <c r="H685" s="431"/>
      <c r="K685" s="212"/>
      <c r="L685" s="212"/>
      <c r="M685" s="212"/>
    </row>
    <row r="686" spans="4:13" ht="12.75" customHeight="1">
      <c r="D686" s="430"/>
      <c r="H686" s="431"/>
      <c r="K686" s="212"/>
      <c r="L686" s="212"/>
      <c r="M686" s="212"/>
    </row>
    <row r="687" spans="4:13" ht="12.75" customHeight="1">
      <c r="D687" s="430"/>
      <c r="H687" s="431"/>
      <c r="K687" s="212"/>
      <c r="L687" s="212"/>
      <c r="M687" s="212"/>
    </row>
    <row r="688" spans="4:13" ht="12.75" customHeight="1">
      <c r="D688" s="430"/>
      <c r="H688" s="431"/>
      <c r="K688" s="212"/>
      <c r="L688" s="212"/>
      <c r="M688" s="212"/>
    </row>
    <row r="689" spans="4:13" ht="12.75" customHeight="1">
      <c r="D689" s="430"/>
      <c r="H689" s="431"/>
      <c r="K689" s="212"/>
      <c r="L689" s="212"/>
      <c r="M689" s="212"/>
    </row>
    <row r="690" spans="4:13" ht="12.75" customHeight="1">
      <c r="D690" s="430"/>
      <c r="H690" s="431"/>
      <c r="K690" s="212"/>
      <c r="L690" s="212"/>
      <c r="M690" s="212"/>
    </row>
    <row r="691" spans="4:13" ht="12.75" customHeight="1">
      <c r="D691" s="430"/>
      <c r="H691" s="431"/>
      <c r="K691" s="212"/>
      <c r="L691" s="212"/>
      <c r="M691" s="212"/>
    </row>
    <row r="692" spans="4:13" ht="12.75" customHeight="1">
      <c r="D692" s="430"/>
      <c r="H692" s="431"/>
      <c r="K692" s="212"/>
      <c r="L692" s="212"/>
      <c r="M692" s="212"/>
    </row>
    <row r="693" spans="4:13" ht="12.75" customHeight="1">
      <c r="D693" s="430"/>
      <c r="H693" s="431"/>
      <c r="K693" s="212"/>
      <c r="L693" s="212"/>
      <c r="M693" s="212"/>
    </row>
    <row r="694" spans="4:13" ht="12.75" customHeight="1">
      <c r="D694" s="430"/>
      <c r="H694" s="431"/>
      <c r="K694" s="212"/>
      <c r="L694" s="212"/>
      <c r="M694" s="212"/>
    </row>
    <row r="695" spans="4:13" ht="12.75" customHeight="1">
      <c r="D695" s="430"/>
      <c r="H695" s="431"/>
      <c r="K695" s="212"/>
      <c r="L695" s="212"/>
      <c r="M695" s="212"/>
    </row>
    <row r="696" spans="4:13" ht="12.75" customHeight="1">
      <c r="D696" s="430"/>
      <c r="H696" s="431"/>
      <c r="K696" s="212"/>
      <c r="L696" s="212"/>
      <c r="M696" s="212"/>
    </row>
    <row r="697" spans="4:13" ht="12.75" customHeight="1">
      <c r="D697" s="430"/>
      <c r="H697" s="431"/>
      <c r="K697" s="212"/>
      <c r="L697" s="212"/>
      <c r="M697" s="212"/>
    </row>
    <row r="698" spans="4:13" ht="12.75" customHeight="1">
      <c r="D698" s="430"/>
      <c r="H698" s="431"/>
      <c r="K698" s="212"/>
      <c r="L698" s="212"/>
      <c r="M698" s="212"/>
    </row>
    <row r="699" spans="4:13" ht="12.75" customHeight="1">
      <c r="D699" s="430"/>
      <c r="H699" s="431"/>
      <c r="K699" s="212"/>
      <c r="L699" s="212"/>
      <c r="M699" s="212"/>
    </row>
    <row r="700" spans="4:13" ht="12.75" customHeight="1">
      <c r="D700" s="430"/>
      <c r="H700" s="431"/>
      <c r="K700" s="212"/>
      <c r="L700" s="212"/>
      <c r="M700" s="212"/>
    </row>
    <row r="701" spans="4:13" ht="12.75" customHeight="1">
      <c r="D701" s="430"/>
      <c r="H701" s="431"/>
      <c r="K701" s="212"/>
      <c r="L701" s="212"/>
      <c r="M701" s="212"/>
    </row>
    <row r="702" spans="4:13" ht="12.75" customHeight="1">
      <c r="D702" s="430"/>
      <c r="H702" s="431"/>
      <c r="K702" s="212"/>
      <c r="L702" s="212"/>
      <c r="M702" s="212"/>
    </row>
    <row r="703" spans="4:13" ht="12.75" customHeight="1">
      <c r="D703" s="430"/>
      <c r="H703" s="431"/>
      <c r="K703" s="212"/>
      <c r="L703" s="212"/>
      <c r="M703" s="212"/>
    </row>
    <row r="704" spans="4:13" ht="12.75" customHeight="1">
      <c r="D704" s="430"/>
      <c r="H704" s="431"/>
      <c r="K704" s="212"/>
      <c r="L704" s="212"/>
      <c r="M704" s="212"/>
    </row>
    <row r="705" spans="4:13" ht="12.75" customHeight="1">
      <c r="D705" s="430"/>
      <c r="H705" s="431"/>
      <c r="K705" s="212"/>
      <c r="L705" s="212"/>
      <c r="M705" s="212"/>
    </row>
    <row r="706" spans="4:13" ht="12.75" customHeight="1">
      <c r="D706" s="430"/>
      <c r="H706" s="431"/>
      <c r="K706" s="212"/>
      <c r="L706" s="212"/>
      <c r="M706" s="212"/>
    </row>
    <row r="707" spans="4:13" ht="12.75" customHeight="1">
      <c r="D707" s="430"/>
      <c r="H707" s="431"/>
      <c r="K707" s="212"/>
      <c r="L707" s="212"/>
      <c r="M707" s="212"/>
    </row>
    <row r="708" spans="4:13" ht="12.75" customHeight="1">
      <c r="D708" s="430"/>
      <c r="H708" s="431"/>
      <c r="K708" s="212"/>
      <c r="L708" s="212"/>
      <c r="M708" s="212"/>
    </row>
    <row r="709" spans="4:13" ht="12.75" customHeight="1">
      <c r="D709" s="430"/>
      <c r="H709" s="431"/>
      <c r="K709" s="212"/>
      <c r="L709" s="212"/>
      <c r="M709" s="212"/>
    </row>
    <row r="710" spans="4:13" ht="12.75" customHeight="1">
      <c r="D710" s="430"/>
      <c r="H710" s="431"/>
      <c r="K710" s="212"/>
      <c r="L710" s="212"/>
      <c r="M710" s="212"/>
    </row>
    <row r="711" spans="4:13" ht="12.75" customHeight="1">
      <c r="D711" s="430"/>
      <c r="H711" s="431"/>
      <c r="K711" s="212"/>
      <c r="L711" s="212"/>
      <c r="M711" s="212"/>
    </row>
    <row r="712" spans="4:13" ht="12.75" customHeight="1">
      <c r="D712" s="430"/>
      <c r="H712" s="431"/>
      <c r="K712" s="212"/>
      <c r="L712" s="212"/>
      <c r="M712" s="212"/>
    </row>
    <row r="713" spans="4:13" ht="12.75" customHeight="1">
      <c r="D713" s="430"/>
      <c r="H713" s="431"/>
      <c r="K713" s="212"/>
      <c r="L713" s="212"/>
      <c r="M713" s="212"/>
    </row>
    <row r="714" spans="4:13" ht="12.75" customHeight="1">
      <c r="D714" s="430"/>
      <c r="H714" s="431"/>
      <c r="K714" s="212"/>
      <c r="L714" s="212"/>
      <c r="M714" s="212"/>
    </row>
    <row r="715" spans="4:13" ht="12.75" customHeight="1">
      <c r="D715" s="430"/>
      <c r="H715" s="431"/>
      <c r="K715" s="212"/>
      <c r="L715" s="212"/>
      <c r="M715" s="212"/>
    </row>
    <row r="716" spans="4:13" ht="12.75" customHeight="1">
      <c r="D716" s="430"/>
      <c r="H716" s="431"/>
      <c r="K716" s="212"/>
      <c r="L716" s="212"/>
      <c r="M716" s="212"/>
    </row>
    <row r="717" spans="4:13" ht="12.75" customHeight="1">
      <c r="D717" s="430"/>
      <c r="H717" s="431"/>
      <c r="K717" s="212"/>
      <c r="L717" s="212"/>
      <c r="M717" s="212"/>
    </row>
    <row r="718" spans="4:13" ht="12.75" customHeight="1">
      <c r="D718" s="430"/>
      <c r="H718" s="431"/>
      <c r="K718" s="212"/>
      <c r="L718" s="212"/>
      <c r="M718" s="212"/>
    </row>
    <row r="719" spans="4:13" ht="12.75" customHeight="1">
      <c r="D719" s="430"/>
      <c r="H719" s="431"/>
      <c r="K719" s="212"/>
      <c r="L719" s="212"/>
      <c r="M719" s="212"/>
    </row>
    <row r="720" spans="4:13" ht="12.75" customHeight="1">
      <c r="D720" s="430"/>
      <c r="H720" s="431"/>
      <c r="K720" s="212"/>
      <c r="L720" s="212"/>
      <c r="M720" s="212"/>
    </row>
    <row r="721" spans="4:13" ht="12.75" customHeight="1">
      <c r="D721" s="430"/>
      <c r="H721" s="431"/>
      <c r="K721" s="212"/>
      <c r="L721" s="212"/>
      <c r="M721" s="212"/>
    </row>
    <row r="722" spans="4:13" ht="12.75" customHeight="1">
      <c r="D722" s="430"/>
      <c r="H722" s="431"/>
      <c r="K722" s="212"/>
      <c r="L722" s="212"/>
      <c r="M722" s="212"/>
    </row>
    <row r="723" spans="4:13" ht="12.75" customHeight="1">
      <c r="D723" s="430"/>
      <c r="H723" s="431"/>
      <c r="K723" s="212"/>
      <c r="L723" s="212"/>
      <c r="M723" s="212"/>
    </row>
    <row r="724" spans="4:13" ht="12.75" customHeight="1">
      <c r="D724" s="430"/>
      <c r="H724" s="431"/>
      <c r="K724" s="212"/>
      <c r="L724" s="212"/>
      <c r="M724" s="212"/>
    </row>
    <row r="725" spans="4:13" ht="12.75" customHeight="1">
      <c r="D725" s="430"/>
      <c r="H725" s="431"/>
      <c r="K725" s="212"/>
      <c r="L725" s="212"/>
      <c r="M725" s="212"/>
    </row>
    <row r="726" spans="4:13" ht="12.75" customHeight="1">
      <c r="D726" s="430"/>
      <c r="H726" s="431"/>
      <c r="K726" s="212"/>
      <c r="L726" s="212"/>
      <c r="M726" s="212"/>
    </row>
    <row r="727" spans="4:13" ht="12.75" customHeight="1">
      <c r="D727" s="430"/>
      <c r="H727" s="431"/>
      <c r="K727" s="212"/>
      <c r="L727" s="212"/>
      <c r="M727" s="212"/>
    </row>
    <row r="728" spans="4:13" ht="12.75" customHeight="1">
      <c r="D728" s="430"/>
      <c r="H728" s="431"/>
      <c r="K728" s="212"/>
      <c r="L728" s="212"/>
      <c r="M728" s="212"/>
    </row>
    <row r="729" spans="4:13" ht="12.75" customHeight="1">
      <c r="D729" s="430"/>
      <c r="H729" s="431"/>
      <c r="K729" s="212"/>
      <c r="L729" s="212"/>
      <c r="M729" s="212"/>
    </row>
    <row r="730" spans="4:13" ht="12.75" customHeight="1">
      <c r="D730" s="430"/>
      <c r="H730" s="431"/>
      <c r="K730" s="212"/>
      <c r="L730" s="212"/>
      <c r="M730" s="212"/>
    </row>
    <row r="731" spans="4:13" ht="12.75" customHeight="1">
      <c r="D731" s="430"/>
      <c r="H731" s="431"/>
      <c r="K731" s="212"/>
      <c r="L731" s="212"/>
      <c r="M731" s="212"/>
    </row>
    <row r="732" spans="4:13" ht="12.75" customHeight="1">
      <c r="D732" s="430"/>
      <c r="H732" s="431"/>
      <c r="K732" s="212"/>
      <c r="L732" s="212"/>
      <c r="M732" s="212"/>
    </row>
    <row r="733" spans="4:13" ht="12.75" customHeight="1">
      <c r="D733" s="430"/>
      <c r="H733" s="431"/>
      <c r="K733" s="212"/>
      <c r="L733" s="212"/>
      <c r="M733" s="212"/>
    </row>
    <row r="734" spans="4:13" ht="12.75" customHeight="1">
      <c r="D734" s="430"/>
      <c r="H734" s="431"/>
      <c r="K734" s="212"/>
      <c r="L734" s="212"/>
      <c r="M734" s="212"/>
    </row>
    <row r="735" spans="4:13" ht="12.75" customHeight="1">
      <c r="D735" s="430"/>
      <c r="H735" s="431"/>
      <c r="K735" s="212"/>
      <c r="L735" s="212"/>
      <c r="M735" s="212"/>
    </row>
    <row r="736" spans="4:13" ht="12.75" customHeight="1">
      <c r="D736" s="430"/>
      <c r="H736" s="431"/>
      <c r="K736" s="212"/>
      <c r="L736" s="212"/>
      <c r="M736" s="212"/>
    </row>
    <row r="737" spans="4:13" ht="12.75" customHeight="1">
      <c r="D737" s="430"/>
      <c r="H737" s="431"/>
      <c r="K737" s="212"/>
      <c r="L737" s="212"/>
      <c r="M737" s="212"/>
    </row>
    <row r="738" spans="4:13" ht="12.75" customHeight="1">
      <c r="D738" s="430"/>
      <c r="H738" s="431"/>
      <c r="K738" s="212"/>
      <c r="L738" s="212"/>
      <c r="M738" s="212"/>
    </row>
    <row r="739" spans="4:13" ht="12.75" customHeight="1">
      <c r="D739" s="430"/>
      <c r="H739" s="431"/>
      <c r="K739" s="212"/>
      <c r="L739" s="212"/>
      <c r="M739" s="212"/>
    </row>
    <row r="740" spans="4:13" ht="12.75" customHeight="1">
      <c r="D740" s="430"/>
      <c r="H740" s="431"/>
      <c r="K740" s="212"/>
      <c r="L740" s="212"/>
      <c r="M740" s="212"/>
    </row>
    <row r="741" spans="4:13" ht="12.75" customHeight="1">
      <c r="D741" s="430"/>
      <c r="H741" s="431"/>
      <c r="K741" s="212"/>
      <c r="L741" s="212"/>
      <c r="M741" s="212"/>
    </row>
    <row r="742" spans="4:13" ht="12.75" customHeight="1">
      <c r="D742" s="430"/>
      <c r="H742" s="431"/>
      <c r="K742" s="212"/>
      <c r="L742" s="212"/>
      <c r="M742" s="212"/>
    </row>
    <row r="743" spans="4:13" ht="12.75" customHeight="1">
      <c r="D743" s="430"/>
      <c r="H743" s="431"/>
      <c r="K743" s="212"/>
      <c r="L743" s="212"/>
      <c r="M743" s="212"/>
    </row>
    <row r="744" spans="4:13" ht="12.75" customHeight="1">
      <c r="D744" s="430"/>
      <c r="H744" s="431"/>
      <c r="K744" s="212"/>
      <c r="L744" s="212"/>
      <c r="M744" s="212"/>
    </row>
    <row r="745" spans="4:13" ht="12.75" customHeight="1">
      <c r="D745" s="430"/>
      <c r="H745" s="431"/>
      <c r="K745" s="212"/>
      <c r="L745" s="212"/>
      <c r="M745" s="212"/>
    </row>
    <row r="746" spans="4:13" ht="12.75" customHeight="1">
      <c r="D746" s="430"/>
      <c r="H746" s="431"/>
      <c r="K746" s="212"/>
      <c r="L746" s="212"/>
      <c r="M746" s="212"/>
    </row>
    <row r="747" spans="4:13" ht="12.75" customHeight="1">
      <c r="D747" s="430"/>
      <c r="H747" s="431"/>
      <c r="K747" s="212"/>
      <c r="L747" s="212"/>
      <c r="M747" s="212"/>
    </row>
    <row r="748" spans="4:13" ht="12.75" customHeight="1">
      <c r="D748" s="430"/>
      <c r="H748" s="431"/>
      <c r="K748" s="212"/>
      <c r="L748" s="212"/>
      <c r="M748" s="212"/>
    </row>
    <row r="749" spans="4:13" ht="12.75" customHeight="1">
      <c r="D749" s="430"/>
      <c r="H749" s="431"/>
      <c r="K749" s="212"/>
      <c r="L749" s="212"/>
      <c r="M749" s="212"/>
    </row>
    <row r="750" spans="4:13" ht="12.75" customHeight="1">
      <c r="D750" s="430"/>
      <c r="H750" s="431"/>
      <c r="K750" s="212"/>
      <c r="L750" s="212"/>
      <c r="M750" s="212"/>
    </row>
    <row r="751" spans="4:13" ht="12.75" customHeight="1">
      <c r="D751" s="430"/>
      <c r="H751" s="431"/>
      <c r="K751" s="212"/>
      <c r="L751" s="212"/>
      <c r="M751" s="212"/>
    </row>
    <row r="752" spans="4:13" ht="12.75" customHeight="1">
      <c r="D752" s="430"/>
      <c r="H752" s="431"/>
      <c r="K752" s="212"/>
      <c r="L752" s="212"/>
      <c r="M752" s="212"/>
    </row>
    <row r="753" spans="4:13" ht="12.75" customHeight="1">
      <c r="D753" s="430"/>
      <c r="H753" s="431"/>
      <c r="K753" s="212"/>
      <c r="L753" s="212"/>
      <c r="M753" s="212"/>
    </row>
    <row r="754" spans="4:13" ht="12.75" customHeight="1">
      <c r="D754" s="430"/>
      <c r="H754" s="431"/>
      <c r="K754" s="212"/>
      <c r="L754" s="212"/>
      <c r="M754" s="212"/>
    </row>
    <row r="755" spans="4:13" ht="12.75" customHeight="1">
      <c r="D755" s="430"/>
      <c r="H755" s="431"/>
      <c r="K755" s="212"/>
      <c r="L755" s="212"/>
      <c r="M755" s="212"/>
    </row>
    <row r="756" spans="4:13" ht="12.75" customHeight="1">
      <c r="D756" s="430"/>
      <c r="H756" s="431"/>
      <c r="K756" s="212"/>
      <c r="L756" s="212"/>
      <c r="M756" s="212"/>
    </row>
    <row r="757" spans="4:13" ht="12.75" customHeight="1">
      <c r="D757" s="430"/>
      <c r="H757" s="431"/>
      <c r="K757" s="212"/>
      <c r="L757" s="212"/>
      <c r="M757" s="212"/>
    </row>
    <row r="758" spans="4:13" ht="12.75" customHeight="1">
      <c r="D758" s="430"/>
      <c r="H758" s="431"/>
      <c r="K758" s="212"/>
      <c r="L758" s="212"/>
      <c r="M758" s="212"/>
    </row>
    <row r="759" spans="4:13" ht="12.75" customHeight="1">
      <c r="D759" s="430"/>
      <c r="H759" s="431"/>
      <c r="K759" s="212"/>
      <c r="L759" s="212"/>
      <c r="M759" s="212"/>
    </row>
    <row r="760" spans="4:13" ht="12.75" customHeight="1">
      <c r="D760" s="430"/>
      <c r="H760" s="431"/>
      <c r="K760" s="212"/>
      <c r="L760" s="212"/>
      <c r="M760" s="212"/>
    </row>
    <row r="761" spans="4:13" ht="12.75" customHeight="1">
      <c r="D761" s="430"/>
      <c r="H761" s="431"/>
      <c r="K761" s="212"/>
      <c r="L761" s="212"/>
      <c r="M761" s="212"/>
    </row>
    <row r="762" spans="4:13" ht="12.75" customHeight="1">
      <c r="D762" s="430"/>
      <c r="H762" s="431"/>
      <c r="K762" s="212"/>
      <c r="L762" s="212"/>
      <c r="M762" s="212"/>
    </row>
    <row r="763" spans="4:13" ht="12.75" customHeight="1">
      <c r="D763" s="430"/>
      <c r="H763" s="431"/>
      <c r="K763" s="212"/>
      <c r="L763" s="212"/>
      <c r="M763" s="212"/>
    </row>
    <row r="764" spans="4:13" ht="12.75" customHeight="1">
      <c r="D764" s="430"/>
      <c r="H764" s="431"/>
      <c r="K764" s="212"/>
      <c r="L764" s="212"/>
      <c r="M764" s="212"/>
    </row>
    <row r="765" spans="4:13" ht="12.75" customHeight="1">
      <c r="D765" s="430"/>
      <c r="H765" s="431"/>
      <c r="K765" s="212"/>
      <c r="L765" s="212"/>
      <c r="M765" s="212"/>
    </row>
    <row r="766" spans="4:13" ht="12.75" customHeight="1">
      <c r="D766" s="430"/>
      <c r="H766" s="431"/>
      <c r="K766" s="212"/>
      <c r="L766" s="212"/>
      <c r="M766" s="212"/>
    </row>
    <row r="767" spans="4:13" ht="12.75" customHeight="1">
      <c r="D767" s="430"/>
      <c r="H767" s="431"/>
      <c r="K767" s="212"/>
      <c r="L767" s="212"/>
      <c r="M767" s="212"/>
    </row>
    <row r="768" spans="4:13" ht="12.75" customHeight="1">
      <c r="D768" s="430"/>
      <c r="H768" s="431"/>
      <c r="K768" s="212"/>
      <c r="L768" s="212"/>
      <c r="M768" s="212"/>
    </row>
    <row r="769" spans="4:13" ht="12.75" customHeight="1">
      <c r="D769" s="430"/>
      <c r="H769" s="431"/>
      <c r="K769" s="212"/>
      <c r="L769" s="212"/>
      <c r="M769" s="212"/>
    </row>
    <row r="770" spans="4:13" ht="12.75" customHeight="1">
      <c r="D770" s="430"/>
      <c r="H770" s="431"/>
      <c r="K770" s="212"/>
      <c r="L770" s="212"/>
      <c r="M770" s="212"/>
    </row>
    <row r="771" spans="4:13" ht="12.75" customHeight="1">
      <c r="D771" s="430"/>
      <c r="H771" s="431"/>
      <c r="K771" s="212"/>
      <c r="L771" s="212"/>
      <c r="M771" s="212"/>
    </row>
    <row r="772" spans="4:13" ht="12.75" customHeight="1">
      <c r="D772" s="430"/>
      <c r="H772" s="431"/>
      <c r="K772" s="212"/>
      <c r="L772" s="212"/>
      <c r="M772" s="212"/>
    </row>
    <row r="773" spans="4:13" ht="12.75" customHeight="1">
      <c r="D773" s="430"/>
      <c r="H773" s="431"/>
      <c r="K773" s="212"/>
      <c r="L773" s="212"/>
      <c r="M773" s="212"/>
    </row>
    <row r="774" spans="4:13" ht="12.75" customHeight="1">
      <c r="D774" s="430"/>
      <c r="H774" s="431"/>
      <c r="K774" s="212"/>
      <c r="L774" s="212"/>
      <c r="M774" s="212"/>
    </row>
    <row r="775" spans="4:13" ht="12.75" customHeight="1">
      <c r="D775" s="430"/>
      <c r="H775" s="431"/>
      <c r="K775" s="212"/>
      <c r="L775" s="212"/>
      <c r="M775" s="212"/>
    </row>
    <row r="776" spans="4:13" ht="12.75" customHeight="1">
      <c r="D776" s="430"/>
      <c r="H776" s="431"/>
      <c r="K776" s="212"/>
      <c r="L776" s="212"/>
      <c r="M776" s="212"/>
    </row>
    <row r="777" spans="4:13" ht="12.75" customHeight="1">
      <c r="D777" s="430"/>
      <c r="H777" s="431"/>
      <c r="K777" s="212"/>
      <c r="L777" s="212"/>
      <c r="M777" s="212"/>
    </row>
    <row r="778" spans="4:13" ht="12.75" customHeight="1">
      <c r="D778" s="430"/>
      <c r="H778" s="431"/>
      <c r="K778" s="212"/>
      <c r="L778" s="212"/>
      <c r="M778" s="212"/>
    </row>
    <row r="779" spans="4:13" ht="12.75" customHeight="1">
      <c r="D779" s="430"/>
      <c r="H779" s="431"/>
      <c r="K779" s="212"/>
      <c r="L779" s="212"/>
      <c r="M779" s="212"/>
    </row>
    <row r="780" spans="4:13" ht="12.75" customHeight="1">
      <c r="D780" s="430"/>
      <c r="H780" s="431"/>
      <c r="K780" s="212"/>
      <c r="L780" s="212"/>
      <c r="M780" s="212"/>
    </row>
    <row r="781" spans="4:13" ht="12.75" customHeight="1">
      <c r="D781" s="430"/>
      <c r="H781" s="431"/>
      <c r="K781" s="212"/>
      <c r="L781" s="212"/>
      <c r="M781" s="212"/>
    </row>
    <row r="782" spans="4:13" ht="12.75" customHeight="1">
      <c r="D782" s="430"/>
      <c r="H782" s="431"/>
      <c r="K782" s="212"/>
      <c r="L782" s="212"/>
      <c r="M782" s="212"/>
    </row>
    <row r="783" spans="4:13" ht="12.75" customHeight="1">
      <c r="D783" s="430"/>
      <c r="H783" s="431"/>
      <c r="K783" s="212"/>
      <c r="L783" s="212"/>
      <c r="M783" s="212"/>
    </row>
    <row r="784" spans="4:13" ht="12.75" customHeight="1">
      <c r="D784" s="430"/>
      <c r="H784" s="431"/>
      <c r="K784" s="212"/>
      <c r="L784" s="212"/>
      <c r="M784" s="212"/>
    </row>
    <row r="785" spans="4:13" ht="12.75" customHeight="1">
      <c r="D785" s="430"/>
      <c r="H785" s="431"/>
      <c r="K785" s="212"/>
      <c r="L785" s="212"/>
      <c r="M785" s="212"/>
    </row>
    <row r="786" spans="4:13" ht="12.75" customHeight="1">
      <c r="D786" s="430"/>
      <c r="H786" s="431"/>
      <c r="K786" s="212"/>
      <c r="L786" s="212"/>
      <c r="M786" s="212"/>
    </row>
    <row r="787" spans="4:13" ht="12.75" customHeight="1">
      <c r="D787" s="430"/>
      <c r="H787" s="431"/>
      <c r="K787" s="212"/>
      <c r="L787" s="212"/>
      <c r="M787" s="212"/>
    </row>
    <row r="788" spans="4:13" ht="12.75" customHeight="1">
      <c r="D788" s="430"/>
      <c r="H788" s="431"/>
      <c r="K788" s="212"/>
      <c r="L788" s="212"/>
      <c r="M788" s="212"/>
    </row>
    <row r="789" spans="4:13" ht="12.75" customHeight="1">
      <c r="D789" s="430"/>
      <c r="H789" s="431"/>
      <c r="K789" s="212"/>
      <c r="L789" s="212"/>
      <c r="M789" s="212"/>
    </row>
    <row r="790" spans="4:13" ht="12.75" customHeight="1">
      <c r="D790" s="430"/>
      <c r="H790" s="431"/>
      <c r="K790" s="212"/>
      <c r="L790" s="212"/>
      <c r="M790" s="212"/>
    </row>
    <row r="791" spans="4:13" ht="12.75" customHeight="1">
      <c r="D791" s="430"/>
      <c r="H791" s="431"/>
      <c r="K791" s="212"/>
      <c r="L791" s="212"/>
      <c r="M791" s="212"/>
    </row>
    <row r="792" spans="4:13" ht="12.75" customHeight="1">
      <c r="D792" s="430"/>
      <c r="H792" s="431"/>
      <c r="K792" s="212"/>
      <c r="L792" s="212"/>
      <c r="M792" s="212"/>
    </row>
    <row r="793" spans="4:13" ht="12.75" customHeight="1">
      <c r="D793" s="430"/>
      <c r="H793" s="431"/>
      <c r="K793" s="212"/>
      <c r="L793" s="212"/>
      <c r="M793" s="212"/>
    </row>
    <row r="794" spans="4:13" ht="12.75" customHeight="1">
      <c r="D794" s="430"/>
      <c r="H794" s="431"/>
      <c r="K794" s="212"/>
      <c r="L794" s="212"/>
      <c r="M794" s="212"/>
    </row>
    <row r="795" spans="4:13" ht="12.75" customHeight="1">
      <c r="D795" s="430"/>
      <c r="H795" s="431"/>
      <c r="K795" s="212"/>
      <c r="L795" s="212"/>
      <c r="M795" s="212"/>
    </row>
    <row r="796" spans="4:13" ht="12.75" customHeight="1">
      <c r="D796" s="430"/>
      <c r="H796" s="431"/>
      <c r="K796" s="212"/>
      <c r="L796" s="212"/>
      <c r="M796" s="212"/>
    </row>
    <row r="797" spans="4:13" ht="12.75" customHeight="1">
      <c r="D797" s="430"/>
      <c r="H797" s="431"/>
      <c r="K797" s="212"/>
      <c r="L797" s="212"/>
      <c r="M797" s="212"/>
    </row>
    <row r="798" spans="4:13" ht="12.75" customHeight="1">
      <c r="D798" s="430"/>
      <c r="H798" s="431"/>
      <c r="K798" s="212"/>
      <c r="L798" s="212"/>
      <c r="M798" s="212"/>
    </row>
    <row r="799" spans="4:13" ht="12.75" customHeight="1">
      <c r="D799" s="430"/>
      <c r="H799" s="431"/>
      <c r="K799" s="212"/>
      <c r="L799" s="212"/>
      <c r="M799" s="212"/>
    </row>
    <row r="800" spans="4:13" ht="12.75" customHeight="1">
      <c r="D800" s="430"/>
      <c r="H800" s="431"/>
      <c r="K800" s="212"/>
      <c r="L800" s="212"/>
      <c r="M800" s="212"/>
    </row>
    <row r="801" spans="4:13" ht="12.75" customHeight="1">
      <c r="D801" s="430"/>
      <c r="H801" s="431"/>
      <c r="K801" s="212"/>
      <c r="L801" s="212"/>
      <c r="M801" s="212"/>
    </row>
    <row r="802" spans="4:13" ht="12.75" customHeight="1">
      <c r="D802" s="430"/>
      <c r="H802" s="431"/>
      <c r="K802" s="212"/>
      <c r="L802" s="212"/>
      <c r="M802" s="212"/>
    </row>
    <row r="803" spans="4:13" ht="12.75" customHeight="1">
      <c r="D803" s="430"/>
      <c r="H803" s="431"/>
      <c r="K803" s="212"/>
      <c r="L803" s="212"/>
      <c r="M803" s="212"/>
    </row>
    <row r="804" spans="4:13" ht="12.75" customHeight="1">
      <c r="D804" s="430"/>
      <c r="H804" s="431"/>
      <c r="K804" s="212"/>
      <c r="L804" s="212"/>
      <c r="M804" s="212"/>
    </row>
    <row r="805" spans="4:13" ht="12.75" customHeight="1">
      <c r="D805" s="430"/>
      <c r="H805" s="431"/>
      <c r="K805" s="212"/>
      <c r="L805" s="212"/>
      <c r="M805" s="212"/>
    </row>
    <row r="806" spans="4:13" ht="12.75" customHeight="1">
      <c r="D806" s="430"/>
      <c r="H806" s="431"/>
      <c r="K806" s="212"/>
      <c r="L806" s="212"/>
      <c r="M806" s="212"/>
    </row>
    <row r="807" spans="4:13" ht="12.75" customHeight="1">
      <c r="D807" s="430"/>
      <c r="H807" s="431"/>
      <c r="K807" s="212"/>
      <c r="L807" s="212"/>
      <c r="M807" s="212"/>
    </row>
    <row r="808" spans="4:13" ht="12.75" customHeight="1">
      <c r="D808" s="430"/>
      <c r="H808" s="431"/>
      <c r="K808" s="212"/>
      <c r="L808" s="212"/>
      <c r="M808" s="212"/>
    </row>
    <row r="809" spans="4:13" ht="12.75" customHeight="1">
      <c r="D809" s="430"/>
      <c r="H809" s="431"/>
      <c r="K809" s="212"/>
      <c r="L809" s="212"/>
      <c r="M809" s="212"/>
    </row>
    <row r="810" spans="4:13" ht="12.75" customHeight="1">
      <c r="D810" s="430"/>
      <c r="H810" s="431"/>
      <c r="K810" s="212"/>
      <c r="L810" s="212"/>
      <c r="M810" s="212"/>
    </row>
    <row r="811" spans="4:13" ht="12.75" customHeight="1">
      <c r="D811" s="430"/>
      <c r="H811" s="431"/>
      <c r="K811" s="212"/>
      <c r="L811" s="212"/>
      <c r="M811" s="212"/>
    </row>
    <row r="812" spans="4:13" ht="12.75" customHeight="1">
      <c r="D812" s="430"/>
      <c r="H812" s="431"/>
      <c r="K812" s="212"/>
      <c r="L812" s="212"/>
      <c r="M812" s="212"/>
    </row>
    <row r="813" spans="4:13" ht="12.75" customHeight="1">
      <c r="D813" s="430"/>
      <c r="H813" s="431"/>
      <c r="K813" s="212"/>
      <c r="L813" s="212"/>
      <c r="M813" s="212"/>
    </row>
    <row r="814" spans="4:13" ht="12.75" customHeight="1">
      <c r="D814" s="430"/>
      <c r="H814" s="431"/>
      <c r="K814" s="212"/>
      <c r="L814" s="212"/>
      <c r="M814" s="212"/>
    </row>
    <row r="815" spans="4:13" ht="12.75" customHeight="1">
      <c r="D815" s="430"/>
      <c r="H815" s="431"/>
      <c r="K815" s="212"/>
      <c r="L815" s="212"/>
      <c r="M815" s="212"/>
    </row>
    <row r="816" spans="4:13" ht="12.75" customHeight="1">
      <c r="D816" s="430"/>
      <c r="H816" s="431"/>
      <c r="K816" s="212"/>
      <c r="L816" s="212"/>
      <c r="M816" s="212"/>
    </row>
    <row r="817" spans="4:13" ht="12.75" customHeight="1">
      <c r="D817" s="430"/>
      <c r="H817" s="431"/>
      <c r="K817" s="212"/>
      <c r="L817" s="212"/>
      <c r="M817" s="212"/>
    </row>
    <row r="818" spans="4:13" ht="12.75" customHeight="1">
      <c r="D818" s="430"/>
      <c r="H818" s="431"/>
      <c r="K818" s="212"/>
      <c r="L818" s="212"/>
      <c r="M818" s="212"/>
    </row>
    <row r="819" spans="4:13" ht="12.75" customHeight="1">
      <c r="D819" s="430"/>
      <c r="H819" s="431"/>
      <c r="K819" s="212"/>
      <c r="L819" s="212"/>
      <c r="M819" s="212"/>
    </row>
    <row r="820" spans="4:13" ht="12.75" customHeight="1">
      <c r="D820" s="430"/>
      <c r="H820" s="431"/>
      <c r="K820" s="212"/>
      <c r="L820" s="212"/>
      <c r="M820" s="212"/>
    </row>
    <row r="821" spans="4:13" ht="12.75" customHeight="1">
      <c r="D821" s="430"/>
      <c r="H821" s="431"/>
      <c r="K821" s="212"/>
      <c r="L821" s="212"/>
      <c r="M821" s="212"/>
    </row>
    <row r="822" spans="4:13" ht="12.75" customHeight="1">
      <c r="D822" s="430"/>
      <c r="H822" s="431"/>
      <c r="K822" s="212"/>
      <c r="L822" s="212"/>
      <c r="M822" s="212"/>
    </row>
    <row r="823" spans="4:13" ht="12.75" customHeight="1">
      <c r="D823" s="430"/>
      <c r="H823" s="431"/>
      <c r="K823" s="212"/>
      <c r="L823" s="212"/>
      <c r="M823" s="212"/>
    </row>
    <row r="824" spans="4:13" ht="12.75" customHeight="1">
      <c r="D824" s="430"/>
      <c r="H824" s="431"/>
      <c r="K824" s="212"/>
      <c r="L824" s="212"/>
      <c r="M824" s="212"/>
    </row>
    <row r="825" spans="4:13" ht="12.75" customHeight="1">
      <c r="D825" s="430"/>
      <c r="H825" s="431"/>
      <c r="K825" s="212"/>
      <c r="L825" s="212"/>
      <c r="M825" s="212"/>
    </row>
    <row r="826" spans="4:13" ht="12.75" customHeight="1">
      <c r="D826" s="430"/>
      <c r="H826" s="431"/>
      <c r="K826" s="212"/>
      <c r="L826" s="212"/>
      <c r="M826" s="212"/>
    </row>
    <row r="827" spans="4:13" ht="12.75" customHeight="1">
      <c r="D827" s="430"/>
      <c r="H827" s="431"/>
      <c r="K827" s="212"/>
      <c r="L827" s="212"/>
      <c r="M827" s="212"/>
    </row>
    <row r="828" spans="4:13" ht="12.75" customHeight="1">
      <c r="D828" s="430"/>
      <c r="H828" s="431"/>
      <c r="K828" s="212"/>
      <c r="L828" s="212"/>
      <c r="M828" s="212"/>
    </row>
    <row r="829" spans="4:13" ht="12.75" customHeight="1">
      <c r="D829" s="430"/>
      <c r="H829" s="431"/>
      <c r="K829" s="212"/>
      <c r="L829" s="212"/>
      <c r="M829" s="212"/>
    </row>
    <row r="830" spans="4:13" ht="12.75" customHeight="1">
      <c r="D830" s="430"/>
      <c r="H830" s="431"/>
      <c r="K830" s="212"/>
      <c r="L830" s="212"/>
      <c r="M830" s="212"/>
    </row>
    <row r="831" spans="4:13" ht="12.75" customHeight="1">
      <c r="D831" s="430"/>
      <c r="H831" s="431"/>
      <c r="K831" s="212"/>
      <c r="L831" s="212"/>
      <c r="M831" s="212"/>
    </row>
    <row r="832" spans="4:13" ht="12.75" customHeight="1">
      <c r="D832" s="430"/>
      <c r="H832" s="431"/>
      <c r="K832" s="212"/>
      <c r="L832" s="212"/>
      <c r="M832" s="212"/>
    </row>
    <row r="833" spans="4:13" ht="12.75" customHeight="1">
      <c r="D833" s="430"/>
      <c r="H833" s="431"/>
      <c r="K833" s="212"/>
      <c r="L833" s="212"/>
      <c r="M833" s="212"/>
    </row>
    <row r="834" spans="4:13" ht="12.75" customHeight="1">
      <c r="D834" s="430"/>
      <c r="H834" s="431"/>
      <c r="K834" s="212"/>
      <c r="L834" s="212"/>
      <c r="M834" s="212"/>
    </row>
    <row r="835" spans="4:13" ht="12.75" customHeight="1">
      <c r="D835" s="430"/>
      <c r="H835" s="431"/>
      <c r="K835" s="212"/>
      <c r="L835" s="212"/>
      <c r="M835" s="212"/>
    </row>
    <row r="836" spans="4:13" ht="12.75" customHeight="1">
      <c r="D836" s="430"/>
      <c r="H836" s="431"/>
      <c r="K836" s="212"/>
      <c r="L836" s="212"/>
      <c r="M836" s="212"/>
    </row>
    <row r="837" spans="4:13" ht="12.75" customHeight="1">
      <c r="D837" s="430"/>
      <c r="H837" s="431"/>
      <c r="K837" s="212"/>
      <c r="L837" s="212"/>
      <c r="M837" s="212"/>
    </row>
    <row r="838" spans="4:13" ht="12.75" customHeight="1">
      <c r="D838" s="430"/>
      <c r="H838" s="431"/>
      <c r="K838" s="212"/>
      <c r="L838" s="212"/>
      <c r="M838" s="212"/>
    </row>
    <row r="839" spans="4:13" ht="12.75" customHeight="1">
      <c r="D839" s="430"/>
      <c r="H839" s="431"/>
      <c r="K839" s="212"/>
      <c r="L839" s="212"/>
      <c r="M839" s="212"/>
    </row>
    <row r="840" spans="4:13" ht="12.75" customHeight="1">
      <c r="D840" s="430"/>
      <c r="H840" s="431"/>
      <c r="K840" s="212"/>
      <c r="L840" s="212"/>
      <c r="M840" s="212"/>
    </row>
    <row r="841" spans="4:13" ht="12.75" customHeight="1">
      <c r="D841" s="430"/>
      <c r="H841" s="431"/>
      <c r="K841" s="212"/>
      <c r="L841" s="212"/>
      <c r="M841" s="212"/>
    </row>
    <row r="842" spans="4:13" ht="12.75" customHeight="1">
      <c r="D842" s="430"/>
      <c r="H842" s="431"/>
      <c r="K842" s="212"/>
      <c r="L842" s="212"/>
      <c r="M842" s="212"/>
    </row>
    <row r="843" spans="4:13" ht="12.75" customHeight="1">
      <c r="D843" s="430"/>
      <c r="H843" s="431"/>
      <c r="K843" s="212"/>
      <c r="L843" s="212"/>
      <c r="M843" s="212"/>
    </row>
    <row r="844" spans="4:13" ht="12.75" customHeight="1">
      <c r="D844" s="430"/>
      <c r="H844" s="431"/>
      <c r="K844" s="212"/>
      <c r="L844" s="212"/>
      <c r="M844" s="212"/>
    </row>
    <row r="845" spans="4:13" ht="12.75" customHeight="1">
      <c r="D845" s="430"/>
      <c r="H845" s="431"/>
      <c r="K845" s="212"/>
      <c r="L845" s="212"/>
      <c r="M845" s="212"/>
    </row>
    <row r="846" spans="4:13" ht="12.75" customHeight="1">
      <c r="D846" s="430"/>
      <c r="H846" s="431"/>
      <c r="K846" s="212"/>
      <c r="L846" s="212"/>
      <c r="M846" s="212"/>
    </row>
    <row r="847" spans="4:13" ht="12.75" customHeight="1">
      <c r="D847" s="430"/>
      <c r="H847" s="431"/>
      <c r="K847" s="212"/>
      <c r="L847" s="212"/>
      <c r="M847" s="212"/>
    </row>
    <row r="848" spans="4:13" ht="12.75" customHeight="1">
      <c r="D848" s="430"/>
      <c r="H848" s="431"/>
      <c r="K848" s="212"/>
      <c r="L848" s="212"/>
      <c r="M848" s="212"/>
    </row>
    <row r="849" spans="4:13" ht="12.75" customHeight="1">
      <c r="D849" s="430"/>
      <c r="H849" s="431"/>
      <c r="K849" s="212"/>
      <c r="L849" s="212"/>
      <c r="M849" s="212"/>
    </row>
    <row r="850" spans="4:13" ht="12.75" customHeight="1">
      <c r="D850" s="430"/>
      <c r="H850" s="431"/>
      <c r="K850" s="212"/>
      <c r="L850" s="212"/>
      <c r="M850" s="212"/>
    </row>
    <row r="851" spans="4:13" ht="12.75" customHeight="1">
      <c r="D851" s="430"/>
      <c r="H851" s="431"/>
      <c r="K851" s="212"/>
      <c r="L851" s="212"/>
      <c r="M851" s="212"/>
    </row>
    <row r="852" spans="4:13" ht="12.75" customHeight="1">
      <c r="D852" s="430"/>
      <c r="H852" s="431"/>
      <c r="K852" s="212"/>
      <c r="L852" s="212"/>
      <c r="M852" s="212"/>
    </row>
    <row r="853" spans="4:13" ht="12.75" customHeight="1">
      <c r="D853" s="430"/>
      <c r="H853" s="431"/>
      <c r="K853" s="212"/>
      <c r="L853" s="212"/>
      <c r="M853" s="212"/>
    </row>
    <row r="854" spans="4:13" ht="12.75" customHeight="1">
      <c r="D854" s="430"/>
      <c r="H854" s="431"/>
      <c r="K854" s="212"/>
      <c r="L854" s="212"/>
      <c r="M854" s="212"/>
    </row>
    <row r="855" spans="4:13" ht="12.75" customHeight="1">
      <c r="D855" s="430"/>
      <c r="H855" s="431"/>
      <c r="K855" s="212"/>
      <c r="L855" s="212"/>
      <c r="M855" s="212"/>
    </row>
    <row r="856" spans="4:13" ht="12.75" customHeight="1">
      <c r="D856" s="430"/>
      <c r="H856" s="431"/>
      <c r="K856" s="212"/>
      <c r="L856" s="212"/>
      <c r="M856" s="212"/>
    </row>
    <row r="857" spans="4:13" ht="12.75" customHeight="1">
      <c r="D857" s="430"/>
      <c r="H857" s="431"/>
      <c r="K857" s="212"/>
      <c r="L857" s="212"/>
      <c r="M857" s="212"/>
    </row>
    <row r="858" spans="4:13" ht="12.75" customHeight="1">
      <c r="D858" s="430"/>
      <c r="H858" s="431"/>
      <c r="K858" s="212"/>
      <c r="L858" s="212"/>
      <c r="M858" s="212"/>
    </row>
    <row r="859" spans="4:13" ht="12.75" customHeight="1">
      <c r="D859" s="430"/>
      <c r="H859" s="431"/>
      <c r="K859" s="212"/>
      <c r="L859" s="212"/>
      <c r="M859" s="212"/>
    </row>
    <row r="860" spans="4:13" ht="12.75" customHeight="1">
      <c r="D860" s="430"/>
      <c r="H860" s="431"/>
      <c r="K860" s="212"/>
      <c r="L860" s="212"/>
      <c r="M860" s="212"/>
    </row>
    <row r="861" spans="4:13" ht="12.75" customHeight="1">
      <c r="D861" s="430"/>
      <c r="H861" s="431"/>
      <c r="K861" s="212"/>
      <c r="L861" s="212"/>
      <c r="M861" s="212"/>
    </row>
    <row r="862" spans="4:13" ht="12.75" customHeight="1">
      <c r="D862" s="430"/>
      <c r="H862" s="431"/>
      <c r="K862" s="212"/>
      <c r="L862" s="212"/>
      <c r="M862" s="212"/>
    </row>
    <row r="863" spans="4:13" ht="12.75" customHeight="1">
      <c r="D863" s="430"/>
      <c r="H863" s="431"/>
      <c r="K863" s="212"/>
      <c r="L863" s="212"/>
      <c r="M863" s="212"/>
    </row>
    <row r="864" spans="4:13" ht="12.75" customHeight="1">
      <c r="D864" s="430"/>
      <c r="H864" s="431"/>
      <c r="K864" s="212"/>
      <c r="L864" s="212"/>
      <c r="M864" s="212"/>
    </row>
    <row r="865" spans="4:13" ht="12.75" customHeight="1">
      <c r="D865" s="430"/>
      <c r="H865" s="431"/>
      <c r="K865" s="212"/>
      <c r="L865" s="212"/>
      <c r="M865" s="212"/>
    </row>
    <row r="866" spans="4:13" ht="12.75" customHeight="1">
      <c r="D866" s="430"/>
      <c r="H866" s="431"/>
      <c r="K866" s="212"/>
      <c r="L866" s="212"/>
      <c r="M866" s="212"/>
    </row>
    <row r="867" spans="4:13" ht="12.75" customHeight="1">
      <c r="D867" s="430"/>
      <c r="H867" s="431"/>
      <c r="K867" s="212"/>
      <c r="L867" s="212"/>
      <c r="M867" s="212"/>
    </row>
    <row r="868" spans="4:13" ht="12.75" customHeight="1">
      <c r="D868" s="430"/>
      <c r="H868" s="431"/>
      <c r="K868" s="212"/>
      <c r="L868" s="212"/>
      <c r="M868" s="212"/>
    </row>
    <row r="869" spans="4:13" ht="12.75" customHeight="1">
      <c r="D869" s="430"/>
      <c r="H869" s="431"/>
      <c r="K869" s="212"/>
      <c r="L869" s="212"/>
      <c r="M869" s="212"/>
    </row>
    <row r="870" spans="4:13" ht="12.75" customHeight="1">
      <c r="D870" s="430"/>
      <c r="H870" s="431"/>
      <c r="K870" s="212"/>
      <c r="L870" s="212"/>
      <c r="M870" s="212"/>
    </row>
    <row r="871" spans="4:13" ht="12.75" customHeight="1">
      <c r="D871" s="430"/>
      <c r="H871" s="431"/>
      <c r="K871" s="212"/>
      <c r="L871" s="212"/>
      <c r="M871" s="212"/>
    </row>
    <row r="872" spans="4:13" ht="12.75" customHeight="1">
      <c r="D872" s="430"/>
      <c r="H872" s="431"/>
      <c r="K872" s="212"/>
      <c r="L872" s="212"/>
      <c r="M872" s="212"/>
    </row>
    <row r="873" spans="4:13" ht="12.75" customHeight="1">
      <c r="D873" s="430"/>
      <c r="H873" s="431"/>
      <c r="K873" s="212"/>
      <c r="L873" s="212"/>
      <c r="M873" s="212"/>
    </row>
    <row r="874" spans="4:13" ht="12.75" customHeight="1">
      <c r="D874" s="430"/>
      <c r="H874" s="431"/>
      <c r="K874" s="212"/>
      <c r="L874" s="212"/>
      <c r="M874" s="212"/>
    </row>
    <row r="875" spans="4:13" ht="12.75" customHeight="1">
      <c r="D875" s="430"/>
      <c r="H875" s="431"/>
      <c r="K875" s="212"/>
      <c r="L875" s="212"/>
      <c r="M875" s="212"/>
    </row>
    <row r="876" spans="4:13" ht="12.75" customHeight="1">
      <c r="D876" s="430"/>
      <c r="H876" s="431"/>
      <c r="K876" s="212"/>
      <c r="L876" s="212"/>
      <c r="M876" s="212"/>
    </row>
    <row r="877" spans="4:13" ht="12.75" customHeight="1">
      <c r="D877" s="430"/>
      <c r="H877" s="431"/>
      <c r="K877" s="212"/>
      <c r="L877" s="212"/>
      <c r="M877" s="212"/>
    </row>
    <row r="878" spans="4:13" ht="12.75" customHeight="1">
      <c r="D878" s="430"/>
      <c r="H878" s="431"/>
      <c r="K878" s="212"/>
      <c r="L878" s="212"/>
      <c r="M878" s="212"/>
    </row>
    <row r="879" spans="4:13" ht="12.75" customHeight="1">
      <c r="D879" s="430"/>
      <c r="H879" s="431"/>
      <c r="K879" s="212"/>
      <c r="L879" s="212"/>
      <c r="M879" s="212"/>
    </row>
    <row r="880" spans="4:13" ht="12.75" customHeight="1">
      <c r="D880" s="430"/>
      <c r="H880" s="431"/>
      <c r="K880" s="212"/>
      <c r="L880" s="212"/>
      <c r="M880" s="212"/>
    </row>
    <row r="881" spans="4:13" ht="12.75" customHeight="1">
      <c r="D881" s="430"/>
      <c r="H881" s="431"/>
      <c r="K881" s="212"/>
      <c r="L881" s="212"/>
      <c r="M881" s="212"/>
    </row>
    <row r="882" spans="4:13" ht="12.75" customHeight="1">
      <c r="D882" s="430"/>
      <c r="H882" s="431"/>
      <c r="K882" s="212"/>
      <c r="L882" s="212"/>
      <c r="M882" s="212"/>
    </row>
    <row r="883" spans="4:13" ht="12.75" customHeight="1">
      <c r="D883" s="430"/>
      <c r="H883" s="431"/>
      <c r="K883" s="212"/>
      <c r="L883" s="212"/>
      <c r="M883" s="212"/>
    </row>
    <row r="884" spans="4:13" ht="12.75" customHeight="1">
      <c r="D884" s="430"/>
      <c r="H884" s="431"/>
      <c r="K884" s="212"/>
      <c r="L884" s="212"/>
      <c r="M884" s="212"/>
    </row>
    <row r="885" spans="4:13" ht="12.75" customHeight="1">
      <c r="D885" s="430"/>
      <c r="H885" s="431"/>
      <c r="K885" s="212"/>
      <c r="L885" s="212"/>
      <c r="M885" s="212"/>
    </row>
    <row r="886" spans="4:13" ht="12.75" customHeight="1">
      <c r="D886" s="430"/>
      <c r="H886" s="431"/>
      <c r="K886" s="212"/>
      <c r="L886" s="212"/>
      <c r="M886" s="212"/>
    </row>
    <row r="887" spans="4:13" ht="12.75" customHeight="1">
      <c r="D887" s="430"/>
      <c r="H887" s="431"/>
      <c r="K887" s="212"/>
      <c r="L887" s="212"/>
      <c r="M887" s="212"/>
    </row>
    <row r="888" spans="4:13" ht="12.75" customHeight="1">
      <c r="D888" s="430"/>
      <c r="H888" s="431"/>
      <c r="K888" s="212"/>
      <c r="L888" s="212"/>
      <c r="M888" s="212"/>
    </row>
    <row r="889" spans="4:13" ht="12.75" customHeight="1">
      <c r="D889" s="430"/>
      <c r="H889" s="431"/>
      <c r="K889" s="212"/>
      <c r="L889" s="212"/>
      <c r="M889" s="212"/>
    </row>
    <row r="890" spans="4:13" ht="12.75" customHeight="1">
      <c r="D890" s="430"/>
      <c r="H890" s="431"/>
      <c r="K890" s="212"/>
      <c r="L890" s="212"/>
      <c r="M890" s="212"/>
    </row>
    <row r="891" spans="4:13" ht="12.75" customHeight="1">
      <c r="D891" s="430"/>
      <c r="H891" s="431"/>
      <c r="K891" s="212"/>
      <c r="L891" s="212"/>
      <c r="M891" s="212"/>
    </row>
    <row r="892" spans="4:13" ht="12.75" customHeight="1">
      <c r="D892" s="430"/>
      <c r="H892" s="431"/>
      <c r="K892" s="212"/>
      <c r="L892" s="212"/>
      <c r="M892" s="212"/>
    </row>
    <row r="893" spans="4:13" ht="12.75" customHeight="1">
      <c r="D893" s="430"/>
      <c r="H893" s="431"/>
      <c r="K893" s="212"/>
      <c r="L893" s="212"/>
      <c r="M893" s="212"/>
    </row>
    <row r="894" spans="4:13" ht="12.75" customHeight="1">
      <c r="D894" s="430"/>
      <c r="H894" s="431"/>
      <c r="K894" s="212"/>
      <c r="L894" s="212"/>
      <c r="M894" s="212"/>
    </row>
    <row r="895" spans="4:13" ht="12.75" customHeight="1">
      <c r="D895" s="430"/>
      <c r="H895" s="431"/>
      <c r="K895" s="212"/>
      <c r="L895" s="212"/>
      <c r="M895" s="212"/>
    </row>
    <row r="896" spans="4:13" ht="12.75" customHeight="1">
      <c r="D896" s="430"/>
      <c r="H896" s="431"/>
      <c r="K896" s="212"/>
      <c r="L896" s="212"/>
      <c r="M896" s="212"/>
    </row>
    <row r="897" spans="4:13" ht="12.75" customHeight="1">
      <c r="D897" s="430"/>
      <c r="H897" s="431"/>
      <c r="K897" s="212"/>
      <c r="L897" s="212"/>
      <c r="M897" s="212"/>
    </row>
    <row r="898" spans="4:13" ht="12.75" customHeight="1">
      <c r="D898" s="430"/>
      <c r="H898" s="431"/>
      <c r="K898" s="212"/>
      <c r="L898" s="212"/>
      <c r="M898" s="212"/>
    </row>
    <row r="899" spans="4:13" ht="12.75" customHeight="1">
      <c r="D899" s="430"/>
      <c r="H899" s="431"/>
      <c r="K899" s="212"/>
      <c r="L899" s="212"/>
      <c r="M899" s="212"/>
    </row>
    <row r="900" spans="4:13" ht="12.75" customHeight="1">
      <c r="D900" s="430"/>
      <c r="H900" s="431"/>
      <c r="K900" s="212"/>
      <c r="L900" s="212"/>
      <c r="M900" s="212"/>
    </row>
    <row r="901" spans="4:13" ht="12.75" customHeight="1">
      <c r="D901" s="430"/>
      <c r="H901" s="431"/>
      <c r="K901" s="212"/>
      <c r="L901" s="212"/>
      <c r="M901" s="212"/>
    </row>
    <row r="902" spans="4:13" ht="12.75" customHeight="1">
      <c r="D902" s="430"/>
      <c r="H902" s="431"/>
      <c r="K902" s="212"/>
      <c r="L902" s="212"/>
      <c r="M902" s="212"/>
    </row>
    <row r="903" spans="4:13" ht="12.75" customHeight="1">
      <c r="D903" s="430"/>
      <c r="H903" s="431"/>
      <c r="K903" s="212"/>
      <c r="L903" s="212"/>
      <c r="M903" s="212"/>
    </row>
    <row r="904" spans="4:13" ht="12.75" customHeight="1">
      <c r="D904" s="430"/>
      <c r="H904" s="431"/>
      <c r="K904" s="212"/>
      <c r="L904" s="212"/>
      <c r="M904" s="212"/>
    </row>
    <row r="905" spans="4:13" ht="12.75" customHeight="1">
      <c r="D905" s="430"/>
      <c r="H905" s="431"/>
      <c r="K905" s="212"/>
      <c r="L905" s="212"/>
      <c r="M905" s="212"/>
    </row>
    <row r="906" spans="4:13" ht="12.75" customHeight="1">
      <c r="D906" s="430"/>
      <c r="H906" s="431"/>
      <c r="K906" s="212"/>
      <c r="L906" s="212"/>
      <c r="M906" s="212"/>
    </row>
    <row r="907" spans="4:13" ht="12.75" customHeight="1">
      <c r="D907" s="430"/>
      <c r="H907" s="431"/>
      <c r="K907" s="212"/>
      <c r="L907" s="212"/>
      <c r="M907" s="212"/>
    </row>
    <row r="908" spans="4:13" ht="12.75" customHeight="1">
      <c r="D908" s="430"/>
      <c r="H908" s="431"/>
      <c r="K908" s="212"/>
      <c r="L908" s="212"/>
      <c r="M908" s="212"/>
    </row>
    <row r="909" spans="4:13" ht="12.75" customHeight="1">
      <c r="D909" s="430"/>
      <c r="H909" s="431"/>
      <c r="K909" s="212"/>
      <c r="L909" s="212"/>
      <c r="M909" s="212"/>
    </row>
    <row r="910" spans="4:13" ht="12.75" customHeight="1">
      <c r="D910" s="430"/>
      <c r="H910" s="431"/>
      <c r="K910" s="212"/>
      <c r="L910" s="212"/>
      <c r="M910" s="212"/>
    </row>
    <row r="911" spans="4:13" ht="12.75" customHeight="1">
      <c r="D911" s="430"/>
      <c r="H911" s="431"/>
      <c r="K911" s="212"/>
      <c r="L911" s="212"/>
      <c r="M911" s="212"/>
    </row>
    <row r="912" spans="4:13" ht="12.75" customHeight="1">
      <c r="D912" s="430"/>
      <c r="H912" s="431"/>
      <c r="K912" s="212"/>
      <c r="L912" s="212"/>
      <c r="M912" s="212"/>
    </row>
    <row r="913" spans="4:13" ht="12.75" customHeight="1">
      <c r="D913" s="430"/>
      <c r="H913" s="431"/>
      <c r="K913" s="212"/>
      <c r="L913" s="212"/>
      <c r="M913" s="212"/>
    </row>
    <row r="914" spans="4:13" ht="12.75" customHeight="1">
      <c r="D914" s="430"/>
      <c r="H914" s="431"/>
      <c r="K914" s="212"/>
      <c r="L914" s="212"/>
      <c r="M914" s="212"/>
    </row>
    <row r="915" spans="4:13" ht="12.75" customHeight="1">
      <c r="D915" s="430"/>
      <c r="H915" s="431"/>
      <c r="K915" s="212"/>
      <c r="L915" s="212"/>
      <c r="M915" s="212"/>
    </row>
    <row r="916" spans="4:13" ht="12.75" customHeight="1">
      <c r="D916" s="430"/>
      <c r="H916" s="431"/>
      <c r="K916" s="212"/>
      <c r="L916" s="212"/>
      <c r="M916" s="212"/>
    </row>
    <row r="917" spans="4:13" ht="12.75" customHeight="1">
      <c r="D917" s="430"/>
      <c r="H917" s="431"/>
      <c r="K917" s="212"/>
      <c r="L917" s="212"/>
      <c r="M917" s="212"/>
    </row>
    <row r="918" spans="4:13" ht="12.75" customHeight="1">
      <c r="D918" s="430"/>
      <c r="H918" s="431"/>
      <c r="K918" s="212"/>
      <c r="L918" s="212"/>
      <c r="M918" s="212"/>
    </row>
    <row r="919" spans="4:13" ht="12.75" customHeight="1">
      <c r="D919" s="430"/>
      <c r="H919" s="431"/>
      <c r="K919" s="212"/>
      <c r="L919" s="212"/>
      <c r="M919" s="212"/>
    </row>
    <row r="920" spans="4:13" ht="12.75" customHeight="1">
      <c r="D920" s="430"/>
      <c r="H920" s="431"/>
      <c r="K920" s="212"/>
      <c r="L920" s="212"/>
      <c r="M920" s="212"/>
    </row>
    <row r="921" spans="4:13" ht="12.75" customHeight="1">
      <c r="D921" s="430"/>
      <c r="H921" s="431"/>
      <c r="K921" s="212"/>
      <c r="L921" s="212"/>
      <c r="M921" s="212"/>
    </row>
    <row r="922" spans="4:13" ht="12.75" customHeight="1">
      <c r="D922" s="430"/>
      <c r="H922" s="431"/>
      <c r="K922" s="212"/>
      <c r="L922" s="212"/>
      <c r="M922" s="212"/>
    </row>
    <row r="923" spans="4:13" ht="12.75" customHeight="1">
      <c r="D923" s="430"/>
      <c r="H923" s="431"/>
      <c r="K923" s="212"/>
      <c r="L923" s="212"/>
      <c r="M923" s="212"/>
    </row>
    <row r="924" spans="4:13" ht="12.75" customHeight="1">
      <c r="D924" s="430"/>
      <c r="H924" s="431"/>
      <c r="K924" s="212"/>
      <c r="L924" s="212"/>
      <c r="M924" s="212"/>
    </row>
    <row r="925" spans="4:13" ht="12.75" customHeight="1">
      <c r="D925" s="430"/>
      <c r="H925" s="431"/>
      <c r="K925" s="212"/>
      <c r="L925" s="212"/>
      <c r="M925" s="212"/>
    </row>
    <row r="926" spans="4:13" ht="12.75" customHeight="1">
      <c r="D926" s="430"/>
      <c r="H926" s="431"/>
      <c r="K926" s="212"/>
      <c r="L926" s="212"/>
      <c r="M926" s="212"/>
    </row>
    <row r="927" spans="4:13" ht="12.75" customHeight="1">
      <c r="D927" s="430"/>
      <c r="H927" s="431"/>
      <c r="K927" s="212"/>
      <c r="L927" s="212"/>
      <c r="M927" s="212"/>
    </row>
    <row r="928" spans="4:13" ht="12.75" customHeight="1">
      <c r="D928" s="430"/>
      <c r="H928" s="431"/>
      <c r="K928" s="212"/>
      <c r="L928" s="212"/>
      <c r="M928" s="212"/>
    </row>
    <row r="929" spans="4:13" ht="12.75" customHeight="1">
      <c r="D929" s="430"/>
      <c r="H929" s="431"/>
      <c r="K929" s="212"/>
      <c r="L929" s="212"/>
      <c r="M929" s="212"/>
    </row>
    <row r="930" spans="4:13" ht="12.75" customHeight="1">
      <c r="D930" s="430"/>
      <c r="H930" s="431"/>
      <c r="K930" s="212"/>
      <c r="L930" s="212"/>
      <c r="M930" s="212"/>
    </row>
    <row r="931" spans="4:13" ht="12.75" customHeight="1">
      <c r="D931" s="430"/>
      <c r="H931" s="431"/>
      <c r="K931" s="212"/>
      <c r="L931" s="212"/>
      <c r="M931" s="212"/>
    </row>
    <row r="932" spans="4:13" ht="12.75" customHeight="1">
      <c r="D932" s="430"/>
      <c r="H932" s="431"/>
      <c r="K932" s="212"/>
      <c r="L932" s="212"/>
      <c r="M932" s="212"/>
    </row>
    <row r="933" spans="4:13" ht="12.75" customHeight="1">
      <c r="D933" s="430"/>
      <c r="H933" s="431"/>
      <c r="K933" s="212"/>
      <c r="L933" s="212"/>
      <c r="M933" s="212"/>
    </row>
    <row r="934" spans="4:13" ht="12.75" customHeight="1">
      <c r="D934" s="430"/>
      <c r="H934" s="431"/>
      <c r="K934" s="212"/>
      <c r="L934" s="212"/>
      <c r="M934" s="212"/>
    </row>
    <row r="935" spans="4:13" ht="12.75" customHeight="1">
      <c r="D935" s="430"/>
      <c r="H935" s="431"/>
      <c r="K935" s="212"/>
      <c r="L935" s="212"/>
      <c r="M935" s="212"/>
    </row>
    <row r="936" spans="4:13" ht="12.75" customHeight="1">
      <c r="D936" s="430"/>
      <c r="H936" s="431"/>
      <c r="K936" s="212"/>
      <c r="L936" s="212"/>
      <c r="M936" s="212"/>
    </row>
    <row r="937" spans="4:13" ht="12.75" customHeight="1">
      <c r="D937" s="430"/>
      <c r="H937" s="431"/>
      <c r="K937" s="212"/>
      <c r="L937" s="212"/>
      <c r="M937" s="212"/>
    </row>
    <row r="938" spans="4:13" ht="12.75" customHeight="1">
      <c r="D938" s="430"/>
      <c r="H938" s="431"/>
      <c r="K938" s="212"/>
      <c r="L938" s="212"/>
      <c r="M938" s="212"/>
    </row>
    <row r="939" spans="4:13" ht="12.75" customHeight="1">
      <c r="D939" s="430"/>
      <c r="H939" s="431"/>
      <c r="K939" s="212"/>
      <c r="L939" s="212"/>
      <c r="M939" s="212"/>
    </row>
    <row r="940" spans="4:13" ht="12.75" customHeight="1">
      <c r="D940" s="430"/>
      <c r="H940" s="431"/>
      <c r="K940" s="212"/>
      <c r="L940" s="212"/>
      <c r="M940" s="212"/>
    </row>
    <row r="941" spans="4:13" ht="12.75" customHeight="1">
      <c r="D941" s="430"/>
      <c r="H941" s="431"/>
      <c r="K941" s="212"/>
      <c r="L941" s="212"/>
      <c r="M941" s="212"/>
    </row>
    <row r="942" spans="4:13" ht="12.75" customHeight="1">
      <c r="D942" s="430"/>
      <c r="H942" s="431"/>
      <c r="K942" s="212"/>
      <c r="L942" s="212"/>
      <c r="M942" s="212"/>
    </row>
    <row r="943" spans="4:13" ht="12.75" customHeight="1">
      <c r="D943" s="430"/>
      <c r="H943" s="431"/>
      <c r="K943" s="212"/>
      <c r="L943" s="212"/>
      <c r="M943" s="212"/>
    </row>
    <row r="944" spans="4:13" ht="12.75" customHeight="1">
      <c r="D944" s="430"/>
      <c r="H944" s="431"/>
      <c r="K944" s="212"/>
      <c r="L944" s="212"/>
      <c r="M944" s="212"/>
    </row>
    <row r="945" spans="4:13" ht="12.75" customHeight="1">
      <c r="D945" s="430"/>
      <c r="H945" s="431"/>
      <c r="K945" s="212"/>
      <c r="L945" s="212"/>
      <c r="M945" s="212"/>
    </row>
    <row r="946" spans="4:13" ht="12.75" customHeight="1">
      <c r="D946" s="430"/>
      <c r="H946" s="431"/>
      <c r="K946" s="212"/>
      <c r="L946" s="212"/>
      <c r="M946" s="212"/>
    </row>
    <row r="947" spans="4:13" ht="12.75" customHeight="1">
      <c r="D947" s="430"/>
      <c r="H947" s="431"/>
      <c r="K947" s="212"/>
      <c r="L947" s="212"/>
      <c r="M947" s="212"/>
    </row>
    <row r="948" spans="4:13" ht="12.75" customHeight="1">
      <c r="D948" s="430"/>
      <c r="H948" s="431"/>
      <c r="K948" s="212"/>
      <c r="L948" s="212"/>
      <c r="M948" s="212"/>
    </row>
    <row r="949" spans="4:13" ht="12.75" customHeight="1">
      <c r="D949" s="430"/>
      <c r="H949" s="431"/>
      <c r="K949" s="212"/>
      <c r="L949" s="212"/>
      <c r="M949" s="212"/>
    </row>
    <row r="950" spans="4:13" ht="12.75" customHeight="1">
      <c r="D950" s="430"/>
      <c r="H950" s="431"/>
      <c r="K950" s="212"/>
      <c r="L950" s="212"/>
      <c r="M950" s="212"/>
    </row>
    <row r="951" spans="4:13" ht="12.75" customHeight="1">
      <c r="D951" s="430"/>
      <c r="H951" s="431"/>
      <c r="K951" s="212"/>
      <c r="L951" s="212"/>
      <c r="M951" s="212"/>
    </row>
    <row r="952" spans="4:13" ht="12.75" customHeight="1">
      <c r="D952" s="430"/>
      <c r="H952" s="431"/>
      <c r="K952" s="212"/>
      <c r="L952" s="212"/>
      <c r="M952" s="212"/>
    </row>
    <row r="953" spans="4:13" ht="12.75" customHeight="1">
      <c r="D953" s="430"/>
      <c r="H953" s="431"/>
      <c r="K953" s="212"/>
      <c r="L953" s="212"/>
      <c r="M953" s="212"/>
    </row>
    <row r="954" spans="4:13" ht="12.75" customHeight="1">
      <c r="D954" s="430"/>
      <c r="H954" s="431"/>
      <c r="K954" s="212"/>
      <c r="L954" s="212"/>
      <c r="M954" s="212"/>
    </row>
    <row r="955" spans="4:13" ht="12.75" customHeight="1">
      <c r="D955" s="430"/>
      <c r="H955" s="431"/>
      <c r="K955" s="212"/>
      <c r="L955" s="212"/>
      <c r="M955" s="212"/>
    </row>
    <row r="956" spans="4:13" ht="12.75" customHeight="1">
      <c r="D956" s="430"/>
      <c r="H956" s="431"/>
      <c r="K956" s="212"/>
      <c r="L956" s="212"/>
      <c r="M956" s="212"/>
    </row>
    <row r="957" spans="4:13" ht="12.75" customHeight="1">
      <c r="D957" s="430"/>
      <c r="H957" s="431"/>
      <c r="K957" s="212"/>
      <c r="L957" s="212"/>
      <c r="M957" s="212"/>
    </row>
    <row r="958" spans="4:13" ht="12.75" customHeight="1">
      <c r="D958" s="430"/>
      <c r="H958" s="431"/>
      <c r="K958" s="212"/>
      <c r="L958" s="212"/>
      <c r="M958" s="212"/>
    </row>
    <row r="959" spans="4:13" ht="12.75" customHeight="1">
      <c r="D959" s="430"/>
      <c r="H959" s="431"/>
      <c r="K959" s="212"/>
      <c r="L959" s="212"/>
      <c r="M959" s="212"/>
    </row>
    <row r="960" spans="4:13" ht="12.75" customHeight="1">
      <c r="D960" s="430"/>
      <c r="H960" s="431"/>
      <c r="K960" s="212"/>
      <c r="L960" s="212"/>
      <c r="M960" s="212"/>
    </row>
    <row r="961" spans="4:13" ht="12.75" customHeight="1">
      <c r="D961" s="430"/>
      <c r="H961" s="431"/>
      <c r="K961" s="212"/>
      <c r="L961" s="212"/>
      <c r="M961" s="212"/>
    </row>
    <row r="962" spans="4:13" ht="12.75" customHeight="1">
      <c r="D962" s="430"/>
      <c r="H962" s="431"/>
      <c r="K962" s="212"/>
      <c r="L962" s="212"/>
      <c r="M962" s="212"/>
    </row>
    <row r="963" spans="4:13" ht="12.75" customHeight="1">
      <c r="D963" s="430"/>
      <c r="H963" s="431"/>
      <c r="K963" s="212"/>
      <c r="L963" s="212"/>
      <c r="M963" s="212"/>
    </row>
    <row r="964" spans="4:13" ht="12.75" customHeight="1">
      <c r="D964" s="430"/>
      <c r="H964" s="431"/>
      <c r="K964" s="212"/>
      <c r="L964" s="212"/>
      <c r="M964" s="212"/>
    </row>
    <row r="965" spans="4:13" ht="12.75" customHeight="1">
      <c r="D965" s="430"/>
      <c r="H965" s="431"/>
      <c r="K965" s="212"/>
      <c r="L965" s="212"/>
      <c r="M965" s="212"/>
    </row>
    <row r="966" spans="4:13" ht="12.75" customHeight="1">
      <c r="D966" s="430"/>
      <c r="H966" s="431"/>
      <c r="K966" s="212"/>
      <c r="L966" s="212"/>
      <c r="M966" s="212"/>
    </row>
    <row r="967" spans="4:13" ht="12.75" customHeight="1">
      <c r="D967" s="430"/>
      <c r="H967" s="431"/>
      <c r="K967" s="212"/>
      <c r="L967" s="212"/>
      <c r="M967" s="212"/>
    </row>
    <row r="968" spans="4:13" ht="12.75" customHeight="1">
      <c r="D968" s="430"/>
      <c r="H968" s="431"/>
      <c r="K968" s="212"/>
      <c r="L968" s="212"/>
      <c r="M968" s="212"/>
    </row>
    <row r="969" spans="4:13" ht="12.75" customHeight="1">
      <c r="D969" s="430"/>
      <c r="H969" s="431"/>
      <c r="K969" s="212"/>
      <c r="L969" s="212"/>
      <c r="M969" s="212"/>
    </row>
    <row r="970" spans="4:13" ht="12.75" customHeight="1">
      <c r="D970" s="430"/>
      <c r="H970" s="431"/>
      <c r="K970" s="212"/>
      <c r="L970" s="212"/>
      <c r="M970" s="212"/>
    </row>
    <row r="971" spans="4:13" ht="12.75" customHeight="1">
      <c r="D971" s="430"/>
      <c r="H971" s="431"/>
      <c r="K971" s="212"/>
      <c r="L971" s="212"/>
      <c r="M971" s="212"/>
    </row>
    <row r="972" spans="4:13" ht="12.75" customHeight="1">
      <c r="D972" s="430"/>
      <c r="H972" s="431"/>
      <c r="K972" s="212"/>
      <c r="L972" s="212"/>
      <c r="M972" s="212"/>
    </row>
    <row r="973" spans="4:13" ht="12.75" customHeight="1">
      <c r="D973" s="430"/>
      <c r="H973" s="431"/>
      <c r="K973" s="212"/>
      <c r="L973" s="212"/>
      <c r="M973" s="212"/>
    </row>
    <row r="974" spans="4:13" ht="12.75" customHeight="1">
      <c r="D974" s="430"/>
      <c r="H974" s="431"/>
      <c r="K974" s="212"/>
      <c r="L974" s="212"/>
      <c r="M974" s="212"/>
    </row>
    <row r="975" spans="4:13" ht="12.75" customHeight="1">
      <c r="D975" s="430"/>
      <c r="H975" s="431"/>
      <c r="K975" s="212"/>
      <c r="L975" s="212"/>
      <c r="M975" s="212"/>
    </row>
    <row r="976" spans="4:13" ht="12.75" customHeight="1">
      <c r="D976" s="430"/>
      <c r="H976" s="431"/>
      <c r="K976" s="212"/>
      <c r="L976" s="212"/>
      <c r="M976" s="212"/>
    </row>
    <row r="977" spans="4:13" ht="12.75" customHeight="1">
      <c r="D977" s="430"/>
      <c r="H977" s="431"/>
      <c r="K977" s="212"/>
      <c r="L977" s="212"/>
      <c r="M977" s="212"/>
    </row>
    <row r="978" spans="4:13" ht="12.75" customHeight="1">
      <c r="D978" s="430"/>
      <c r="H978" s="431"/>
      <c r="K978" s="212"/>
      <c r="L978" s="212"/>
      <c r="M978" s="212"/>
    </row>
    <row r="979" spans="4:13" ht="12.75" customHeight="1">
      <c r="D979" s="430"/>
      <c r="H979" s="431"/>
      <c r="K979" s="212"/>
      <c r="L979" s="212"/>
      <c r="M979" s="212"/>
    </row>
    <row r="980" spans="4:13" ht="12.75" customHeight="1">
      <c r="D980" s="430"/>
      <c r="H980" s="431"/>
      <c r="K980" s="212"/>
      <c r="L980" s="212"/>
      <c r="M980" s="212"/>
    </row>
    <row r="981" spans="4:13" ht="12.75" customHeight="1">
      <c r="D981" s="430"/>
      <c r="H981" s="431"/>
      <c r="K981" s="212"/>
      <c r="L981" s="212"/>
      <c r="M981" s="212"/>
    </row>
    <row r="982" spans="4:13" ht="12.75" customHeight="1">
      <c r="D982" s="430"/>
      <c r="H982" s="431"/>
      <c r="K982" s="212"/>
      <c r="L982" s="212"/>
      <c r="M982" s="212"/>
    </row>
    <row r="983" spans="4:13" ht="12.75" customHeight="1">
      <c r="D983" s="430"/>
      <c r="H983" s="431"/>
      <c r="K983" s="212"/>
      <c r="L983" s="212"/>
      <c r="M983" s="212"/>
    </row>
    <row r="984" spans="4:13" ht="12.75" customHeight="1">
      <c r="D984" s="430"/>
      <c r="H984" s="431"/>
      <c r="K984" s="212"/>
      <c r="L984" s="212"/>
      <c r="M984" s="212"/>
    </row>
    <row r="985" spans="4:13" ht="12.75" customHeight="1">
      <c r="D985" s="430"/>
      <c r="H985" s="431"/>
      <c r="K985" s="212"/>
      <c r="L985" s="212"/>
      <c r="M985" s="212"/>
    </row>
    <row r="986" spans="4:13" ht="12.75" customHeight="1">
      <c r="D986" s="430"/>
      <c r="H986" s="431"/>
      <c r="K986" s="212"/>
      <c r="L986" s="212"/>
      <c r="M986" s="212"/>
    </row>
    <row r="987" spans="4:13" ht="12.75" customHeight="1">
      <c r="D987" s="430"/>
      <c r="H987" s="431"/>
      <c r="K987" s="212"/>
      <c r="L987" s="212"/>
      <c r="M987" s="212"/>
    </row>
    <row r="988" spans="4:13" ht="12.75" customHeight="1">
      <c r="D988" s="430"/>
      <c r="H988" s="431"/>
      <c r="K988" s="212"/>
      <c r="L988" s="212"/>
      <c r="M988" s="212"/>
    </row>
    <row r="989" spans="4:13" ht="12.75" customHeight="1">
      <c r="D989" s="430"/>
      <c r="H989" s="431"/>
      <c r="K989" s="212"/>
      <c r="L989" s="212"/>
      <c r="M989" s="212"/>
    </row>
    <row r="990" spans="4:13" ht="12.75" customHeight="1">
      <c r="D990" s="430"/>
      <c r="H990" s="431"/>
      <c r="K990" s="212"/>
      <c r="L990" s="212"/>
      <c r="M990" s="212"/>
    </row>
    <row r="991" spans="4:13" ht="12.75" customHeight="1">
      <c r="D991" s="430"/>
      <c r="H991" s="431"/>
      <c r="K991" s="212"/>
      <c r="L991" s="212"/>
      <c r="M991" s="212"/>
    </row>
    <row r="992" spans="4:13" ht="12.75" customHeight="1">
      <c r="D992" s="430"/>
      <c r="H992" s="431"/>
      <c r="K992" s="212"/>
      <c r="L992" s="212"/>
      <c r="M992" s="212"/>
    </row>
    <row r="993" spans="4:13" ht="12.75" customHeight="1">
      <c r="D993" s="430"/>
      <c r="H993" s="431"/>
      <c r="K993" s="212"/>
      <c r="L993" s="212"/>
      <c r="M993" s="212"/>
    </row>
    <row r="994" spans="4:13" ht="12.75" customHeight="1">
      <c r="D994" s="430"/>
      <c r="H994" s="431"/>
      <c r="K994" s="212"/>
      <c r="L994" s="212"/>
      <c r="M994" s="212"/>
    </row>
    <row r="995" spans="4:13" ht="12.75" customHeight="1">
      <c r="D995" s="430"/>
      <c r="H995" s="431"/>
      <c r="K995" s="212"/>
      <c r="L995" s="212"/>
      <c r="M995" s="212"/>
    </row>
    <row r="996" spans="4:13" ht="12.75" customHeight="1">
      <c r="D996" s="430"/>
      <c r="H996" s="431"/>
      <c r="K996" s="212"/>
      <c r="L996" s="212"/>
      <c r="M996" s="212"/>
    </row>
  </sheetData>
  <sheetProtection password="C6F3" sheet="1" objects="1" scenarios="1"/>
  <mergeCells count="26">
    <mergeCell ref="B31:B44"/>
    <mergeCell ref="A2:A15"/>
    <mergeCell ref="B16:B24"/>
    <mergeCell ref="B25:B30"/>
    <mergeCell ref="B2:B15"/>
    <mergeCell ref="A16:A44"/>
    <mergeCell ref="B50:B55"/>
    <mergeCell ref="B45:B49"/>
    <mergeCell ref="B77:B82"/>
    <mergeCell ref="B83:B88"/>
    <mergeCell ref="A105:A112"/>
    <mergeCell ref="B66:B76"/>
    <mergeCell ref="A83:A89"/>
    <mergeCell ref="B56:B65"/>
    <mergeCell ref="B90:B92"/>
    <mergeCell ref="A114:A117"/>
    <mergeCell ref="B97:B99"/>
    <mergeCell ref="B93:B96"/>
    <mergeCell ref="A122:A129"/>
    <mergeCell ref="B122:B125"/>
    <mergeCell ref="B119:B121"/>
    <mergeCell ref="B126:B128"/>
    <mergeCell ref="B105:B113"/>
    <mergeCell ref="B114:B117"/>
    <mergeCell ref="B100:B103"/>
    <mergeCell ref="A90:A103"/>
  </mergeCells>
  <conditionalFormatting sqref="C1 J1 F2:F13 M2:M6 F16:F23 M16:M18 F25:F29 M25:M29 F31:F42 M31:M36 F45:F48 M45:M46 F50:F54 M50:M52 F56:F64 M56:M61 F66:F75 M66:M72 F77:F80 M77:M78 F83:F87 M83:M85 F90:F91 M90 F93:F95 M93 F97:F98 M97:M98 F100:F102 M100:M101 F105:F111 M105:M108 F114:F116 M114:M116 F119:F120 M119:M120 F122:F124 M122:M123 F126:F127 M126:M127 F129:F131 M129:M130">
    <cfRule type="containsBlanks" dxfId="131" priority="1">
      <formula>LEN(TRIM(C1))=0</formula>
    </cfRule>
  </conditionalFormatting>
  <conditionalFormatting sqref="H2:H13 H15:H23 H25:H29 H31:H42 H45:H48 H50:H54 H56:H64 H66:H75 H77:H80 H83:H87 H89:H91 H93:H95 H97:H98 H100:H102 H104:H111 H114:H116 H118:H120 H122:H124 H126:H127 H129:H131">
    <cfRule type="containsBlanks" dxfId="130" priority="2">
      <formula>LEN(TRIM(H2))=0</formula>
    </cfRule>
  </conditionalFormatting>
  <conditionalFormatting sqref="C42:C43 J85">
    <cfRule type="containsBlanks" dxfId="129" priority="3" stopIfTrue="1">
      <formula>LEN(TRIM(C42))=0</formula>
    </cfRule>
  </conditionalFormatting>
  <conditionalFormatting sqref="J33 C61 J97:J98">
    <cfRule type="containsBlanks" dxfId="128" priority="4" stopIfTrue="1">
      <formula>LEN(TRIM(J33))=0</formula>
    </cfRule>
  </conditionalFormatting>
  <conditionalFormatting sqref="J97:J98">
    <cfRule type="containsBlanks" dxfId="127" priority="5" stopIfTrue="1">
      <formula>LEN(TRIM(J97))=0</formula>
    </cfRule>
  </conditionalFormatting>
  <conditionalFormatting sqref="D2:D13 K2:K5 D16:D23 K16:K18 D25:D29 K25:K28 D31:D42 K31:K36 D45:D48 K45:K46 D50:D54 K50:K52 D56:D64 K56:K61 D66:D75 K66:K72 D77:D80 K77 D83:D87 K83:K85 D90:D91 K90 D93:D95 K93 D97:D98 K97:K98 D100:D102 K100:K101 D105:D111 K105:K108 D114:D116 K114:K116 D119:D120 K119:K120 D122:D124 K122:K123 D126:D127 K126 D129:D131 K129:K130">
    <cfRule type="containsText" dxfId="126" priority="6" operator="containsText" text="Y">
      <formula>NOT(ISERROR(SEARCH(("Y"),(D2))))</formula>
    </cfRule>
  </conditionalFormatting>
  <conditionalFormatting sqref="D2:D13 K2:K5 D16:D23 K16:K18 D25:D29 K25:K28 D31:D42 K31:K36 D45:D48 K45:K46 D50:D54 K50:K52 D56:D64 K56:K61 D66:D75 K66:K72 D77:D80 K77 D83:D87 K83:K85 D90:D91 K90 D93:D95 K93 D97:D98 K97:K98 D100:D102 K100:K101 D105:D111 K105:K108 D114:D116 K114:K116 D119:D120 K119:K120 D122:D124 K122:K123 D126:D127 K126 D129:D131 K129:K130">
    <cfRule type="containsText" dxfId="125" priority="7" operator="containsText" text="N">
      <formula>NOT(ISERROR(SEARCH(("N"),(D2))))</formula>
    </cfRule>
  </conditionalFormatting>
  <conditionalFormatting sqref="D2:D13 K2:K5 D16:D23 K16:K18 D25:D29 K25:K28 D31:D42 K31:K36 D45:D48 K45:K46 D50:D54 K50:K52 D56:D64 K56:K61 D66:D75 K66:K72 D77:D80 K77 D83:D87 K83:K85 D90:D91 K90 D93:D95 K93 D97:D98 K97:K98 D100:D102 K100:K101 D105:D111 K105:K108 D114:D116 K114:K116 D119:D120 K119:K120 D122:D124 K122:K123 D126:D127 K126 D129:D131 K129:K130">
    <cfRule type="containsBlanks" dxfId="124" priority="8">
      <formula>LEN(TRIM(D2))=0</formula>
    </cfRule>
  </conditionalFormatting>
  <conditionalFormatting sqref="D71:D75 H71:H75 J71:J75 D77:D80 H77:H80 J78:K80 E82:E87 F82 G82:G87 L82:L85 M82 D83:D87 H83:H87 K83:K87 N83 N85 J86:J87 H89:H91 D90:E91 K90 L90:L98 J91 M91:M92 D93:E95 H93:H95 K93 J94:J95 M94:M96 D97:E98 H97:H98 K97:K98 D100:E102 G100 H100:H102 K100:K102 L100:L101 J102 E104:E111 F104:G104 H104:H111 L104:L108 M104 D105:D111 K105:K111 J109:J111 E113:E116 F113:G113 L113:L116 M113 D114:D116 H114:H116 K114:K116 E118:E120 F118:G118 H118:H120 L118:L120 M118 D119:D120 K119:K120 D122:E124 H122:H124 K122:K124 L122:L123 J124 D126:E127 H126:H127 K126 L126:L127 D129:E131 H129:H131 K129:K131 L129:L130 J131">
    <cfRule type="containsBlanks" dxfId="123" priority="9" stopIfTrue="1">
      <formula>LEN(TRIM(D71))=0</formula>
    </cfRule>
  </conditionalFormatting>
  <conditionalFormatting sqref="K70:K75 K77">
    <cfRule type="containsBlanks" dxfId="122" priority="10" stopIfTrue="1">
      <formula>LEN(TRIM(K70))=0</formula>
    </cfRule>
  </conditionalFormatting>
  <conditionalFormatting sqref="K87 K90:K91 K93:K95 K97:K98 K100:K101 K104:K108 K114:K116">
    <cfRule type="containsBlanks" dxfId="121" priority="11" stopIfTrue="1">
      <formula>LEN(TRIM(K87))=0</formula>
    </cfRule>
  </conditionalFormatting>
  <conditionalFormatting sqref="K115:K116 K118">
    <cfRule type="containsBlanks" dxfId="120" priority="12" stopIfTrue="1">
      <formula>LEN(TRIM(K115))=0</formula>
    </cfRule>
  </conditionalFormatting>
  <conditionalFormatting sqref="K5">
    <cfRule type="containsBlanks" dxfId="119" priority="13" stopIfTrue="1">
      <formula>LEN(TRIM(K5))=0</formula>
    </cfRule>
  </conditionalFormatting>
  <conditionalFormatting sqref="K18">
    <cfRule type="containsBlanks" dxfId="118" priority="14" stopIfTrue="1">
      <formula>LEN(TRIM(K18))=0</formula>
    </cfRule>
  </conditionalFormatting>
  <conditionalFormatting sqref="H36:H42 J36:J42 H44:H48 J44 H50:H54 H56:H64 H66:H75 H77:H80 H82:H87 H89:H91 H93:H95 H97:H98 H100:H102 H104:H111 H113:H116 H118:H120 H122:H124 H126:H127 H129:H131">
    <cfRule type="containsBlanks" dxfId="117" priority="15" stopIfTrue="1">
      <formula>LEN(TRIM(H36))=0</formula>
    </cfRule>
  </conditionalFormatting>
  <conditionalFormatting sqref="K35:K42 K44">
    <cfRule type="containsBlanks" dxfId="116" priority="16" stopIfTrue="1">
      <formula>LEN(TRIM(K35))=0</formula>
    </cfRule>
  </conditionalFormatting>
  <conditionalFormatting sqref="H53:H54 J53:J54 H56:H64 H66:H75 H77:H80 H82:H87 H89:H91 H93:H95 H97:H98 H100:H102 H104:H111 H113:H116 H118:H120 H122:H124 H126:H127 H129:H131">
    <cfRule type="containsBlanks" dxfId="115" priority="17" stopIfTrue="1">
      <formula>LEN(TRIM(H53))=0</formula>
    </cfRule>
  </conditionalFormatting>
  <conditionalFormatting sqref="K52:K54">
    <cfRule type="containsBlanks" dxfId="114" priority="18" stopIfTrue="1">
      <formula>LEN(TRIM(K52))=0</formula>
    </cfRule>
  </conditionalFormatting>
  <conditionalFormatting sqref="J59 H60:H64 J62:J64 H66:H75 H77:H80 H83:H87 H89:H91 H93:H95 H97:H98 H100:H102 H104:H111 H114:H116 H118:H120 H122:H124 H126:H127 H129:H131">
    <cfRule type="containsBlanks" dxfId="113" priority="19" stopIfTrue="1">
      <formula>LEN(TRIM(J59))=0</formula>
    </cfRule>
  </conditionalFormatting>
  <conditionalFormatting sqref="K59:K64">
    <cfRule type="containsBlanks" dxfId="112" priority="20" stopIfTrue="1">
      <formula>LEN(TRIM(K59))=0</formula>
    </cfRule>
  </conditionalFormatting>
  <conditionalFormatting sqref="E44:G44 L44:M44 E82:G82 L82:M82 L91:M92 L94:M96 E104:G104 L104:M104 E113:G113 L113:M113 E118:G118 L118:M118">
    <cfRule type="cellIs" dxfId="111" priority="21" operator="greaterThanOrEqual">
      <formula>30</formula>
    </cfRule>
  </conditionalFormatting>
  <conditionalFormatting sqref="E44:G44 L44:M44 E82:G82 L82:M82 L91:M92 L94:M96 E104:G104 L104:M104 E113:G113 L113:M113 E118:G118 L118:M118">
    <cfRule type="cellIs" dxfId="110" priority="22" operator="lessThan">
      <formula>30</formula>
    </cfRule>
  </conditionalFormatting>
  <conditionalFormatting sqref="H2:H13 H15:H23 H25:H29 H31:H42 H44:H48 H50:H54 H56:H64 H66:H75 H77:H80 H82:H87 H89:H91 H93:H95 H97:H98 H100:H102 H104:H111 H113:H116 H118:H120 H122:H124 H126:H127 H129:H131">
    <cfRule type="colorScale" priority="23">
      <colorScale>
        <cfvo type="formula" val="1"/>
        <cfvo type="formula" val="2"/>
        <cfvo type="formula" val="3"/>
        <color rgb="FFFF0000"/>
        <color rgb="FFFFFF00"/>
        <color rgb="FF00FF00"/>
      </colorScale>
    </cfRule>
  </conditionalFormatting>
  <conditionalFormatting sqref="E15:G15">
    <cfRule type="cellIs" dxfId="109" priority="24" operator="lessThan">
      <formula>60</formula>
    </cfRule>
  </conditionalFormatting>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8FF00"/>
  </sheetPr>
  <dimension ref="A1:O939"/>
  <sheetViews>
    <sheetView showGridLines="0" workbookViewId="0">
      <pane xSplit="2" ySplit="1" topLeftCell="C2" activePane="bottomRight" state="frozen"/>
      <selection pane="topRight" activeCell="C1" sqref="C1"/>
      <selection pane="bottomLeft" activeCell="A2" sqref="A2"/>
      <selection pane="bottomRight" activeCell="H2" sqref="H2"/>
    </sheetView>
  </sheetViews>
  <sheetFormatPr baseColWidth="10" defaultColWidth="17.33203125" defaultRowHeight="15" customHeight="1"/>
  <cols>
    <col min="1" max="1" width="16" customWidth="1"/>
    <col min="2" max="2" width="22.5" customWidth="1"/>
    <col min="3" max="3" width="53.83203125" customWidth="1"/>
    <col min="4" max="4" width="4.6640625" customWidth="1"/>
    <col min="5" max="5" width="7.33203125" hidden="1" customWidth="1"/>
    <col min="6" max="7" width="4.6640625" hidden="1" customWidth="1"/>
    <col min="8" max="8" width="6" customWidth="1"/>
    <col min="9" max="9" width="6.5" customWidth="1"/>
    <col min="10" max="10" width="58.33203125" customWidth="1"/>
    <col min="11" max="11" width="4.5" customWidth="1"/>
    <col min="12" max="12" width="7.5" hidden="1" customWidth="1"/>
    <col min="13" max="13" width="4.5" hidden="1" customWidth="1"/>
    <col min="14" max="14" width="5.5" hidden="1" customWidth="1"/>
    <col min="15" max="15" width="7.5" customWidth="1"/>
    <col min="16" max="33" width="17.1640625" customWidth="1"/>
  </cols>
  <sheetData>
    <row r="1" spans="1:15" ht="24">
      <c r="A1" s="22" t="s">
        <v>19</v>
      </c>
      <c r="B1" s="22" t="s">
        <v>21</v>
      </c>
      <c r="C1" s="24" t="s">
        <v>23</v>
      </c>
      <c r="D1" s="26" t="s">
        <v>25</v>
      </c>
      <c r="E1" s="257"/>
      <c r="F1" s="258"/>
      <c r="G1" s="259"/>
      <c r="H1" s="31" t="s">
        <v>42</v>
      </c>
      <c r="I1" s="33"/>
      <c r="J1" s="35" t="s">
        <v>29</v>
      </c>
      <c r="K1" s="26" t="s">
        <v>25</v>
      </c>
      <c r="L1" s="260"/>
      <c r="M1" s="260"/>
      <c r="O1" s="37"/>
    </row>
    <row r="2" spans="1:15" ht="16.5" customHeight="1">
      <c r="A2" s="468" t="s">
        <v>46</v>
      </c>
      <c r="B2" s="471" t="s">
        <v>60</v>
      </c>
      <c r="C2" s="64" t="str">
        <f>Glossary!B61</f>
        <v>Customer Roadmap</v>
      </c>
      <c r="D2" s="453"/>
      <c r="E2" t="b">
        <f t="shared" ref="E2:E8" si="0">IF(OR(D2="y",D2="n"), G2)</f>
        <v>0</v>
      </c>
      <c r="F2" s="51" t="str">
        <f t="shared" ref="F2:F8" si="1">IF(D2 = "Y",E2, IF(D2="n",0, ""))</f>
        <v/>
      </c>
      <c r="G2" s="53">
        <v>5</v>
      </c>
      <c r="H2" s="400"/>
      <c r="I2" s="56"/>
      <c r="J2" s="137" t="str">
        <f>Glossary!B104</f>
        <v>High Level Solution Design</v>
      </c>
      <c r="K2" s="397"/>
      <c r="L2" t="b">
        <f t="shared" ref="L2:L3" si="2">IF(OR(K2="y",K2="n"), N2)</f>
        <v>0</v>
      </c>
      <c r="M2" s="51" t="str">
        <f t="shared" ref="M2:M3" si="3">IF(K2 = "Y",L2, IF(K2="n",0, ""))</f>
        <v/>
      </c>
      <c r="N2" s="63">
        <v>25</v>
      </c>
      <c r="O2" s="37"/>
    </row>
    <row r="3" spans="1:15" ht="16.5" customHeight="1">
      <c r="A3" s="469"/>
      <c r="B3" s="469"/>
      <c r="C3" s="58" t="str">
        <f>Glossary!B184</f>
        <v>Project Scope Document</v>
      </c>
      <c r="D3" s="402"/>
      <c r="E3" t="b">
        <f t="shared" si="0"/>
        <v>0</v>
      </c>
      <c r="F3" s="51" t="str">
        <f t="shared" si="1"/>
        <v/>
      </c>
      <c r="G3" s="53">
        <v>15</v>
      </c>
      <c r="H3" s="400"/>
      <c r="I3" s="56"/>
      <c r="J3" s="58" t="str">
        <f>Glossary!B198</f>
        <v>Requirements Documentation</v>
      </c>
      <c r="K3" s="402"/>
      <c r="L3" t="b">
        <f t="shared" si="2"/>
        <v>0</v>
      </c>
      <c r="M3" s="51" t="str">
        <f t="shared" si="3"/>
        <v/>
      </c>
      <c r="N3" s="53">
        <v>5</v>
      </c>
      <c r="O3" s="37"/>
    </row>
    <row r="4" spans="1:15" ht="16.5" customHeight="1">
      <c r="A4" s="469"/>
      <c r="B4" s="469"/>
      <c r="C4" s="64" t="str">
        <f>Glossary!B202</f>
        <v>ROI expectations</v>
      </c>
      <c r="D4" s="402"/>
      <c r="E4" t="b">
        <f t="shared" si="0"/>
        <v>0</v>
      </c>
      <c r="F4" s="51" t="str">
        <f t="shared" si="1"/>
        <v/>
      </c>
      <c r="G4" s="53">
        <v>10</v>
      </c>
      <c r="H4" s="400"/>
      <c r="I4" s="56"/>
      <c r="J4" s="64"/>
      <c r="K4" s="56"/>
      <c r="L4" s="63"/>
      <c r="M4" s="51"/>
      <c r="O4" s="37"/>
    </row>
    <row r="5" spans="1:15" ht="16.5" customHeight="1">
      <c r="A5" s="469"/>
      <c r="B5" s="469"/>
      <c r="C5" s="64" t="str">
        <f>Glossary!B86</f>
        <v>Experience Designs Requirements</v>
      </c>
      <c r="D5" s="402"/>
      <c r="E5" t="b">
        <f t="shared" si="0"/>
        <v>0</v>
      </c>
      <c r="F5" s="51" t="str">
        <f t="shared" si="1"/>
        <v/>
      </c>
      <c r="G5" s="53">
        <v>15</v>
      </c>
      <c r="H5" s="400"/>
      <c r="I5" s="56"/>
      <c r="J5" s="137"/>
      <c r="K5" s="37"/>
      <c r="L5" s="265"/>
      <c r="M5" s="265"/>
      <c r="O5" s="37"/>
    </row>
    <row r="6" spans="1:15" ht="16.5" customHeight="1">
      <c r="A6" s="469"/>
      <c r="B6" s="469"/>
      <c r="C6" s="64" t="str">
        <f>Glossary!B34</f>
        <v>Business Requirements Documentation</v>
      </c>
      <c r="D6" s="402"/>
      <c r="E6" t="b">
        <f t="shared" si="0"/>
        <v>0</v>
      </c>
      <c r="F6" s="51" t="str">
        <f t="shared" si="1"/>
        <v/>
      </c>
      <c r="G6" s="53">
        <v>20</v>
      </c>
      <c r="H6" s="400"/>
      <c r="I6" s="56"/>
      <c r="J6" s="137"/>
      <c r="K6" s="37"/>
      <c r="L6" s="265"/>
      <c r="M6" s="265"/>
      <c r="O6" s="37"/>
    </row>
    <row r="7" spans="1:15" ht="16.5" customHeight="1">
      <c r="A7" s="469"/>
      <c r="B7" s="469"/>
      <c r="C7" s="269" t="str">
        <f>Glossary!B245</f>
        <v>Technical Requirements</v>
      </c>
      <c r="D7" s="402"/>
      <c r="E7" t="b">
        <f t="shared" si="0"/>
        <v>0</v>
      </c>
      <c r="F7" s="51" t="str">
        <f t="shared" si="1"/>
        <v/>
      </c>
      <c r="G7" s="53">
        <v>20</v>
      </c>
      <c r="H7" s="400"/>
      <c r="I7" s="56"/>
      <c r="J7" s="192"/>
      <c r="K7" s="193"/>
      <c r="L7" s="193"/>
      <c r="M7" s="193"/>
      <c r="O7" s="37"/>
    </row>
    <row r="8" spans="1:15" ht="16.5" customHeight="1">
      <c r="A8" s="469"/>
      <c r="B8" s="469"/>
      <c r="C8" s="65" t="str">
        <f>Glossary!B233</f>
        <v>Success criteria and definition</v>
      </c>
      <c r="D8" s="402"/>
      <c r="E8" t="b">
        <f t="shared" si="0"/>
        <v>0</v>
      </c>
      <c r="F8" s="51" t="str">
        <f t="shared" si="1"/>
        <v/>
      </c>
      <c r="G8" s="69">
        <v>15</v>
      </c>
      <c r="H8" s="400"/>
      <c r="I8" s="56"/>
      <c r="J8" s="95"/>
      <c r="K8" s="123"/>
      <c r="L8" s="97"/>
      <c r="M8" s="92"/>
      <c r="O8" s="37"/>
    </row>
    <row r="9" spans="1:15" ht="16.5" customHeight="1">
      <c r="A9" s="470"/>
      <c r="B9" s="470"/>
      <c r="C9" s="270"/>
      <c r="D9" s="270"/>
      <c r="E9" s="270"/>
      <c r="F9" s="270"/>
      <c r="G9" s="270"/>
      <c r="H9" s="270"/>
      <c r="I9" s="157"/>
      <c r="J9" s="270"/>
      <c r="K9" s="270"/>
      <c r="L9" s="97"/>
      <c r="M9" s="92"/>
      <c r="O9" s="37"/>
    </row>
    <row r="10" spans="1:15" ht="16.5" hidden="1" customHeight="1">
      <c r="A10" s="88"/>
      <c r="B10" s="96"/>
      <c r="C10" s="90"/>
      <c r="D10" s="273">
        <f>COUNTA(D2:D7,K2:K3)/COUNTA(F2:F7,M2:M3)</f>
        <v>0</v>
      </c>
      <c r="E10" s="53">
        <f t="shared" ref="E10:F10" si="4">SUM(E2:E8)</f>
        <v>0</v>
      </c>
      <c r="F10" s="51">
        <f t="shared" si="4"/>
        <v>0</v>
      </c>
      <c r="G10" s="51"/>
      <c r="H10" s="94" t="str">
        <f>IFERROR(AVERAGE(H2:H7),"")</f>
        <v/>
      </c>
      <c r="I10" s="56"/>
      <c r="J10" s="95"/>
      <c r="K10" s="97"/>
      <c r="L10" s="97">
        <f t="shared" ref="L10:M10" si="5">SUM(L2:L3)</f>
        <v>0</v>
      </c>
      <c r="M10" s="92">
        <f t="shared" si="5"/>
        <v>0</v>
      </c>
      <c r="O10" s="37"/>
    </row>
    <row r="11" spans="1:15" ht="16.5" customHeight="1">
      <c r="A11" s="468" t="s">
        <v>47</v>
      </c>
      <c r="B11" s="472" t="s">
        <v>70</v>
      </c>
      <c r="C11" s="64" t="str">
        <f>Glossary!B61</f>
        <v>Customer Roadmap</v>
      </c>
      <c r="D11" s="402"/>
      <c r="E11" t="b">
        <f t="shared" ref="E11:E17" si="6">IF(OR(D11="y",D11="n"), G11)</f>
        <v>0</v>
      </c>
      <c r="F11" s="51" t="str">
        <f t="shared" ref="F11:F17" si="7">IF(D11 = "Y",E11, IF(D11="n",0, ""))</f>
        <v/>
      </c>
      <c r="G11" s="53">
        <v>5</v>
      </c>
      <c r="H11" s="400"/>
      <c r="I11" s="56"/>
      <c r="J11" s="101" t="str">
        <f>Glossary!B166</f>
        <v>Performance KPIs</v>
      </c>
      <c r="K11" s="397"/>
      <c r="L11" t="b">
        <f t="shared" ref="L11:L13" si="8">IF(OR(K11="y",K11="n"), N11)</f>
        <v>0</v>
      </c>
      <c r="M11" s="51" t="str">
        <f t="shared" ref="M11:M13" si="9">IF(K11 = "Y",L11, IF(K11="n",0, ""))</f>
        <v/>
      </c>
      <c r="N11" s="63">
        <v>25</v>
      </c>
      <c r="O11" s="37"/>
    </row>
    <row r="12" spans="1:15" ht="16.5" customHeight="1">
      <c r="A12" s="469"/>
      <c r="B12" s="469"/>
      <c r="C12" s="64" t="str">
        <f>Glossary!B202</f>
        <v>ROI expectations</v>
      </c>
      <c r="D12" s="402"/>
      <c r="E12" t="b">
        <f t="shared" si="6"/>
        <v>0</v>
      </c>
      <c r="F12" s="51" t="str">
        <f t="shared" si="7"/>
        <v/>
      </c>
      <c r="G12" s="53">
        <v>10</v>
      </c>
      <c r="H12" s="400"/>
      <c r="I12" s="56"/>
      <c r="J12" s="122" t="str">
        <f>Glossary!B33</f>
        <v>Business KPIs</v>
      </c>
      <c r="K12" s="397"/>
      <c r="L12" t="b">
        <f t="shared" si="8"/>
        <v>0</v>
      </c>
      <c r="M12" s="51" t="str">
        <f t="shared" si="9"/>
        <v/>
      </c>
      <c r="N12" s="63">
        <v>25</v>
      </c>
      <c r="O12" s="37"/>
    </row>
    <row r="13" spans="1:15" ht="16.5" customHeight="1">
      <c r="A13" s="469"/>
      <c r="B13" s="469"/>
      <c r="C13" s="83" t="str">
        <f>Glossary!B33</f>
        <v>Business KPIs</v>
      </c>
      <c r="D13" s="402"/>
      <c r="E13" t="b">
        <f t="shared" si="6"/>
        <v>0</v>
      </c>
      <c r="F13" s="51" t="str">
        <f t="shared" si="7"/>
        <v/>
      </c>
      <c r="G13" s="53">
        <v>25</v>
      </c>
      <c r="H13" s="400"/>
      <c r="I13" s="56"/>
      <c r="J13" s="45" t="s">
        <v>111</v>
      </c>
      <c r="K13" s="397"/>
      <c r="L13" t="b">
        <f t="shared" si="8"/>
        <v>0</v>
      </c>
      <c r="M13" s="51" t="str">
        <f t="shared" si="9"/>
        <v/>
      </c>
      <c r="N13" s="63">
        <v>10</v>
      </c>
      <c r="O13" s="37"/>
    </row>
    <row r="14" spans="1:15" ht="16.5" customHeight="1">
      <c r="A14" s="469"/>
      <c r="B14" s="469"/>
      <c r="C14" s="64" t="str">
        <f>Glossary!B127</f>
        <v>Initial Experience Designs</v>
      </c>
      <c r="D14" s="402"/>
      <c r="E14" t="b">
        <f t="shared" si="6"/>
        <v>0</v>
      </c>
      <c r="F14" s="51" t="str">
        <f t="shared" si="7"/>
        <v/>
      </c>
      <c r="G14" s="53">
        <v>20</v>
      </c>
      <c r="H14" s="400"/>
      <c r="I14" s="56"/>
      <c r="J14" s="37"/>
      <c r="K14" s="162"/>
      <c r="O14" s="37"/>
    </row>
    <row r="15" spans="1:15" ht="16.5" customHeight="1">
      <c r="A15" s="469"/>
      <c r="B15" s="469"/>
      <c r="C15" s="64" t="str">
        <f>Glossary!B104</f>
        <v>High Level Solution Design</v>
      </c>
      <c r="D15" s="402"/>
      <c r="E15" t="b">
        <f t="shared" si="6"/>
        <v>0</v>
      </c>
      <c r="F15" s="51" t="str">
        <f t="shared" si="7"/>
        <v/>
      </c>
      <c r="G15" s="53">
        <v>20</v>
      </c>
      <c r="H15" s="400"/>
      <c r="I15" s="56"/>
      <c r="J15" s="95"/>
      <c r="K15" s="97"/>
      <c r="L15" s="97"/>
      <c r="M15" s="97"/>
      <c r="O15" s="37"/>
    </row>
    <row r="16" spans="1:15" ht="16.5" customHeight="1">
      <c r="A16" s="469"/>
      <c r="B16" s="469"/>
      <c r="C16" s="64" t="str">
        <f>Glossary!B11</f>
        <v>Architecture Draft</v>
      </c>
      <c r="D16" s="402"/>
      <c r="E16" t="b">
        <f t="shared" si="6"/>
        <v>0</v>
      </c>
      <c r="F16" s="51" t="str">
        <f t="shared" si="7"/>
        <v/>
      </c>
      <c r="G16" s="53">
        <v>10</v>
      </c>
      <c r="H16" s="400"/>
      <c r="I16" s="56"/>
      <c r="J16" s="95"/>
      <c r="K16" s="97"/>
      <c r="L16" s="97"/>
      <c r="M16" s="97"/>
      <c r="O16" s="37"/>
    </row>
    <row r="17" spans="1:15" ht="16.5" customHeight="1">
      <c r="A17" s="469"/>
      <c r="B17" s="469"/>
      <c r="C17" s="64" t="str">
        <f>Glossary!B107</f>
        <v xml:space="preserve">Historical performance and historical performance KPIs </v>
      </c>
      <c r="D17" s="402"/>
      <c r="E17" t="b">
        <f t="shared" si="6"/>
        <v>0</v>
      </c>
      <c r="F17" s="51" t="str">
        <f t="shared" si="7"/>
        <v/>
      </c>
      <c r="G17" s="53">
        <v>20</v>
      </c>
      <c r="H17" s="400"/>
      <c r="I17" s="56"/>
      <c r="J17" s="95"/>
      <c r="K17" s="97"/>
      <c r="L17" s="97"/>
      <c r="M17" s="97"/>
      <c r="O17" s="37"/>
    </row>
    <row r="18" spans="1:15" ht="16.5" customHeight="1">
      <c r="A18" s="469"/>
      <c r="B18" s="470"/>
      <c r="C18" s="276"/>
      <c r="D18" s="277"/>
      <c r="E18" s="277"/>
      <c r="F18" s="277"/>
      <c r="G18" s="277"/>
      <c r="H18" s="37"/>
      <c r="I18" s="73"/>
      <c r="J18" s="37"/>
      <c r="K18" s="37"/>
      <c r="L18" s="97"/>
      <c r="M18" s="92"/>
      <c r="O18" s="37"/>
    </row>
    <row r="19" spans="1:15" ht="16.5" customHeight="1">
      <c r="A19" s="469"/>
      <c r="B19" s="472" t="s">
        <v>73</v>
      </c>
      <c r="C19" s="101" t="str">
        <f>Glossary!B200</f>
        <v>Risk Assessment</v>
      </c>
      <c r="D19" s="402"/>
      <c r="E19" t="b">
        <f t="shared" ref="E19:E20" si="10">IF(OR(D19="y",D19="n"), G19)</f>
        <v>0</v>
      </c>
      <c r="F19" s="51" t="str">
        <f t="shared" ref="F19:F20" si="11">IF(D19 = "Y",E19, IF(D19="n",0, ""))</f>
        <v/>
      </c>
      <c r="G19" s="53">
        <v>10</v>
      </c>
      <c r="H19" s="400"/>
      <c r="I19" s="56"/>
      <c r="J19" s="45" t="str">
        <f>Glossary!B244</f>
        <v>Technical risk factors verified</v>
      </c>
      <c r="K19" s="397"/>
      <c r="L19" t="b">
        <f t="shared" ref="L19:L20" si="12">IF(OR(K19="y",K19="n"), N19)</f>
        <v>0</v>
      </c>
      <c r="M19" s="51" t="str">
        <f t="shared" ref="M19:M20" si="13">IF(K19 = "Y",L19, IF(K19="n",0, ""))</f>
        <v/>
      </c>
      <c r="N19" s="63">
        <v>10</v>
      </c>
      <c r="O19" s="37"/>
    </row>
    <row r="20" spans="1:15" ht="28">
      <c r="A20" s="469"/>
      <c r="B20" s="469"/>
      <c r="C20" s="101" t="str">
        <f>Glossary!B110</f>
        <v>Identify critical key solutions/functionalities</v>
      </c>
      <c r="D20" s="402"/>
      <c r="E20" t="b">
        <f t="shared" si="10"/>
        <v>0</v>
      </c>
      <c r="F20" s="51" t="str">
        <f t="shared" si="11"/>
        <v/>
      </c>
      <c r="G20" s="53">
        <v>15</v>
      </c>
      <c r="H20" s="400"/>
      <c r="I20" s="56"/>
      <c r="J20" s="45" t="str">
        <f>Glossary!B35</f>
        <v>Business sign off on any required adjustments to the solution or architecture identified and aligned against ROI and KPI expectations</v>
      </c>
      <c r="K20" s="397"/>
      <c r="L20" t="b">
        <f t="shared" si="12"/>
        <v>0</v>
      </c>
      <c r="M20" s="51" t="str">
        <f t="shared" si="13"/>
        <v/>
      </c>
      <c r="N20" s="63">
        <v>20</v>
      </c>
      <c r="O20" s="37"/>
    </row>
    <row r="21" spans="1:15" ht="16.5" customHeight="1">
      <c r="A21" s="469"/>
      <c r="B21" s="470"/>
      <c r="C21" s="150"/>
      <c r="D21" s="227"/>
      <c r="E21" s="227"/>
      <c r="F21" s="227"/>
      <c r="G21" s="227"/>
      <c r="H21" s="153"/>
      <c r="I21" s="73"/>
      <c r="J21" s="227"/>
      <c r="K21" s="228"/>
      <c r="L21" s="63"/>
      <c r="M21" s="51"/>
      <c r="O21" s="37"/>
    </row>
    <row r="22" spans="1:15" ht="16.5" customHeight="1">
      <c r="A22" s="469"/>
      <c r="B22" s="481" t="s">
        <v>75</v>
      </c>
      <c r="C22" s="101" t="str">
        <f>Glossary!B229</f>
        <v>Stakeholders</v>
      </c>
      <c r="D22" s="402"/>
      <c r="E22" t="b">
        <f t="shared" ref="E22:E24" si="14">IF(OR(D22="y",D22="n"), G22)</f>
        <v>0</v>
      </c>
      <c r="F22" s="51" t="str">
        <f t="shared" ref="F22:F24" si="15">IF(D22 = "Y",E22, IF(D22="n",0, ""))</f>
        <v/>
      </c>
      <c r="G22" s="69">
        <v>10</v>
      </c>
      <c r="H22" s="400"/>
      <c r="I22" s="56"/>
      <c r="J22" s="45" t="str">
        <f>Glossary!B226</f>
        <v>Specification review and approval process defined and communicated</v>
      </c>
      <c r="K22" s="397"/>
      <c r="L22" t="b">
        <f t="shared" ref="L22:L23" si="16">IF(OR(K22="y",K22="n"), N22)</f>
        <v>0</v>
      </c>
      <c r="M22" s="51" t="str">
        <f t="shared" ref="M22:M23" si="17">IF(K22 = "Y",L22, IF(K22="n",0, ""))</f>
        <v/>
      </c>
      <c r="N22" s="63">
        <v>20</v>
      </c>
      <c r="O22" s="37"/>
    </row>
    <row r="23" spans="1:15" ht="16.5" customHeight="1">
      <c r="A23" s="469"/>
      <c r="B23" s="469"/>
      <c r="C23" s="101" t="str">
        <f>Glossary!B129</f>
        <v>Issue tracking system and processes</v>
      </c>
      <c r="D23" s="402"/>
      <c r="E23" t="b">
        <f t="shared" si="14"/>
        <v>0</v>
      </c>
      <c r="F23" s="51" t="str">
        <f t="shared" si="15"/>
        <v/>
      </c>
      <c r="G23" s="53">
        <v>15</v>
      </c>
      <c r="H23" s="400"/>
      <c r="I23" s="56"/>
      <c r="J23" s="45" t="str">
        <f>Glossary!B219</f>
        <v>Solution Review Board established and meeting cadence set</v>
      </c>
      <c r="K23" s="397"/>
      <c r="L23" t="b">
        <f t="shared" si="16"/>
        <v>0</v>
      </c>
      <c r="M23" s="51" t="str">
        <f t="shared" si="17"/>
        <v/>
      </c>
      <c r="N23" s="63">
        <v>30</v>
      </c>
      <c r="O23" s="37"/>
    </row>
    <row r="24" spans="1:15" ht="16.5" customHeight="1">
      <c r="A24" s="469"/>
      <c r="B24" s="469"/>
      <c r="C24" s="45" t="str">
        <f>Glossary!B51</f>
        <v>Customer Specification Guidelines</v>
      </c>
      <c r="D24" s="402"/>
      <c r="E24" t="b">
        <f t="shared" si="14"/>
        <v>0</v>
      </c>
      <c r="F24" s="51" t="str">
        <f t="shared" si="15"/>
        <v/>
      </c>
      <c r="G24" s="53">
        <v>20</v>
      </c>
      <c r="H24" s="400"/>
      <c r="I24" s="56"/>
      <c r="J24" s="143"/>
      <c r="K24" s="123"/>
      <c r="L24" s="97"/>
      <c r="M24" s="97"/>
      <c r="O24" s="37"/>
    </row>
    <row r="25" spans="1:15" ht="16.5" customHeight="1">
      <c r="A25" s="469"/>
      <c r="B25" s="478"/>
      <c r="C25" s="141"/>
      <c r="D25" s="126"/>
      <c r="E25" s="126"/>
      <c r="F25" s="126"/>
      <c r="G25" s="126"/>
      <c r="H25" s="56"/>
      <c r="I25" s="74"/>
      <c r="J25" s="56"/>
      <c r="K25" s="56"/>
      <c r="L25" s="97"/>
      <c r="M25" s="92"/>
      <c r="O25" s="37"/>
    </row>
    <row r="26" spans="1:15" ht="16.5" customHeight="1">
      <c r="A26" s="469"/>
      <c r="B26" s="472" t="s">
        <v>76</v>
      </c>
      <c r="C26" s="101" t="str">
        <f>Glossary!B61</f>
        <v>Customer Roadmap</v>
      </c>
      <c r="D26" s="402"/>
      <c r="E26" t="b">
        <f t="shared" ref="E26:E36" si="18">IF(OR(D26="y",D26="n"), G26)</f>
        <v>0</v>
      </c>
      <c r="F26" s="51" t="str">
        <f t="shared" ref="F26:F36" si="19">IF(D26 = "Y",E26, IF(D26="n",0, ""))</f>
        <v/>
      </c>
      <c r="G26" s="53">
        <v>10</v>
      </c>
      <c r="H26" s="400"/>
      <c r="I26" s="56"/>
      <c r="J26" s="45" t="str">
        <f>Glossary!B268</f>
        <v>Understands scope of project and expectations</v>
      </c>
      <c r="K26" s="397"/>
      <c r="L26" t="b">
        <f t="shared" ref="L26:L30" si="20">IF(OR(K26="y",K26="n"), N26)</f>
        <v>0</v>
      </c>
      <c r="M26" s="51" t="str">
        <f t="shared" ref="M26:M30" si="21">IF(K26 = "Y",L26, IF(K26="n",0, ""))</f>
        <v/>
      </c>
      <c r="N26" s="63">
        <v>15</v>
      </c>
      <c r="O26" s="37"/>
    </row>
    <row r="27" spans="1:15" ht="16.5" customHeight="1">
      <c r="A27" s="469"/>
      <c r="B27" s="469"/>
      <c r="C27" s="101" t="str">
        <f>Glossary!B184</f>
        <v>Project Scope Document</v>
      </c>
      <c r="D27" s="402"/>
      <c r="E27" t="b">
        <f t="shared" si="18"/>
        <v>0</v>
      </c>
      <c r="F27" s="51" t="str">
        <f t="shared" si="19"/>
        <v/>
      </c>
      <c r="G27" s="53">
        <v>10</v>
      </c>
      <c r="H27" s="400"/>
      <c r="I27" s="56"/>
      <c r="J27" s="110" t="str">
        <f>Glossary!B9</f>
        <v>Agreement on KPI's, defined as goals for the project</v>
      </c>
      <c r="K27" s="397"/>
      <c r="L27" t="b">
        <f t="shared" si="20"/>
        <v>0</v>
      </c>
      <c r="M27" s="51" t="str">
        <f t="shared" si="21"/>
        <v/>
      </c>
      <c r="N27" s="63">
        <v>30</v>
      </c>
      <c r="O27" s="37"/>
    </row>
    <row r="28" spans="1:15" ht="16.5" customHeight="1">
      <c r="A28" s="469"/>
      <c r="B28" s="469"/>
      <c r="C28" s="101" t="str">
        <f>Glossary!B202</f>
        <v>ROI expectations</v>
      </c>
      <c r="D28" s="402"/>
      <c r="E28" t="b">
        <f t="shared" si="18"/>
        <v>0</v>
      </c>
      <c r="F28" s="51" t="str">
        <f t="shared" si="19"/>
        <v/>
      </c>
      <c r="G28" s="53">
        <v>20</v>
      </c>
      <c r="H28" s="400"/>
      <c r="I28" s="56"/>
      <c r="J28" s="45" t="str">
        <f>Glossary!B229</f>
        <v>Stakeholders</v>
      </c>
      <c r="K28" s="397"/>
      <c r="L28" t="b">
        <f t="shared" si="20"/>
        <v>0</v>
      </c>
      <c r="M28" s="51" t="str">
        <f t="shared" si="21"/>
        <v/>
      </c>
      <c r="N28" s="63">
        <v>20</v>
      </c>
      <c r="O28" s="37"/>
    </row>
    <row r="29" spans="1:15" ht="16.5" customHeight="1">
      <c r="A29" s="469"/>
      <c r="B29" s="469"/>
      <c r="C29" s="101" t="str">
        <f>Glossary!B127</f>
        <v>Initial Experience Designs</v>
      </c>
      <c r="D29" s="402"/>
      <c r="E29" t="b">
        <f t="shared" si="18"/>
        <v>0</v>
      </c>
      <c r="F29" s="51" t="str">
        <f t="shared" si="19"/>
        <v/>
      </c>
      <c r="G29" s="53">
        <v>10</v>
      </c>
      <c r="H29" s="400"/>
      <c r="I29" s="56"/>
      <c r="J29" s="122" t="str">
        <f>Glossary!B27</f>
        <v>Aware of communication plan</v>
      </c>
      <c r="K29" s="397"/>
      <c r="L29" t="b">
        <f t="shared" si="20"/>
        <v>0</v>
      </c>
      <c r="M29" s="51" t="str">
        <f t="shared" si="21"/>
        <v/>
      </c>
      <c r="N29" s="63">
        <v>10</v>
      </c>
      <c r="O29" s="37"/>
    </row>
    <row r="30" spans="1:15" ht="16.5" customHeight="1">
      <c r="A30" s="469"/>
      <c r="B30" s="469"/>
      <c r="C30" s="101" t="str">
        <f>Glossary!B198</f>
        <v>Requirements Documentation</v>
      </c>
      <c r="D30" s="402"/>
      <c r="E30" t="b">
        <f t="shared" si="18"/>
        <v>0</v>
      </c>
      <c r="F30" s="51" t="str">
        <f t="shared" si="19"/>
        <v/>
      </c>
      <c r="G30" s="53">
        <v>30</v>
      </c>
      <c r="H30" s="400"/>
      <c r="I30" s="56"/>
      <c r="J30" s="122" t="str">
        <f>Glossary!B28</f>
        <v>Aware of success definitions and criteria</v>
      </c>
      <c r="K30" s="397"/>
      <c r="L30" t="b">
        <f t="shared" si="20"/>
        <v>0</v>
      </c>
      <c r="M30" s="51" t="str">
        <f t="shared" si="21"/>
        <v/>
      </c>
      <c r="N30" s="63">
        <v>15</v>
      </c>
      <c r="O30" s="37"/>
    </row>
    <row r="31" spans="1:15" ht="16.5" customHeight="1">
      <c r="A31" s="469"/>
      <c r="B31" s="469"/>
      <c r="C31" s="101" t="str">
        <f>Glossary!B104</f>
        <v>High Level Solution Design</v>
      </c>
      <c r="D31" s="402"/>
      <c r="E31" t="b">
        <f t="shared" si="18"/>
        <v>0</v>
      </c>
      <c r="F31" s="51" t="str">
        <f t="shared" si="19"/>
        <v/>
      </c>
      <c r="G31" s="53">
        <v>15</v>
      </c>
      <c r="H31" s="400"/>
      <c r="I31" s="56"/>
      <c r="J31" s="95"/>
      <c r="K31" s="97"/>
      <c r="L31" s="97"/>
      <c r="M31" s="97"/>
      <c r="O31" s="37"/>
    </row>
    <row r="32" spans="1:15" ht="16.5" customHeight="1">
      <c r="A32" s="469"/>
      <c r="B32" s="469"/>
      <c r="C32" s="101" t="str">
        <f>Glossary!B11</f>
        <v>Architecture Draft</v>
      </c>
      <c r="D32" s="402"/>
      <c r="E32" t="b">
        <f t="shared" si="18"/>
        <v>0</v>
      </c>
      <c r="F32" s="51" t="str">
        <f t="shared" si="19"/>
        <v/>
      </c>
      <c r="G32" s="53">
        <v>15</v>
      </c>
      <c r="H32" s="400"/>
      <c r="I32" s="56"/>
      <c r="J32" s="95"/>
      <c r="K32" s="97"/>
      <c r="L32" s="97"/>
      <c r="M32" s="97"/>
      <c r="O32" s="37"/>
    </row>
    <row r="33" spans="1:15" ht="16.5" customHeight="1">
      <c r="A33" s="469"/>
      <c r="B33" s="469"/>
      <c r="C33" s="101" t="str">
        <f>Glossary!B166</f>
        <v>Performance KPIs</v>
      </c>
      <c r="D33" s="402"/>
      <c r="E33" t="b">
        <f t="shared" si="18"/>
        <v>0</v>
      </c>
      <c r="F33" s="51" t="str">
        <f t="shared" si="19"/>
        <v/>
      </c>
      <c r="G33" s="53">
        <v>20</v>
      </c>
      <c r="H33" s="400"/>
      <c r="I33" s="56"/>
      <c r="J33" s="95"/>
      <c r="K33" s="97"/>
      <c r="L33" s="97"/>
      <c r="M33" s="97"/>
      <c r="O33" s="37"/>
    </row>
    <row r="34" spans="1:15" ht="16.5" customHeight="1">
      <c r="A34" s="469"/>
      <c r="B34" s="469"/>
      <c r="C34" s="101" t="str">
        <f>Glossary!B264</f>
        <v>Timeline and Milestones</v>
      </c>
      <c r="D34" s="402"/>
      <c r="E34" t="b">
        <f t="shared" si="18"/>
        <v>0</v>
      </c>
      <c r="F34" s="51" t="str">
        <f t="shared" si="19"/>
        <v/>
      </c>
      <c r="G34" s="53">
        <v>15</v>
      </c>
      <c r="H34" s="400"/>
      <c r="I34" s="56"/>
      <c r="J34" s="95"/>
      <c r="K34" s="97"/>
      <c r="L34" s="97"/>
      <c r="M34" s="97"/>
      <c r="O34" s="37"/>
    </row>
    <row r="35" spans="1:15" ht="16.5" customHeight="1">
      <c r="A35" s="469"/>
      <c r="B35" s="469"/>
      <c r="C35" s="161" t="str">
        <f>Glossary!B183</f>
        <v>Project Ogranization</v>
      </c>
      <c r="D35" s="402"/>
      <c r="E35" t="b">
        <f t="shared" si="18"/>
        <v>0</v>
      </c>
      <c r="F35" s="51" t="str">
        <f t="shared" si="19"/>
        <v/>
      </c>
      <c r="G35" s="53">
        <v>20</v>
      </c>
      <c r="H35" s="400"/>
      <c r="I35" s="56"/>
      <c r="J35" s="128"/>
      <c r="K35" s="129"/>
      <c r="L35" s="129"/>
      <c r="M35" s="129"/>
      <c r="O35" s="37"/>
    </row>
    <row r="36" spans="1:15" ht="16.5" customHeight="1">
      <c r="A36" s="469"/>
      <c r="B36" s="469"/>
      <c r="C36" s="45" t="str">
        <f>Glossary!B233</f>
        <v>Success criteria and definition</v>
      </c>
      <c r="D36" s="402"/>
      <c r="E36" t="b">
        <f t="shared" si="18"/>
        <v>0</v>
      </c>
      <c r="F36" s="51" t="str">
        <f t="shared" si="19"/>
        <v/>
      </c>
      <c r="G36" s="53">
        <v>15</v>
      </c>
      <c r="H36" s="400"/>
      <c r="I36" s="56"/>
      <c r="J36" s="95"/>
      <c r="K36" s="97"/>
      <c r="L36" s="97"/>
      <c r="M36" s="97"/>
      <c r="O36" s="37"/>
    </row>
    <row r="37" spans="1:15" ht="16.5" customHeight="1">
      <c r="A37" s="469"/>
      <c r="B37" s="469"/>
      <c r="C37" s="280"/>
      <c r="D37" s="281"/>
      <c r="E37" s="281"/>
      <c r="F37" s="281"/>
      <c r="G37" s="281"/>
      <c r="H37" s="56"/>
      <c r="I37" s="74"/>
      <c r="J37" s="56"/>
      <c r="K37" s="56"/>
      <c r="L37" s="97"/>
      <c r="M37" s="97"/>
      <c r="O37" s="37"/>
    </row>
    <row r="38" spans="1:15" ht="16.5" hidden="1" customHeight="1">
      <c r="A38" s="470"/>
      <c r="B38" s="470"/>
      <c r="C38" s="119"/>
      <c r="D38" s="169">
        <f>COUNTA(D11:D35,K11:K13,K19:K23,K26:K29)/COUNTA(F11:F35,M11:M13,M19:M23,M26:M29)</f>
        <v>0</v>
      </c>
      <c r="E38" s="92">
        <f t="shared" ref="E38:F38" si="22">SUM(E2:E36)</f>
        <v>0</v>
      </c>
      <c r="F38" s="92">
        <f t="shared" si="22"/>
        <v>0</v>
      </c>
      <c r="G38" s="92"/>
      <c r="H38" t="str">
        <f>IFERROR(AVERAGE(H11:H36),"")</f>
        <v/>
      </c>
      <c r="I38" s="37"/>
      <c r="J38" s="95"/>
      <c r="K38" s="97"/>
      <c r="L38" s="145">
        <f t="shared" ref="L38:M38" si="23">SUM(L2:L3,L11:L13,L19:L23,L26:L30)</f>
        <v>0</v>
      </c>
      <c r="M38" s="145">
        <f t="shared" si="23"/>
        <v>0</v>
      </c>
      <c r="O38" s="37"/>
    </row>
    <row r="39" spans="1:15" ht="21" customHeight="1">
      <c r="A39" s="477" t="s">
        <v>81</v>
      </c>
      <c r="B39" s="481" t="s">
        <v>85</v>
      </c>
      <c r="C39" s="45" t="str">
        <f>Glossary!B15</f>
        <v>AEM technical trainings</v>
      </c>
      <c r="D39" s="402"/>
      <c r="E39" t="b">
        <f t="shared" ref="E39:E40" si="24">IF(OR(D39="y",D39="n"), G39)</f>
        <v>0</v>
      </c>
      <c r="F39" s="51" t="str">
        <f t="shared" ref="F39:F40" si="25">IF(D39 = "Y",E39, IF(D39="n",0, ""))</f>
        <v/>
      </c>
      <c r="G39" s="53">
        <v>15</v>
      </c>
      <c r="H39" s="400"/>
      <c r="I39" s="56"/>
      <c r="J39" s="45" t="str">
        <f>Glossary!B19</f>
        <v>AEM Certified</v>
      </c>
      <c r="K39" s="397"/>
      <c r="L39" t="b">
        <f>IF(OR(K39="y",K39="n"), N39)</f>
        <v>0</v>
      </c>
      <c r="M39" s="51" t="str">
        <f>IF(K39 = "Y",L39, IF(K39="n",0, ""))</f>
        <v/>
      </c>
      <c r="N39" s="63">
        <v>20</v>
      </c>
      <c r="O39" s="37"/>
    </row>
    <row r="40" spans="1:15" ht="21" customHeight="1">
      <c r="A40" s="469"/>
      <c r="B40" s="469"/>
      <c r="C40" s="45" t="str">
        <f>Glossary!B18</f>
        <v>AEM Certification Exam</v>
      </c>
      <c r="D40" s="402"/>
      <c r="E40" t="b">
        <f t="shared" si="24"/>
        <v>0</v>
      </c>
      <c r="F40" s="51" t="str">
        <f t="shared" si="25"/>
        <v/>
      </c>
      <c r="G40" s="53">
        <v>20</v>
      </c>
      <c r="H40" s="400"/>
      <c r="I40" s="56"/>
      <c r="J40" s="220"/>
      <c r="K40" s="56"/>
      <c r="M40" s="51"/>
      <c r="N40" s="158"/>
      <c r="O40" s="37"/>
    </row>
    <row r="41" spans="1:15" ht="21" customHeight="1">
      <c r="A41" s="469"/>
      <c r="B41" s="478"/>
      <c r="C41" s="141"/>
      <c r="D41" s="56"/>
      <c r="E41" s="56"/>
      <c r="F41" s="56"/>
      <c r="G41" s="56"/>
      <c r="H41" s="56"/>
      <c r="I41" s="74"/>
      <c r="J41" s="56"/>
      <c r="K41" s="56"/>
      <c r="L41" s="63"/>
      <c r="M41" s="51"/>
      <c r="O41" s="37"/>
    </row>
    <row r="42" spans="1:15" ht="15" customHeight="1">
      <c r="A42" s="469"/>
      <c r="B42" s="472" t="s">
        <v>86</v>
      </c>
      <c r="C42" s="101" t="str">
        <f>Glossary!B127</f>
        <v>Initial Experience Designs</v>
      </c>
      <c r="D42" s="402"/>
      <c r="E42" t="b">
        <f t="shared" ref="E42:E48" si="26">IF(OR(D42="y",D42="n"), G42)</f>
        <v>0</v>
      </c>
      <c r="F42" s="51" t="str">
        <f t="shared" ref="F42:F48" si="27">IF(D42 = "Y",E42, IF(D42="n",0, ""))</f>
        <v/>
      </c>
      <c r="G42" s="69">
        <v>10</v>
      </c>
      <c r="H42" s="400"/>
      <c r="I42" s="56"/>
      <c r="J42" s="45" t="str">
        <f>Glossary!B57</f>
        <v>Content Architecture Document</v>
      </c>
      <c r="K42" s="397"/>
      <c r="L42" t="b">
        <f t="shared" ref="L42:L43" si="28">IF(OR(K42="y",K42="n"), N42)</f>
        <v>0</v>
      </c>
      <c r="M42" s="51" t="str">
        <f t="shared" ref="M42:M43" si="29">IF(K42 = "Y",L42, IF(K42="n",0, ""))</f>
        <v/>
      </c>
      <c r="N42" s="63">
        <v>25</v>
      </c>
      <c r="O42" s="37"/>
    </row>
    <row r="43" spans="1:15" ht="15" customHeight="1">
      <c r="A43" s="469"/>
      <c r="B43" s="469"/>
      <c r="C43" s="101" t="str">
        <f>Glossary!B198</f>
        <v>Requirements Documentation</v>
      </c>
      <c r="D43" s="402"/>
      <c r="E43" t="b">
        <f t="shared" si="26"/>
        <v>0</v>
      </c>
      <c r="F43" s="51" t="str">
        <f t="shared" si="27"/>
        <v/>
      </c>
      <c r="G43" s="53">
        <v>20</v>
      </c>
      <c r="H43" s="400"/>
      <c r="I43" s="56"/>
      <c r="J43" s="45" t="str">
        <f>Glossary!B204</f>
        <v>Roles and Rights Specification</v>
      </c>
      <c r="K43" s="397"/>
      <c r="L43" t="b">
        <f t="shared" si="28"/>
        <v>0</v>
      </c>
      <c r="M43" s="51" t="str">
        <f t="shared" si="29"/>
        <v/>
      </c>
      <c r="N43" s="63">
        <v>20</v>
      </c>
      <c r="O43" s="37"/>
    </row>
    <row r="44" spans="1:15" ht="15" customHeight="1">
      <c r="A44" s="469"/>
      <c r="B44" s="469"/>
      <c r="C44" s="101" t="str">
        <f>Glossary!B104</f>
        <v>High Level Solution Design</v>
      </c>
      <c r="D44" s="402"/>
      <c r="E44" t="b">
        <f t="shared" si="26"/>
        <v>0</v>
      </c>
      <c r="F44" s="51" t="str">
        <f t="shared" si="27"/>
        <v/>
      </c>
      <c r="G44" s="53">
        <v>15</v>
      </c>
      <c r="H44" s="400"/>
      <c r="I44" s="56"/>
      <c r="J44" s="143"/>
      <c r="K44" s="123"/>
      <c r="L44" s="97"/>
      <c r="M44" s="97"/>
      <c r="O44" s="37"/>
    </row>
    <row r="45" spans="1:15" ht="15" customHeight="1">
      <c r="A45" s="469"/>
      <c r="B45" s="469"/>
      <c r="C45" s="101" t="str">
        <f>Glossary!B11</f>
        <v>Architecture Draft</v>
      </c>
      <c r="D45" s="402"/>
      <c r="E45" t="b">
        <f t="shared" si="26"/>
        <v>0</v>
      </c>
      <c r="F45" s="51" t="str">
        <f t="shared" si="27"/>
        <v/>
      </c>
      <c r="G45" s="53">
        <v>10</v>
      </c>
      <c r="H45" s="400"/>
      <c r="I45" s="56"/>
      <c r="J45" s="95"/>
      <c r="K45" s="97"/>
      <c r="L45" s="97"/>
      <c r="M45" s="97"/>
      <c r="O45" s="37"/>
    </row>
    <row r="46" spans="1:15" ht="15" customHeight="1">
      <c r="A46" s="469"/>
      <c r="B46" s="469"/>
      <c r="C46" s="45" t="str">
        <f>Glossary!B166</f>
        <v>Performance KPIs</v>
      </c>
      <c r="D46" s="402"/>
      <c r="E46" t="b">
        <f t="shared" si="26"/>
        <v>0</v>
      </c>
      <c r="F46" s="51" t="str">
        <f t="shared" si="27"/>
        <v/>
      </c>
      <c r="G46" s="53">
        <v>20</v>
      </c>
      <c r="H46" s="400"/>
      <c r="I46" s="56"/>
      <c r="J46" s="128"/>
      <c r="K46" s="129"/>
      <c r="L46" s="129"/>
      <c r="M46" s="129"/>
      <c r="O46" s="37"/>
    </row>
    <row r="47" spans="1:15" ht="15" customHeight="1">
      <c r="A47" s="469"/>
      <c r="B47" s="469"/>
      <c r="C47" s="216" t="str">
        <f>Glossary!B203</f>
        <v>Roles and Rights Concept</v>
      </c>
      <c r="D47" s="402"/>
      <c r="E47" t="b">
        <f t="shared" si="26"/>
        <v>0</v>
      </c>
      <c r="F47" s="51" t="str">
        <f t="shared" si="27"/>
        <v/>
      </c>
      <c r="G47" s="53">
        <v>15</v>
      </c>
      <c r="H47" s="400"/>
      <c r="I47" s="56"/>
      <c r="J47" s="95"/>
      <c r="K47" s="97"/>
      <c r="L47" s="97"/>
      <c r="M47" s="97"/>
      <c r="O47" s="37"/>
    </row>
    <row r="48" spans="1:15" ht="15" customHeight="1">
      <c r="A48" s="469"/>
      <c r="B48" s="469"/>
      <c r="C48" s="45" t="str">
        <f>Glossary!B106</f>
        <v>Historical Content Structure</v>
      </c>
      <c r="D48" s="402"/>
      <c r="E48" t="b">
        <f t="shared" si="26"/>
        <v>0</v>
      </c>
      <c r="F48" s="51" t="str">
        <f t="shared" si="27"/>
        <v/>
      </c>
      <c r="G48" s="53">
        <v>10</v>
      </c>
      <c r="H48" s="400"/>
      <c r="I48" s="56"/>
      <c r="J48" s="95"/>
      <c r="K48" s="97"/>
      <c r="L48" s="97"/>
      <c r="M48" s="97"/>
      <c r="O48" s="37"/>
    </row>
    <row r="49" spans="1:15" ht="15" customHeight="1">
      <c r="A49" s="469"/>
      <c r="B49" s="470"/>
      <c r="C49" s="163"/>
      <c r="D49" s="220"/>
      <c r="E49" s="220"/>
      <c r="F49" s="220"/>
      <c r="G49" s="220"/>
      <c r="H49" s="117"/>
      <c r="I49" s="165"/>
      <c r="J49" s="117"/>
      <c r="K49" s="56"/>
      <c r="L49" s="97"/>
      <c r="M49" s="92"/>
      <c r="O49" s="37"/>
    </row>
    <row r="50" spans="1:15" ht="15" customHeight="1">
      <c r="A50" s="469"/>
      <c r="B50" s="481" t="s">
        <v>89</v>
      </c>
      <c r="C50" s="101" t="str">
        <f>Glossary!B198</f>
        <v>Requirements Documentation</v>
      </c>
      <c r="D50" s="402"/>
      <c r="E50" t="b">
        <f t="shared" ref="E50:E53" si="30">IF(OR(D50="y",D50="n"), G50)</f>
        <v>0</v>
      </c>
      <c r="F50" s="51" t="str">
        <f t="shared" ref="F50:F53" si="31">IF(D50 = "Y",E50, IF(D50="n",0, ""))</f>
        <v/>
      </c>
      <c r="G50" s="53">
        <v>10</v>
      </c>
      <c r="H50" s="400"/>
      <c r="I50" s="56"/>
      <c r="J50" s="45" t="str">
        <f>Glossary!B237</f>
        <v>System Architecture Documentation</v>
      </c>
      <c r="K50" s="397"/>
      <c r="L50" t="b">
        <f>IF(OR(K50="y",K50="n"), N50)</f>
        <v>0</v>
      </c>
      <c r="M50" s="51" t="str">
        <f>IF(K50 = "Y",L50, IF(K50="n",0, ""))</f>
        <v/>
      </c>
      <c r="N50" s="63">
        <v>15</v>
      </c>
      <c r="O50" s="37"/>
    </row>
    <row r="51" spans="1:15" ht="16.5" customHeight="1">
      <c r="A51" s="469"/>
      <c r="B51" s="469"/>
      <c r="C51" s="101" t="str">
        <f>Glossary!B104</f>
        <v>High Level Solution Design</v>
      </c>
      <c r="D51" s="402"/>
      <c r="E51" t="b">
        <f t="shared" si="30"/>
        <v>0</v>
      </c>
      <c r="F51" s="51" t="str">
        <f t="shared" si="31"/>
        <v/>
      </c>
      <c r="G51" s="53">
        <v>10</v>
      </c>
      <c r="H51" s="400"/>
      <c r="I51" s="56"/>
      <c r="J51" s="101"/>
      <c r="K51" s="123"/>
      <c r="L51" s="97"/>
      <c r="M51" s="97"/>
      <c r="O51" s="37"/>
    </row>
    <row r="52" spans="1:15" ht="16.5" customHeight="1">
      <c r="A52" s="469"/>
      <c r="B52" s="469"/>
      <c r="C52" s="101" t="str">
        <f>Glossary!B20</f>
        <v>Application Architecture Definition</v>
      </c>
      <c r="D52" s="402"/>
      <c r="E52" t="b">
        <f t="shared" si="30"/>
        <v>0</v>
      </c>
      <c r="F52" s="51" t="str">
        <f t="shared" si="31"/>
        <v/>
      </c>
      <c r="G52" s="53">
        <v>25</v>
      </c>
      <c r="H52" s="400"/>
      <c r="I52" s="56"/>
      <c r="J52" s="101"/>
      <c r="K52" s="123"/>
      <c r="L52" s="97"/>
      <c r="M52" s="97"/>
      <c r="O52" s="37"/>
    </row>
    <row r="53" spans="1:15" ht="16.5" customHeight="1">
      <c r="A53" s="469"/>
      <c r="B53" s="469"/>
      <c r="C53" s="101" t="str">
        <f>Glossary!B236</f>
        <v>System Architecture Definition</v>
      </c>
      <c r="D53" s="48"/>
      <c r="E53" t="b">
        <f t="shared" si="30"/>
        <v>0</v>
      </c>
      <c r="F53" s="51" t="str">
        <f t="shared" si="31"/>
        <v/>
      </c>
      <c r="G53" s="69">
        <v>20</v>
      </c>
      <c r="H53" s="400"/>
      <c r="I53" s="56"/>
      <c r="J53" s="143"/>
      <c r="K53" s="123"/>
      <c r="L53" s="97"/>
      <c r="M53" s="97"/>
      <c r="O53" s="37"/>
    </row>
    <row r="54" spans="1:15" ht="16.5" customHeight="1">
      <c r="A54" s="469"/>
      <c r="B54" s="478"/>
      <c r="C54" s="151"/>
      <c r="D54" s="151"/>
      <c r="E54" s="151"/>
      <c r="F54" s="151"/>
      <c r="G54" s="151"/>
      <c r="H54" s="153"/>
      <c r="I54" s="153"/>
      <c r="J54" s="153"/>
      <c r="K54" s="153"/>
      <c r="L54" s="97"/>
      <c r="M54" s="92"/>
      <c r="O54" s="37"/>
    </row>
    <row r="55" spans="1:15" ht="16.5" customHeight="1">
      <c r="A55" s="469"/>
      <c r="B55" s="472" t="s">
        <v>92</v>
      </c>
      <c r="C55" s="138" t="str">
        <f>Glossary!B198</f>
        <v>Requirements Documentation</v>
      </c>
      <c r="D55" s="410"/>
      <c r="E55" t="b">
        <f t="shared" ref="E55:E59" si="32">IF(OR(D55="y",D55="n"), G55)</f>
        <v>0</v>
      </c>
      <c r="F55" s="51" t="str">
        <f t="shared" ref="F55:F59" si="33">IF(D55 = "Y",E55, IF(D55="n",0, ""))</f>
        <v/>
      </c>
      <c r="G55" s="53">
        <v>10</v>
      </c>
      <c r="H55" s="411"/>
      <c r="I55" s="56"/>
      <c r="J55" s="121" t="str">
        <f>Glossary!B56</f>
        <v>Components Specification</v>
      </c>
      <c r="K55" s="451"/>
      <c r="L55" t="b">
        <f t="shared" ref="L55:L59" si="34">IF(OR(K55="y",K55="n"), N55)</f>
        <v>0</v>
      </c>
      <c r="M55" s="51" t="str">
        <f t="shared" ref="M55:M59" si="35">IF(K55 = "Y",L55, IF(K55="n",0, ""))</f>
        <v/>
      </c>
      <c r="N55" s="63">
        <v>25</v>
      </c>
      <c r="O55" s="37"/>
    </row>
    <row r="56" spans="1:15" ht="18" customHeight="1">
      <c r="A56" s="469"/>
      <c r="B56" s="469"/>
      <c r="C56" s="112" t="str">
        <f>Glossary!B54</f>
        <v>Components and templates realtionship concept</v>
      </c>
      <c r="D56" s="402"/>
      <c r="E56" t="b">
        <f t="shared" si="32"/>
        <v>0</v>
      </c>
      <c r="F56" s="51" t="str">
        <f t="shared" si="33"/>
        <v/>
      </c>
      <c r="G56" s="53">
        <v>20</v>
      </c>
      <c r="H56" s="400"/>
      <c r="I56" s="56"/>
      <c r="J56" s="45" t="str">
        <f>Glossary!B247</f>
        <v>Template Specification</v>
      </c>
      <c r="K56" s="397"/>
      <c r="L56" t="b">
        <f t="shared" si="34"/>
        <v>0</v>
      </c>
      <c r="M56" s="51" t="str">
        <f t="shared" si="35"/>
        <v/>
      </c>
      <c r="N56" s="63">
        <v>25</v>
      </c>
      <c r="O56" s="37"/>
    </row>
    <row r="57" spans="1:15" ht="17.25" customHeight="1">
      <c r="A57" s="469"/>
      <c r="B57" s="469"/>
      <c r="C57" s="101" t="str">
        <f>Glossary!B223</f>
        <v>Special functionality concept</v>
      </c>
      <c r="D57" s="402"/>
      <c r="E57" t="b">
        <f t="shared" si="32"/>
        <v>0</v>
      </c>
      <c r="F57" s="51" t="str">
        <f t="shared" si="33"/>
        <v/>
      </c>
      <c r="G57" s="53">
        <v>20</v>
      </c>
      <c r="H57" s="400"/>
      <c r="I57" s="56"/>
      <c r="J57" s="45" t="str">
        <f>Glossary!B55</f>
        <v>Components and Templates relationship Specification</v>
      </c>
      <c r="K57" s="397"/>
      <c r="L57" t="b">
        <f t="shared" si="34"/>
        <v>0</v>
      </c>
      <c r="M57" s="51" t="str">
        <f t="shared" si="35"/>
        <v/>
      </c>
      <c r="N57" s="63">
        <v>20</v>
      </c>
      <c r="O57" s="37"/>
    </row>
    <row r="58" spans="1:15" ht="19.5" customHeight="1">
      <c r="A58" s="469"/>
      <c r="B58" s="469"/>
      <c r="C58" s="101" t="str">
        <f>Glossary!B166</f>
        <v>Performance KPIs</v>
      </c>
      <c r="D58" s="402"/>
      <c r="E58" t="b">
        <f t="shared" si="32"/>
        <v>0</v>
      </c>
      <c r="F58" s="51" t="str">
        <f t="shared" si="33"/>
        <v/>
      </c>
      <c r="G58" s="53">
        <v>15</v>
      </c>
      <c r="H58" s="400"/>
      <c r="I58" s="56"/>
      <c r="J58" s="45" t="str">
        <f>Glossary!B224</f>
        <v>Special Functionality Specification</v>
      </c>
      <c r="K58" s="397"/>
      <c r="L58" t="b">
        <f t="shared" si="34"/>
        <v>0</v>
      </c>
      <c r="M58" s="51" t="str">
        <f t="shared" si="35"/>
        <v/>
      </c>
      <c r="N58" s="63">
        <v>20</v>
      </c>
      <c r="O58" s="37"/>
    </row>
    <row r="59" spans="1:15" ht="19.5" customHeight="1">
      <c r="A59" s="469"/>
      <c r="B59" s="469"/>
      <c r="C59" s="206" t="str">
        <f>Glossary!B277</f>
        <v>Workflows concept</v>
      </c>
      <c r="D59" s="402"/>
      <c r="E59" t="b">
        <f t="shared" si="32"/>
        <v>0</v>
      </c>
      <c r="F59" s="51" t="str">
        <f t="shared" si="33"/>
        <v/>
      </c>
      <c r="G59" s="53">
        <v>20</v>
      </c>
      <c r="H59" s="400"/>
      <c r="I59" s="56"/>
      <c r="J59" s="121" t="str">
        <f>Glossary!B278</f>
        <v>Workflow Specification</v>
      </c>
      <c r="K59" s="397"/>
      <c r="L59" t="b">
        <f t="shared" si="34"/>
        <v>0</v>
      </c>
      <c r="M59" s="51" t="str">
        <f t="shared" si="35"/>
        <v/>
      </c>
      <c r="N59" s="63">
        <v>25</v>
      </c>
      <c r="O59" s="37"/>
    </row>
    <row r="60" spans="1:15" ht="19.5" customHeight="1">
      <c r="A60" s="469"/>
      <c r="B60" s="470"/>
      <c r="C60" s="287"/>
      <c r="D60" s="288"/>
      <c r="E60" s="288"/>
      <c r="F60" s="288"/>
      <c r="G60" s="288"/>
      <c r="H60" s="288"/>
      <c r="I60" s="74"/>
      <c r="J60" s="288"/>
      <c r="K60" s="56"/>
      <c r="L60" s="63"/>
      <c r="M60" s="51"/>
      <c r="O60" s="37"/>
    </row>
    <row r="61" spans="1:15" ht="16.5" customHeight="1">
      <c r="A61" s="469"/>
      <c r="B61" s="472" t="s">
        <v>98</v>
      </c>
      <c r="C61" s="101" t="str">
        <f>Glossary!B261</f>
        <v>Third party system for integration</v>
      </c>
      <c r="D61" s="402"/>
      <c r="E61" t="b">
        <f t="shared" ref="E61:E62" si="36">IF(OR(D61="y",D61="n"), G61)</f>
        <v>0</v>
      </c>
      <c r="F61" s="51" t="str">
        <f t="shared" ref="F61:F62" si="37">IF(D61 = "Y",E61, IF(D61="n",0, ""))</f>
        <v/>
      </c>
      <c r="G61" s="69">
        <v>10</v>
      </c>
      <c r="H61" s="400"/>
      <c r="I61" s="56"/>
      <c r="J61" s="45" t="str">
        <f>Glossary!B259</f>
        <v>Third party integration Specification</v>
      </c>
      <c r="K61" s="397"/>
      <c r="L61" t="b">
        <f t="shared" ref="L61:L62" si="38">IF(OR(K61="y",K61="n"), N61)</f>
        <v>0</v>
      </c>
      <c r="M61" s="51" t="str">
        <f t="shared" ref="M61:M62" si="39">IF(K61 = "Y",L61, IF(K61="n",0, ""))</f>
        <v/>
      </c>
      <c r="N61" s="63">
        <v>20</v>
      </c>
      <c r="O61" s="37"/>
    </row>
    <row r="62" spans="1:15" ht="16.5" customHeight="1">
      <c r="A62" s="469"/>
      <c r="B62" s="469"/>
      <c r="C62" s="166" t="str">
        <f>Glossary!B258</f>
        <v>Third party integration concept</v>
      </c>
      <c r="D62" s="406"/>
      <c r="E62" t="b">
        <f t="shared" si="36"/>
        <v>0</v>
      </c>
      <c r="F62" s="51" t="str">
        <f t="shared" si="37"/>
        <v/>
      </c>
      <c r="G62" s="53">
        <v>15</v>
      </c>
      <c r="H62" s="407"/>
      <c r="I62" s="56"/>
      <c r="J62" s="161" t="str">
        <f>Glossary!B74</f>
        <v>Dialogs Specification</v>
      </c>
      <c r="K62" s="461"/>
      <c r="L62" t="b">
        <f t="shared" si="38"/>
        <v>0</v>
      </c>
      <c r="M62" s="51" t="str">
        <f t="shared" si="39"/>
        <v/>
      </c>
      <c r="N62" s="63">
        <v>20</v>
      </c>
      <c r="O62" s="37"/>
    </row>
    <row r="63" spans="1:15" ht="16.5" customHeight="1">
      <c r="A63" s="469"/>
      <c r="B63" s="470"/>
      <c r="C63" s="233"/>
      <c r="D63" s="409"/>
      <c r="E63" s="233"/>
      <c r="F63" s="233"/>
      <c r="G63" s="233"/>
      <c r="H63" s="233"/>
      <c r="I63" s="73"/>
      <c r="J63" s="233"/>
      <c r="K63" s="233"/>
      <c r="L63" s="63"/>
      <c r="M63" s="51"/>
      <c r="O63" s="37"/>
    </row>
    <row r="64" spans="1:15" ht="16.5" customHeight="1">
      <c r="A64" s="469"/>
      <c r="B64" s="472" t="s">
        <v>112</v>
      </c>
      <c r="C64" s="138" t="str">
        <f>Glossary!B127</f>
        <v>Initial Experience Designs</v>
      </c>
      <c r="D64" s="410"/>
      <c r="E64" t="b">
        <f t="shared" ref="E64:E65" si="40">IF(OR(D64="y",D64="n"), G64)</f>
        <v>0</v>
      </c>
      <c r="F64" s="51" t="str">
        <f t="shared" ref="F64:F65" si="41">IF(D64 = "Y",E64, IF(D64="n",0, ""))</f>
        <v/>
      </c>
      <c r="G64" s="53">
        <v>10</v>
      </c>
      <c r="H64" s="411"/>
      <c r="I64" s="56"/>
      <c r="J64" s="121" t="str">
        <f>Glossary!B87</f>
        <v>Experience Specifications</v>
      </c>
      <c r="K64" s="451"/>
      <c r="L64" t="b">
        <f>IF(OR(K64="y",K64="n"), N64)</f>
        <v>0</v>
      </c>
      <c r="M64" s="51" t="str">
        <f>IF(K64 = "Y",L64, IF(K64="n",0, ""))</f>
        <v/>
      </c>
      <c r="N64" s="63">
        <v>10</v>
      </c>
      <c r="O64" s="37"/>
    </row>
    <row r="65" spans="1:15" ht="16.5" customHeight="1">
      <c r="A65" s="469"/>
      <c r="B65" s="469"/>
      <c r="C65" s="101" t="str">
        <f>Glossary!B198</f>
        <v>Requirements Documentation</v>
      </c>
      <c r="D65" s="402"/>
      <c r="E65" t="b">
        <f t="shared" si="40"/>
        <v>0</v>
      </c>
      <c r="F65" s="51" t="str">
        <f t="shared" si="41"/>
        <v/>
      </c>
      <c r="G65" s="53">
        <v>10</v>
      </c>
      <c r="H65" s="400"/>
      <c r="I65" s="56"/>
      <c r="J65" s="192"/>
      <c r="K65" s="193"/>
      <c r="L65" s="129"/>
      <c r="M65" s="129"/>
      <c r="O65" s="37"/>
    </row>
    <row r="66" spans="1:15" ht="16.5" customHeight="1">
      <c r="A66" s="88"/>
      <c r="B66" s="470"/>
      <c r="C66" s="204"/>
      <c r="D66" s="152"/>
      <c r="E66" s="152"/>
      <c r="F66" s="152"/>
      <c r="G66" s="152"/>
      <c r="H66" s="37"/>
      <c r="I66" s="73"/>
      <c r="J66" s="37"/>
      <c r="K66" s="37"/>
      <c r="L66" s="97"/>
      <c r="M66" s="97"/>
      <c r="O66" s="37"/>
    </row>
    <row r="67" spans="1:15" ht="16.5" hidden="1" customHeight="1">
      <c r="A67" s="88"/>
      <c r="B67" s="103"/>
      <c r="C67" s="166"/>
      <c r="D67" s="169">
        <f>COUNTA(D39:D65,K39:K43,K50,K55:K61,K64)/COUNTA(F39:F65,M39:M43,M50,M55:M61,M64)</f>
        <v>0</v>
      </c>
      <c r="E67" s="53">
        <f t="shared" ref="E67:F67" si="42">SUM(E39:E65)</f>
        <v>0</v>
      </c>
      <c r="F67" s="51">
        <f t="shared" si="42"/>
        <v>0</v>
      </c>
      <c r="G67" s="51"/>
      <c r="H67" t="str">
        <f>IFERROR(AVERAGE(H39:H65),"")</f>
        <v/>
      </c>
      <c r="J67" s="95"/>
      <c r="K67" s="97"/>
      <c r="L67" s="97">
        <f t="shared" ref="L67:M67" si="43">SUM(L39:L43,L50,L55:L65)</f>
        <v>0</v>
      </c>
      <c r="M67" s="97">
        <f t="shared" si="43"/>
        <v>0</v>
      </c>
      <c r="O67" s="37"/>
    </row>
    <row r="68" spans="1:15" ht="16.5" customHeight="1">
      <c r="A68" s="468" t="s">
        <v>50</v>
      </c>
      <c r="B68" s="472" t="s">
        <v>108</v>
      </c>
      <c r="C68" s="45" t="str">
        <f>Glossary!B56</f>
        <v>Components Specification</v>
      </c>
      <c r="D68" s="402"/>
      <c r="E68" t="b">
        <f t="shared" ref="E68:E73" si="44">IF(OR(D68="y",D68="n"), G68)</f>
        <v>0</v>
      </c>
      <c r="F68" s="51" t="str">
        <f t="shared" ref="F68:F73" si="45">IF(D68 = "Y",E68, IF(D68="n",0, ""))</f>
        <v/>
      </c>
      <c r="G68" s="53">
        <v>10</v>
      </c>
      <c r="H68" s="400"/>
      <c r="I68" s="56"/>
      <c r="J68" s="45" t="str">
        <f>Glossary!B266</f>
        <v xml:space="preserve">Training Materials </v>
      </c>
      <c r="K68" s="397"/>
      <c r="L68" t="b">
        <f t="shared" ref="L68:L69" si="46">IF(OR(K68="y",K68="n"), N68)</f>
        <v>0</v>
      </c>
      <c r="M68" s="51" t="str">
        <f t="shared" ref="M68:M69" si="47">IF(K68 = "Y",L68, IF(K68="n",0, ""))</f>
        <v/>
      </c>
      <c r="N68" s="63">
        <v>30</v>
      </c>
      <c r="O68" s="37"/>
    </row>
    <row r="69" spans="1:15" ht="16.5" customHeight="1">
      <c r="A69" s="469"/>
      <c r="B69" s="469"/>
      <c r="C69" s="45" t="str">
        <f>Glossary!B247</f>
        <v>Template Specification</v>
      </c>
      <c r="D69" s="402"/>
      <c r="E69" t="b">
        <f t="shared" si="44"/>
        <v>0</v>
      </c>
      <c r="F69" s="51" t="str">
        <f t="shared" si="45"/>
        <v/>
      </c>
      <c r="G69" s="53">
        <v>10</v>
      </c>
      <c r="H69" s="400"/>
      <c r="I69" s="56"/>
      <c r="J69" s="69" t="str">
        <f>Glossary!B272</f>
        <v>User Guides</v>
      </c>
      <c r="K69" s="397"/>
      <c r="L69" t="b">
        <f t="shared" si="46"/>
        <v>0</v>
      </c>
      <c r="M69" s="51" t="str">
        <f t="shared" si="47"/>
        <v/>
      </c>
      <c r="N69" s="63">
        <v>30</v>
      </c>
      <c r="O69" s="37"/>
    </row>
    <row r="70" spans="1:15" ht="16.5" customHeight="1">
      <c r="A70" s="469"/>
      <c r="B70" s="469"/>
      <c r="C70" s="45" t="str">
        <f>Glossary!B55</f>
        <v>Components and Templates relationship Specification</v>
      </c>
      <c r="D70" s="402"/>
      <c r="E70" t="b">
        <f t="shared" si="44"/>
        <v>0</v>
      </c>
      <c r="F70" s="51" t="str">
        <f t="shared" si="45"/>
        <v/>
      </c>
      <c r="G70" s="53">
        <v>10</v>
      </c>
      <c r="H70" s="400"/>
      <c r="I70" s="56"/>
      <c r="J70" s="289"/>
      <c r="K70" s="123"/>
      <c r="L70" s="97"/>
      <c r="M70" s="97"/>
      <c r="O70" s="37"/>
    </row>
    <row r="71" spans="1:15" ht="16.5" customHeight="1">
      <c r="A71" s="469"/>
      <c r="B71" s="469"/>
      <c r="C71" s="45" t="str">
        <f>Glossary!B224</f>
        <v>Special Functionality Specification</v>
      </c>
      <c r="D71" s="402"/>
      <c r="E71" t="b">
        <f t="shared" si="44"/>
        <v>0</v>
      </c>
      <c r="F71" s="51" t="str">
        <f t="shared" si="45"/>
        <v/>
      </c>
      <c r="G71" s="53">
        <v>10</v>
      </c>
      <c r="H71" s="400"/>
      <c r="I71" s="56"/>
      <c r="J71" s="128"/>
      <c r="K71" s="129"/>
      <c r="L71" s="129"/>
      <c r="M71" s="129"/>
      <c r="O71" s="37"/>
    </row>
    <row r="72" spans="1:15" ht="16.5" customHeight="1">
      <c r="A72" s="469"/>
      <c r="B72" s="469"/>
      <c r="C72" s="45" t="str">
        <f>Glossary!B259</f>
        <v>Third party integration Specification</v>
      </c>
      <c r="D72" s="402"/>
      <c r="E72" t="b">
        <f t="shared" si="44"/>
        <v>0</v>
      </c>
      <c r="F72" s="51" t="str">
        <f t="shared" si="45"/>
        <v/>
      </c>
      <c r="G72" s="53">
        <v>10</v>
      </c>
      <c r="H72" s="400"/>
      <c r="I72" s="56"/>
      <c r="J72" s="290"/>
      <c r="K72" s="37"/>
      <c r="L72" s="129"/>
      <c r="M72" s="129"/>
      <c r="O72" s="37"/>
    </row>
    <row r="73" spans="1:15" ht="16.5" customHeight="1">
      <c r="A73" s="470"/>
      <c r="B73" s="470"/>
      <c r="C73" s="45" t="str">
        <f>Glossary!B87</f>
        <v>Experience Specifications</v>
      </c>
      <c r="D73" s="402"/>
      <c r="E73" t="b">
        <f t="shared" si="44"/>
        <v>0</v>
      </c>
      <c r="F73" s="51" t="str">
        <f t="shared" si="45"/>
        <v/>
      </c>
      <c r="G73" s="53">
        <v>10</v>
      </c>
      <c r="H73" s="400"/>
      <c r="I73" s="56"/>
      <c r="J73" s="152"/>
      <c r="K73" s="37"/>
      <c r="L73" s="129"/>
      <c r="M73" s="129"/>
      <c r="O73" s="37"/>
    </row>
    <row r="74" spans="1:15" ht="12.75" hidden="1" customHeight="1">
      <c r="A74" s="212"/>
      <c r="B74" s="212"/>
      <c r="C74" s="212"/>
      <c r="D74" s="169">
        <f>COUNTA(D68:D73,K68:K69)/COUNTA(F68:F73,M68:M69)</f>
        <v>0</v>
      </c>
      <c r="E74" s="271">
        <f t="shared" ref="E74:F74" si="48">SUM(E68:E73)</f>
        <v>0</v>
      </c>
      <c r="F74" s="271">
        <f t="shared" si="48"/>
        <v>0</v>
      </c>
      <c r="G74" s="212"/>
      <c r="H74" t="str">
        <f>IFERROR(AVERAGE(H68:H73),"")</f>
        <v/>
      </c>
      <c r="J74" s="212"/>
      <c r="K74" s="212"/>
      <c r="L74">
        <f t="shared" ref="L74:M74" si="49">SUM(L68:L69)</f>
        <v>0</v>
      </c>
      <c r="M74" s="212">
        <f t="shared" si="49"/>
        <v>0</v>
      </c>
    </row>
    <row r="75" spans="1:15" ht="21" customHeight="1">
      <c r="A75" s="211"/>
      <c r="B75" s="211"/>
      <c r="C75" s="211"/>
      <c r="D75" s="211"/>
      <c r="E75" s="211"/>
      <c r="F75" s="211"/>
      <c r="G75" s="211"/>
      <c r="H75" s="37"/>
      <c r="I75" s="37"/>
      <c r="J75" s="211"/>
      <c r="K75" s="211"/>
      <c r="L75" s="37"/>
      <c r="M75" s="37"/>
      <c r="N75" s="37"/>
      <c r="O75" s="37"/>
    </row>
    <row r="76" spans="1:15" ht="12.75" customHeight="1">
      <c r="A76" s="212"/>
      <c r="B76" s="212"/>
      <c r="C76" s="212"/>
      <c r="D76" s="212"/>
      <c r="E76" s="212"/>
      <c r="F76" s="212"/>
      <c r="G76" s="212"/>
      <c r="J76" s="212"/>
      <c r="K76" s="212"/>
      <c r="L76" s="212"/>
      <c r="M76" s="212"/>
    </row>
    <row r="77" spans="1:15" ht="12.75" customHeight="1">
      <c r="A77" s="212"/>
      <c r="B77" s="212"/>
      <c r="C77" s="212"/>
      <c r="D77" s="212"/>
      <c r="E77" s="212"/>
      <c r="F77" s="212"/>
      <c r="G77" s="212"/>
      <c r="J77" s="212"/>
      <c r="K77" s="212"/>
      <c r="L77" s="212"/>
      <c r="M77" s="212"/>
    </row>
    <row r="78" spans="1:15" ht="12.75" customHeight="1">
      <c r="A78" s="212"/>
      <c r="B78" s="212"/>
      <c r="C78" s="212"/>
      <c r="D78" s="212"/>
      <c r="E78" s="212"/>
      <c r="F78" s="212"/>
      <c r="G78" s="212"/>
      <c r="J78" s="212"/>
      <c r="K78" s="212"/>
      <c r="L78" s="212"/>
      <c r="M78" s="212"/>
    </row>
    <row r="79" spans="1:15" ht="12.75" customHeight="1">
      <c r="A79" s="212"/>
      <c r="B79" s="212"/>
      <c r="C79" s="212"/>
      <c r="D79" s="213"/>
      <c r="E79" s="213"/>
      <c r="F79" s="213"/>
      <c r="G79" s="213"/>
      <c r="H79" s="214"/>
      <c r="I79" s="214"/>
      <c r="J79" s="213"/>
      <c r="K79" s="212"/>
      <c r="L79" s="212"/>
      <c r="M79" s="212"/>
    </row>
    <row r="80" spans="1:15" ht="12.75" customHeight="1">
      <c r="A80" s="212"/>
      <c r="B80" s="212"/>
      <c r="C80" s="212"/>
      <c r="D80" s="212"/>
      <c r="E80" s="212"/>
      <c r="F80" s="212"/>
      <c r="G80" s="212"/>
      <c r="J80" s="212"/>
      <c r="K80" s="212"/>
      <c r="L80" s="212"/>
      <c r="M80" s="212"/>
    </row>
    <row r="81" spans="1:13" ht="12.75" customHeight="1">
      <c r="A81" s="212"/>
      <c r="B81" s="212"/>
      <c r="C81" s="212"/>
      <c r="D81" s="212"/>
      <c r="E81" s="212"/>
      <c r="F81" s="212"/>
      <c r="G81" s="212"/>
      <c r="J81" s="212"/>
      <c r="K81" s="212"/>
      <c r="L81" s="212"/>
      <c r="M81" s="212"/>
    </row>
    <row r="82" spans="1:13" ht="12.75" customHeight="1">
      <c r="A82" s="212"/>
      <c r="B82" s="212"/>
      <c r="C82" s="212"/>
      <c r="D82" s="212"/>
      <c r="E82" s="212"/>
      <c r="F82" s="212"/>
      <c r="G82" s="212"/>
      <c r="J82" s="212"/>
      <c r="K82" s="212"/>
      <c r="L82" s="212"/>
      <c r="M82" s="212"/>
    </row>
    <row r="83" spans="1:13" ht="12.75" customHeight="1">
      <c r="A83" s="212"/>
      <c r="B83" s="212"/>
      <c r="C83" s="212"/>
      <c r="D83" s="212"/>
      <c r="E83" s="212"/>
      <c r="F83" s="212"/>
      <c r="G83" s="212"/>
      <c r="J83" s="212"/>
      <c r="K83" s="212"/>
      <c r="L83" s="212"/>
      <c r="M83" s="212"/>
    </row>
    <row r="84" spans="1:13" ht="12.75" customHeight="1">
      <c r="A84" s="212"/>
      <c r="B84" s="212"/>
      <c r="C84" s="212"/>
      <c r="D84" s="212"/>
      <c r="E84" s="212"/>
      <c r="F84" s="212"/>
      <c r="G84" s="212"/>
      <c r="J84" s="212"/>
      <c r="K84" s="212"/>
      <c r="L84" s="212"/>
      <c r="M84" s="212"/>
    </row>
    <row r="85" spans="1:13" ht="12.75" customHeight="1">
      <c r="A85" s="212"/>
      <c r="B85" s="212"/>
      <c r="C85" s="212"/>
      <c r="D85" s="212"/>
      <c r="E85" s="212"/>
      <c r="F85" s="212"/>
      <c r="G85" s="212"/>
      <c r="J85" s="212"/>
      <c r="K85" s="212"/>
      <c r="L85" s="212"/>
      <c r="M85" s="212"/>
    </row>
    <row r="86" spans="1:13" ht="12.75" customHeight="1">
      <c r="A86" s="212"/>
      <c r="B86" s="212"/>
      <c r="C86" s="212"/>
      <c r="D86" s="212"/>
      <c r="E86" s="212"/>
      <c r="F86" s="212"/>
      <c r="G86" s="212"/>
      <c r="J86" s="212"/>
      <c r="K86" s="212"/>
      <c r="L86" s="212"/>
      <c r="M86" s="212"/>
    </row>
    <row r="87" spans="1:13" ht="12.75" customHeight="1">
      <c r="A87" s="212"/>
      <c r="B87" s="212"/>
      <c r="C87" s="212"/>
      <c r="D87" s="212"/>
      <c r="E87" s="212"/>
      <c r="F87" s="212"/>
      <c r="G87" s="212"/>
      <c r="J87" s="212"/>
      <c r="K87" s="212"/>
      <c r="L87" s="212"/>
      <c r="M87" s="212"/>
    </row>
    <row r="88" spans="1:13" ht="12.75" customHeight="1">
      <c r="A88" s="212"/>
      <c r="B88" s="212"/>
      <c r="C88" s="212"/>
      <c r="D88" s="212"/>
      <c r="E88" s="212"/>
      <c r="F88" s="212"/>
      <c r="G88" s="212"/>
      <c r="J88" s="212"/>
      <c r="K88" s="212"/>
      <c r="L88" s="212"/>
      <c r="M88" s="212"/>
    </row>
    <row r="89" spans="1:13" ht="12.75" customHeight="1">
      <c r="A89" s="212"/>
      <c r="B89" s="212"/>
      <c r="C89" s="212"/>
      <c r="D89" s="212"/>
      <c r="E89" s="212"/>
      <c r="F89" s="212"/>
      <c r="G89" s="212"/>
      <c r="J89" s="212"/>
      <c r="K89" s="212"/>
      <c r="L89" s="212"/>
      <c r="M89" s="212"/>
    </row>
    <row r="90" spans="1:13" ht="12.75" customHeight="1">
      <c r="A90" s="212"/>
      <c r="B90" s="212"/>
      <c r="C90" s="212"/>
      <c r="D90" s="212"/>
      <c r="E90" s="212"/>
      <c r="F90" s="212"/>
      <c r="G90" s="212"/>
      <c r="J90" s="212"/>
      <c r="K90" s="212"/>
      <c r="L90" s="212"/>
      <c r="M90" s="212"/>
    </row>
    <row r="91" spans="1:13" ht="12.75" customHeight="1">
      <c r="A91" s="212"/>
      <c r="B91" s="212"/>
      <c r="C91" s="212"/>
      <c r="D91" s="212"/>
      <c r="E91" s="212"/>
      <c r="F91" s="212"/>
      <c r="G91" s="212"/>
      <c r="J91" s="212"/>
      <c r="K91" s="212"/>
      <c r="L91" s="212"/>
      <c r="M91" s="212"/>
    </row>
    <row r="92" spans="1:13" ht="12.75" customHeight="1">
      <c r="A92" s="212"/>
      <c r="B92" s="212"/>
      <c r="C92" s="212"/>
      <c r="D92" s="212"/>
      <c r="E92" s="212"/>
      <c r="F92" s="212"/>
      <c r="G92" s="212"/>
      <c r="J92" s="212"/>
      <c r="K92" s="212"/>
      <c r="L92" s="212"/>
      <c r="M92" s="212"/>
    </row>
    <row r="93" spans="1:13" ht="12.75" customHeight="1">
      <c r="A93" s="212"/>
      <c r="B93" s="212"/>
      <c r="C93" s="212"/>
      <c r="D93" s="212"/>
      <c r="E93" s="212"/>
      <c r="F93" s="212"/>
      <c r="G93" s="212"/>
      <c r="J93" s="212"/>
      <c r="K93" s="212"/>
      <c r="L93" s="212"/>
      <c r="M93" s="212"/>
    </row>
    <row r="94" spans="1:13" ht="12.75" customHeight="1">
      <c r="A94" s="212"/>
      <c r="B94" s="212"/>
      <c r="C94" s="212"/>
      <c r="D94" s="212"/>
      <c r="E94" s="212"/>
      <c r="F94" s="212"/>
      <c r="G94" s="212"/>
      <c r="J94" s="212"/>
      <c r="K94" s="212"/>
      <c r="L94" s="212"/>
      <c r="M94" s="212"/>
    </row>
    <row r="95" spans="1:13" ht="12.75" customHeight="1">
      <c r="A95" s="212"/>
      <c r="B95" s="212"/>
      <c r="C95" s="212"/>
      <c r="D95" s="212"/>
      <c r="E95" s="212"/>
      <c r="F95" s="212"/>
      <c r="G95" s="212"/>
      <c r="J95" s="212"/>
      <c r="K95" s="212"/>
      <c r="L95" s="212"/>
      <c r="M95" s="212"/>
    </row>
    <row r="96" spans="1:13" ht="12.75" customHeight="1">
      <c r="A96" s="212"/>
      <c r="B96" s="212"/>
      <c r="C96" s="212"/>
      <c r="D96" s="212"/>
      <c r="E96" s="212"/>
      <c r="F96" s="212"/>
      <c r="G96" s="212"/>
      <c r="J96" s="212"/>
      <c r="K96" s="212"/>
      <c r="L96" s="212"/>
      <c r="M96" s="212"/>
    </row>
    <row r="97" spans="1:13" ht="12.75" customHeight="1">
      <c r="A97" s="212"/>
      <c r="B97" s="212"/>
      <c r="C97" s="212"/>
      <c r="D97" s="212"/>
      <c r="E97" s="212"/>
      <c r="F97" s="212"/>
      <c r="G97" s="212"/>
      <c r="J97" s="212"/>
      <c r="K97" s="212"/>
      <c r="L97" s="212"/>
      <c r="M97" s="212"/>
    </row>
    <row r="98" spans="1:13" ht="12.75" customHeight="1">
      <c r="A98" s="212"/>
      <c r="B98" s="212"/>
      <c r="C98" s="212"/>
      <c r="D98" s="212"/>
      <c r="E98" s="212"/>
      <c r="F98" s="212"/>
      <c r="G98" s="212"/>
      <c r="J98" s="212"/>
      <c r="K98" s="212"/>
      <c r="L98" s="212"/>
      <c r="M98" s="212"/>
    </row>
    <row r="99" spans="1:13" ht="12.75" customHeight="1">
      <c r="A99" s="212"/>
      <c r="B99" s="212"/>
      <c r="C99" s="212"/>
      <c r="D99" s="212"/>
      <c r="E99" s="212"/>
      <c r="F99" s="212"/>
      <c r="G99" s="212"/>
      <c r="J99" s="212"/>
      <c r="K99" s="212"/>
      <c r="L99" s="212"/>
      <c r="M99" s="212"/>
    </row>
    <row r="100" spans="1:13" ht="12.75" customHeight="1">
      <c r="A100" s="212"/>
      <c r="B100" s="212"/>
      <c r="C100" s="212"/>
      <c r="D100" s="212"/>
      <c r="E100" s="212"/>
      <c r="F100" s="212"/>
      <c r="G100" s="212"/>
      <c r="J100" s="212"/>
      <c r="K100" s="212"/>
      <c r="L100" s="212"/>
      <c r="M100" s="212"/>
    </row>
    <row r="101" spans="1:13" ht="12.75" customHeight="1">
      <c r="A101" s="212"/>
      <c r="B101" s="212"/>
      <c r="C101" s="212"/>
      <c r="D101" s="212"/>
      <c r="E101" s="212"/>
      <c r="F101" s="212"/>
      <c r="G101" s="212"/>
      <c r="J101" s="212"/>
      <c r="K101" s="212"/>
      <c r="L101" s="212"/>
      <c r="M101" s="212"/>
    </row>
    <row r="102" spans="1:13" ht="12.75" customHeight="1">
      <c r="A102" s="212"/>
      <c r="B102" s="212"/>
      <c r="C102" s="212"/>
      <c r="D102" s="212"/>
      <c r="E102" s="212"/>
      <c r="F102" s="212"/>
      <c r="G102" s="212"/>
      <c r="J102" s="212"/>
      <c r="K102" s="212"/>
      <c r="L102" s="212"/>
      <c r="M102" s="212"/>
    </row>
    <row r="103" spans="1:13" ht="12.75" customHeight="1">
      <c r="A103" s="212"/>
      <c r="B103" s="212"/>
      <c r="C103" s="212"/>
      <c r="D103" s="212"/>
      <c r="E103" s="212"/>
      <c r="F103" s="212"/>
      <c r="G103" s="212"/>
      <c r="J103" s="212"/>
      <c r="K103" s="212"/>
      <c r="L103" s="212"/>
      <c r="M103" s="212"/>
    </row>
    <row r="104" spans="1:13" ht="12.75" customHeight="1">
      <c r="A104" s="212"/>
      <c r="B104" s="212"/>
      <c r="C104" s="212"/>
      <c r="D104" s="212"/>
      <c r="E104" s="212"/>
      <c r="F104" s="212"/>
      <c r="G104" s="212"/>
      <c r="J104" s="212"/>
      <c r="K104" s="212"/>
      <c r="L104" s="212"/>
      <c r="M104" s="212"/>
    </row>
    <row r="105" spans="1:13" ht="12.75" customHeight="1">
      <c r="A105" s="212"/>
      <c r="B105" s="212"/>
      <c r="C105" s="212"/>
      <c r="D105" s="212"/>
      <c r="E105" s="212"/>
      <c r="F105" s="212"/>
      <c r="G105" s="212"/>
      <c r="J105" s="212"/>
      <c r="K105" s="212"/>
      <c r="L105" s="212"/>
      <c r="M105" s="212"/>
    </row>
    <row r="106" spans="1:13" ht="12.75" customHeight="1">
      <c r="A106" s="212"/>
      <c r="B106" s="212"/>
      <c r="C106" s="212"/>
      <c r="D106" s="212"/>
      <c r="E106" s="212"/>
      <c r="F106" s="212"/>
      <c r="G106" s="212"/>
      <c r="J106" s="212"/>
      <c r="K106" s="212"/>
      <c r="L106" s="212"/>
      <c r="M106" s="212"/>
    </row>
    <row r="107" spans="1:13" ht="12.75" customHeight="1">
      <c r="A107" s="212"/>
      <c r="B107" s="212"/>
      <c r="C107" s="212"/>
      <c r="D107" s="212"/>
      <c r="E107" s="212"/>
      <c r="F107" s="212"/>
      <c r="G107" s="212"/>
      <c r="J107" s="212"/>
      <c r="K107" s="212"/>
      <c r="L107" s="212"/>
      <c r="M107" s="212"/>
    </row>
    <row r="108" spans="1:13" ht="12.75" customHeight="1">
      <c r="A108" s="212"/>
      <c r="B108" s="212"/>
      <c r="C108" s="212"/>
      <c r="D108" s="212"/>
      <c r="E108" s="212"/>
      <c r="F108" s="212"/>
      <c r="G108" s="212"/>
      <c r="J108" s="212"/>
      <c r="K108" s="212"/>
      <c r="L108" s="212"/>
      <c r="M108" s="212"/>
    </row>
    <row r="109" spans="1:13" ht="12.75" customHeight="1">
      <c r="A109" s="212"/>
      <c r="B109" s="212"/>
      <c r="C109" s="212"/>
      <c r="D109" s="212"/>
      <c r="E109" s="212"/>
      <c r="F109" s="212"/>
      <c r="G109" s="212"/>
      <c r="J109" s="212"/>
      <c r="K109" s="212"/>
      <c r="L109" s="212"/>
      <c r="M109" s="212"/>
    </row>
    <row r="110" spans="1:13" ht="12.75" customHeight="1">
      <c r="A110" s="212"/>
      <c r="B110" s="212"/>
      <c r="C110" s="212"/>
      <c r="D110" s="212"/>
      <c r="E110" s="212"/>
      <c r="F110" s="212"/>
      <c r="G110" s="212"/>
      <c r="J110" s="212"/>
      <c r="K110" s="212"/>
      <c r="L110" s="212"/>
      <c r="M110" s="212"/>
    </row>
    <row r="111" spans="1:13" ht="12.75" customHeight="1">
      <c r="A111" s="212"/>
      <c r="B111" s="212"/>
      <c r="C111" s="212"/>
      <c r="D111" s="212"/>
      <c r="E111" s="212"/>
      <c r="F111" s="212"/>
      <c r="G111" s="212"/>
      <c r="J111" s="212"/>
      <c r="K111" s="212"/>
      <c r="L111" s="212"/>
      <c r="M111" s="212"/>
    </row>
    <row r="112" spans="1:13" ht="12.75" customHeight="1">
      <c r="A112" s="212"/>
      <c r="B112" s="212"/>
      <c r="C112" s="212"/>
      <c r="D112" s="212"/>
      <c r="E112" s="212"/>
      <c r="F112" s="212"/>
      <c r="G112" s="212"/>
      <c r="J112" s="212"/>
      <c r="K112" s="212"/>
      <c r="L112" s="212"/>
      <c r="M112" s="212"/>
    </row>
    <row r="113" spans="1:13" ht="12.75" customHeight="1">
      <c r="A113" s="212"/>
      <c r="B113" s="212"/>
      <c r="C113" s="212"/>
      <c r="D113" s="212"/>
      <c r="E113" s="212"/>
      <c r="F113" s="212"/>
      <c r="G113" s="212"/>
      <c r="J113" s="212"/>
      <c r="K113" s="212"/>
      <c r="L113" s="212"/>
      <c r="M113" s="212"/>
    </row>
    <row r="114" spans="1:13" ht="12.75" customHeight="1">
      <c r="A114" s="212"/>
      <c r="B114" s="212"/>
      <c r="C114" s="212"/>
      <c r="D114" s="212"/>
      <c r="E114" s="212"/>
      <c r="F114" s="212"/>
      <c r="G114" s="212"/>
      <c r="J114" s="212"/>
      <c r="K114" s="212"/>
      <c r="L114" s="212"/>
      <c r="M114" s="212"/>
    </row>
    <row r="115" spans="1:13" ht="12.75" customHeight="1">
      <c r="A115" s="212"/>
      <c r="B115" s="212"/>
      <c r="C115" s="212"/>
      <c r="D115" s="212"/>
      <c r="E115" s="212"/>
      <c r="F115" s="212"/>
      <c r="G115" s="212"/>
      <c r="J115" s="212"/>
      <c r="K115" s="212"/>
      <c r="L115" s="212"/>
      <c r="M115" s="212"/>
    </row>
    <row r="116" spans="1:13" ht="12.75" customHeight="1">
      <c r="A116" s="212"/>
      <c r="B116" s="212"/>
      <c r="C116" s="212"/>
      <c r="D116" s="212"/>
      <c r="E116" s="212"/>
      <c r="F116" s="212"/>
      <c r="G116" s="212"/>
      <c r="J116" s="212"/>
      <c r="K116" s="212"/>
      <c r="L116" s="212"/>
      <c r="M116" s="212"/>
    </row>
    <row r="117" spans="1:13" ht="12.75" customHeight="1">
      <c r="A117" s="212"/>
      <c r="B117" s="212"/>
      <c r="C117" s="212"/>
      <c r="D117" s="212"/>
      <c r="E117" s="212"/>
      <c r="F117" s="212"/>
      <c r="G117" s="212"/>
      <c r="J117" s="212"/>
      <c r="K117" s="212"/>
      <c r="L117" s="212"/>
      <c r="M117" s="212"/>
    </row>
    <row r="118" spans="1:13" ht="12.75" customHeight="1">
      <c r="A118" s="212"/>
      <c r="B118" s="212"/>
      <c r="C118" s="212"/>
      <c r="D118" s="212"/>
      <c r="E118" s="212"/>
      <c r="F118" s="212"/>
      <c r="G118" s="212"/>
      <c r="J118" s="212"/>
      <c r="K118" s="212"/>
      <c r="L118" s="212"/>
      <c r="M118" s="212"/>
    </row>
    <row r="119" spans="1:13" ht="12.75" customHeight="1">
      <c r="A119" s="212"/>
      <c r="B119" s="212"/>
      <c r="C119" s="212"/>
      <c r="D119" s="212"/>
      <c r="E119" s="212"/>
      <c r="F119" s="212"/>
      <c r="G119" s="212"/>
      <c r="J119" s="212"/>
      <c r="K119" s="212"/>
      <c r="L119" s="212"/>
      <c r="M119" s="212"/>
    </row>
    <row r="120" spans="1:13" ht="12.75" customHeight="1">
      <c r="A120" s="212"/>
      <c r="B120" s="212"/>
      <c r="C120" s="212"/>
      <c r="D120" s="212"/>
      <c r="E120" s="212"/>
      <c r="F120" s="212"/>
      <c r="G120" s="212"/>
      <c r="J120" s="212"/>
      <c r="K120" s="212"/>
      <c r="L120" s="212"/>
      <c r="M120" s="212"/>
    </row>
    <row r="121" spans="1:13" ht="12.75" customHeight="1">
      <c r="A121" s="212"/>
      <c r="B121" s="212"/>
      <c r="C121" s="212"/>
      <c r="D121" s="212"/>
      <c r="E121" s="212"/>
      <c r="F121" s="212"/>
      <c r="G121" s="212"/>
      <c r="J121" s="212"/>
      <c r="K121" s="212"/>
      <c r="L121" s="212"/>
      <c r="M121" s="212"/>
    </row>
    <row r="122" spans="1:13" ht="12.75" customHeight="1">
      <c r="A122" s="212"/>
      <c r="B122" s="212"/>
      <c r="C122" s="212"/>
      <c r="D122" s="212"/>
      <c r="E122" s="212"/>
      <c r="F122" s="212"/>
      <c r="G122" s="212"/>
      <c r="J122" s="212"/>
      <c r="K122" s="212"/>
      <c r="L122" s="212"/>
      <c r="M122" s="212"/>
    </row>
    <row r="123" spans="1:13" ht="12.75" customHeight="1">
      <c r="A123" s="212"/>
      <c r="B123" s="212"/>
      <c r="C123" s="212"/>
      <c r="D123" s="212"/>
      <c r="E123" s="212"/>
      <c r="F123" s="212"/>
      <c r="G123" s="212"/>
      <c r="J123" s="212"/>
      <c r="K123" s="212"/>
      <c r="L123" s="212"/>
      <c r="M123" s="212"/>
    </row>
    <row r="124" spans="1:13" ht="12.75" customHeight="1">
      <c r="A124" s="212"/>
      <c r="B124" s="212"/>
      <c r="C124" s="212"/>
      <c r="D124" s="212"/>
      <c r="E124" s="212"/>
      <c r="F124" s="212"/>
      <c r="G124" s="212"/>
      <c r="J124" s="212"/>
      <c r="K124" s="212"/>
      <c r="L124" s="212"/>
      <c r="M124" s="212"/>
    </row>
    <row r="125" spans="1:13" ht="12.75" customHeight="1">
      <c r="A125" s="212"/>
      <c r="B125" s="212"/>
      <c r="C125" s="212"/>
      <c r="D125" s="212"/>
      <c r="E125" s="212"/>
      <c r="F125" s="212"/>
      <c r="G125" s="212"/>
      <c r="J125" s="212"/>
      <c r="K125" s="212"/>
      <c r="L125" s="212"/>
      <c r="M125" s="212"/>
    </row>
    <row r="126" spans="1:13" ht="12.75" customHeight="1">
      <c r="A126" s="212"/>
      <c r="B126" s="212"/>
      <c r="C126" s="212"/>
      <c r="D126" s="212"/>
      <c r="E126" s="212"/>
      <c r="F126" s="212"/>
      <c r="G126" s="212"/>
      <c r="J126" s="212"/>
      <c r="K126" s="212"/>
      <c r="L126" s="212"/>
      <c r="M126" s="212"/>
    </row>
    <row r="127" spans="1:13" ht="12.75" customHeight="1">
      <c r="A127" s="212"/>
      <c r="B127" s="212"/>
      <c r="C127" s="212"/>
      <c r="D127" s="212"/>
      <c r="E127" s="212"/>
      <c r="F127" s="212"/>
      <c r="G127" s="212"/>
      <c r="J127" s="212"/>
      <c r="K127" s="212"/>
      <c r="L127" s="212"/>
      <c r="M127" s="212"/>
    </row>
    <row r="128" spans="1:13" ht="12.75" customHeight="1">
      <c r="A128" s="212"/>
      <c r="B128" s="212"/>
      <c r="C128" s="212"/>
      <c r="D128" s="212"/>
      <c r="E128" s="212"/>
      <c r="F128" s="212"/>
      <c r="G128" s="212"/>
      <c r="J128" s="212"/>
      <c r="K128" s="212"/>
      <c r="L128" s="212"/>
      <c r="M128" s="212"/>
    </row>
    <row r="129" spans="1:13" ht="12.75" customHeight="1">
      <c r="A129" s="212"/>
      <c r="B129" s="212"/>
      <c r="C129" s="212"/>
      <c r="D129" s="212"/>
      <c r="E129" s="212"/>
      <c r="F129" s="212"/>
      <c r="G129" s="212"/>
      <c r="J129" s="212"/>
      <c r="K129" s="212"/>
      <c r="L129" s="212"/>
      <c r="M129" s="212"/>
    </row>
    <row r="130" spans="1:13" ht="12.75" customHeight="1">
      <c r="A130" s="212"/>
      <c r="B130" s="212"/>
      <c r="C130" s="212"/>
      <c r="D130" s="212"/>
      <c r="E130" s="212"/>
      <c r="F130" s="212"/>
      <c r="G130" s="212"/>
      <c r="J130" s="212"/>
      <c r="K130" s="212"/>
      <c r="L130" s="212"/>
      <c r="M130" s="212"/>
    </row>
    <row r="131" spans="1:13" ht="12.75" customHeight="1">
      <c r="A131" s="212"/>
      <c r="B131" s="212"/>
      <c r="C131" s="212"/>
      <c r="D131" s="212"/>
      <c r="E131" s="212"/>
      <c r="F131" s="212"/>
      <c r="G131" s="212"/>
      <c r="J131" s="212"/>
      <c r="K131" s="212"/>
      <c r="L131" s="212"/>
      <c r="M131" s="212"/>
    </row>
    <row r="132" spans="1:13" ht="12.75" customHeight="1">
      <c r="A132" s="212"/>
      <c r="B132" s="212"/>
      <c r="C132" s="212"/>
      <c r="D132" s="212"/>
      <c r="E132" s="212"/>
      <c r="F132" s="212"/>
      <c r="G132" s="212"/>
      <c r="J132" s="212"/>
      <c r="K132" s="212"/>
      <c r="L132" s="212"/>
      <c r="M132" s="212"/>
    </row>
    <row r="133" spans="1:13" ht="12.75" customHeight="1">
      <c r="A133" s="212"/>
      <c r="B133" s="212"/>
      <c r="C133" s="212"/>
      <c r="D133" s="212"/>
      <c r="E133" s="212"/>
      <c r="F133" s="212"/>
      <c r="G133" s="212"/>
      <c r="J133" s="212"/>
      <c r="K133" s="212"/>
      <c r="L133" s="212"/>
      <c r="M133" s="212"/>
    </row>
    <row r="134" spans="1:13" ht="12.75" customHeight="1">
      <c r="A134" s="212"/>
      <c r="B134" s="212"/>
      <c r="C134" s="212"/>
      <c r="D134" s="212"/>
      <c r="E134" s="212"/>
      <c r="F134" s="212"/>
      <c r="G134" s="212"/>
      <c r="J134" s="212"/>
      <c r="K134" s="212"/>
      <c r="L134" s="212"/>
      <c r="M134" s="212"/>
    </row>
    <row r="135" spans="1:13" ht="12.75" customHeight="1">
      <c r="A135" s="212"/>
      <c r="B135" s="212"/>
      <c r="C135" s="212"/>
      <c r="D135" s="212"/>
      <c r="E135" s="212"/>
      <c r="F135" s="212"/>
      <c r="G135" s="212"/>
      <c r="J135" s="212"/>
      <c r="K135" s="212"/>
      <c r="L135" s="212"/>
      <c r="M135" s="212"/>
    </row>
    <row r="136" spans="1:13" ht="12.75" customHeight="1">
      <c r="A136" s="212"/>
      <c r="B136" s="212"/>
      <c r="C136" s="212"/>
      <c r="D136" s="212"/>
      <c r="E136" s="212"/>
      <c r="F136" s="212"/>
      <c r="G136" s="212"/>
      <c r="J136" s="212"/>
      <c r="K136" s="212"/>
      <c r="L136" s="212"/>
      <c r="M136" s="212"/>
    </row>
    <row r="137" spans="1:13" ht="12.75" customHeight="1">
      <c r="A137" s="212"/>
      <c r="B137" s="212"/>
      <c r="C137" s="212"/>
      <c r="D137" s="212"/>
      <c r="E137" s="212"/>
      <c r="F137" s="212"/>
      <c r="G137" s="212"/>
      <c r="J137" s="212"/>
      <c r="K137" s="212"/>
      <c r="L137" s="212"/>
      <c r="M137" s="212"/>
    </row>
    <row r="138" spans="1:13" ht="12.75" customHeight="1">
      <c r="A138" s="212"/>
      <c r="B138" s="212"/>
      <c r="C138" s="212"/>
      <c r="D138" s="212"/>
      <c r="E138" s="212"/>
      <c r="F138" s="212"/>
      <c r="G138" s="212"/>
      <c r="J138" s="212"/>
      <c r="K138" s="212"/>
      <c r="L138" s="212"/>
      <c r="M138" s="212"/>
    </row>
    <row r="139" spans="1:13" ht="12.75" customHeight="1">
      <c r="A139" s="212"/>
      <c r="B139" s="212"/>
      <c r="C139" s="212"/>
      <c r="D139" s="212"/>
      <c r="E139" s="212"/>
      <c r="F139" s="212"/>
      <c r="G139" s="212"/>
      <c r="J139" s="212"/>
      <c r="K139" s="212"/>
      <c r="L139" s="212"/>
      <c r="M139" s="212"/>
    </row>
    <row r="140" spans="1:13" ht="12.75" customHeight="1">
      <c r="A140" s="212"/>
      <c r="B140" s="212"/>
      <c r="C140" s="212"/>
      <c r="D140" s="212"/>
      <c r="E140" s="212"/>
      <c r="F140" s="212"/>
      <c r="G140" s="212"/>
      <c r="J140" s="212"/>
      <c r="K140" s="212"/>
      <c r="L140" s="212"/>
      <c r="M140" s="212"/>
    </row>
    <row r="141" spans="1:13" ht="12.75" customHeight="1">
      <c r="A141" s="212"/>
      <c r="B141" s="212"/>
      <c r="C141" s="212"/>
      <c r="D141" s="212"/>
      <c r="E141" s="212"/>
      <c r="F141" s="212"/>
      <c r="G141" s="212"/>
      <c r="J141" s="212"/>
      <c r="K141" s="212"/>
      <c r="L141" s="212"/>
      <c r="M141" s="212"/>
    </row>
    <row r="142" spans="1:13" ht="12.75" customHeight="1">
      <c r="A142" s="212"/>
      <c r="B142" s="212"/>
      <c r="C142" s="212"/>
      <c r="D142" s="212"/>
      <c r="E142" s="212"/>
      <c r="F142" s="212"/>
      <c r="G142" s="212"/>
      <c r="J142" s="212"/>
      <c r="K142" s="212"/>
      <c r="L142" s="212"/>
      <c r="M142" s="212"/>
    </row>
    <row r="143" spans="1:13" ht="12.75" customHeight="1">
      <c r="A143" s="212"/>
      <c r="B143" s="212"/>
      <c r="C143" s="212"/>
      <c r="D143" s="212"/>
      <c r="E143" s="212"/>
      <c r="F143" s="212"/>
      <c r="G143" s="212"/>
      <c r="J143" s="212"/>
      <c r="K143" s="212"/>
      <c r="L143" s="212"/>
      <c r="M143" s="212"/>
    </row>
    <row r="144" spans="1:13" ht="12.75" customHeight="1">
      <c r="A144" s="212"/>
      <c r="B144" s="212"/>
      <c r="C144" s="212"/>
      <c r="D144" s="212"/>
      <c r="E144" s="212"/>
      <c r="F144" s="212"/>
      <c r="G144" s="212"/>
      <c r="J144" s="212"/>
      <c r="K144" s="212"/>
      <c r="L144" s="212"/>
      <c r="M144" s="212"/>
    </row>
    <row r="145" spans="1:13" ht="12.75" customHeight="1">
      <c r="A145" s="212"/>
      <c r="B145" s="212"/>
      <c r="C145" s="212"/>
      <c r="D145" s="212"/>
      <c r="E145" s="212"/>
      <c r="F145" s="212"/>
      <c r="G145" s="212"/>
      <c r="J145" s="212"/>
      <c r="K145" s="212"/>
      <c r="L145" s="212"/>
      <c r="M145" s="212"/>
    </row>
    <row r="146" spans="1:13" ht="12.75" customHeight="1">
      <c r="A146" s="212"/>
      <c r="B146" s="212"/>
      <c r="C146" s="212"/>
      <c r="D146" s="212"/>
      <c r="E146" s="212"/>
      <c r="F146" s="212"/>
      <c r="G146" s="212"/>
      <c r="J146" s="212"/>
      <c r="K146" s="212"/>
      <c r="L146" s="212"/>
      <c r="M146" s="212"/>
    </row>
    <row r="147" spans="1:13" ht="12.75" customHeight="1">
      <c r="A147" s="212"/>
      <c r="B147" s="212"/>
      <c r="C147" s="212"/>
      <c r="D147" s="212"/>
      <c r="E147" s="212"/>
      <c r="F147" s="212"/>
      <c r="G147" s="212"/>
      <c r="J147" s="212"/>
      <c r="K147" s="212"/>
      <c r="L147" s="212"/>
      <c r="M147" s="212"/>
    </row>
    <row r="148" spans="1:13" ht="12.75" customHeight="1">
      <c r="A148" s="212"/>
      <c r="B148" s="212"/>
      <c r="C148" s="212"/>
      <c r="D148" s="212"/>
      <c r="E148" s="212"/>
      <c r="F148" s="212"/>
      <c r="G148" s="212"/>
      <c r="J148" s="212"/>
      <c r="K148" s="212"/>
      <c r="L148" s="212"/>
      <c r="M148" s="212"/>
    </row>
    <row r="149" spans="1:13" ht="12.75" customHeight="1">
      <c r="A149" s="212"/>
      <c r="B149" s="212"/>
      <c r="C149" s="212"/>
      <c r="D149" s="212"/>
      <c r="E149" s="212"/>
      <c r="F149" s="212"/>
      <c r="G149" s="212"/>
      <c r="J149" s="212"/>
      <c r="K149" s="212"/>
      <c r="L149" s="212"/>
      <c r="M149" s="212"/>
    </row>
    <row r="150" spans="1:13" ht="12.75" customHeight="1">
      <c r="A150" s="212"/>
      <c r="B150" s="212"/>
      <c r="C150" s="212"/>
      <c r="D150" s="212"/>
      <c r="E150" s="212"/>
      <c r="F150" s="212"/>
      <c r="G150" s="212"/>
      <c r="J150" s="212"/>
      <c r="K150" s="212"/>
      <c r="L150" s="212"/>
      <c r="M150" s="212"/>
    </row>
    <row r="151" spans="1:13" ht="12.75" customHeight="1">
      <c r="A151" s="212"/>
      <c r="B151" s="212"/>
      <c r="C151" s="212"/>
      <c r="D151" s="212"/>
      <c r="E151" s="212"/>
      <c r="F151" s="212"/>
      <c r="G151" s="212"/>
      <c r="J151" s="212"/>
      <c r="K151" s="212"/>
      <c r="L151" s="212"/>
      <c r="M151" s="212"/>
    </row>
    <row r="152" spans="1:13" ht="12.75" customHeight="1">
      <c r="A152" s="212"/>
      <c r="B152" s="212"/>
      <c r="C152" s="212"/>
      <c r="D152" s="212"/>
      <c r="E152" s="212"/>
      <c r="F152" s="212"/>
      <c r="G152" s="212"/>
      <c r="J152" s="212"/>
      <c r="K152" s="212"/>
      <c r="L152" s="212"/>
      <c r="M152" s="212"/>
    </row>
    <row r="153" spans="1:13" ht="12.75" customHeight="1">
      <c r="A153" s="212"/>
      <c r="B153" s="212"/>
      <c r="C153" s="212"/>
      <c r="D153" s="212"/>
      <c r="E153" s="212"/>
      <c r="F153" s="212"/>
      <c r="G153" s="212"/>
      <c r="J153" s="212"/>
      <c r="K153" s="212"/>
      <c r="L153" s="212"/>
      <c r="M153" s="212"/>
    </row>
    <row r="154" spans="1:13" ht="12.75" customHeight="1">
      <c r="A154" s="212"/>
      <c r="B154" s="212"/>
      <c r="C154" s="212"/>
      <c r="D154" s="212"/>
      <c r="E154" s="212"/>
      <c r="F154" s="212"/>
      <c r="G154" s="212"/>
      <c r="J154" s="212"/>
      <c r="K154" s="212"/>
      <c r="L154" s="212"/>
      <c r="M154" s="212"/>
    </row>
    <row r="155" spans="1:13" ht="12.75" customHeight="1">
      <c r="A155" s="212"/>
      <c r="B155" s="212"/>
      <c r="C155" s="212"/>
      <c r="D155" s="212"/>
      <c r="E155" s="212"/>
      <c r="F155" s="212"/>
      <c r="G155" s="212"/>
      <c r="J155" s="212"/>
      <c r="K155" s="212"/>
      <c r="L155" s="212"/>
      <c r="M155" s="212"/>
    </row>
    <row r="156" spans="1:13" ht="12.75" customHeight="1">
      <c r="A156" s="212"/>
      <c r="B156" s="212"/>
      <c r="C156" s="212"/>
      <c r="D156" s="212"/>
      <c r="E156" s="212"/>
      <c r="F156" s="212"/>
      <c r="G156" s="212"/>
      <c r="J156" s="212"/>
      <c r="K156" s="212"/>
      <c r="L156" s="212"/>
      <c r="M156" s="212"/>
    </row>
    <row r="157" spans="1:13" ht="12.75" customHeight="1">
      <c r="A157" s="212"/>
      <c r="B157" s="212"/>
      <c r="C157" s="212"/>
      <c r="D157" s="212"/>
      <c r="E157" s="212"/>
      <c r="F157" s="212"/>
      <c r="G157" s="212"/>
      <c r="J157" s="212"/>
      <c r="K157" s="212"/>
      <c r="L157" s="212"/>
      <c r="M157" s="212"/>
    </row>
    <row r="158" spans="1:13" ht="12.75" customHeight="1">
      <c r="A158" s="212"/>
      <c r="B158" s="212"/>
      <c r="C158" s="212"/>
      <c r="D158" s="212"/>
      <c r="E158" s="212"/>
      <c r="F158" s="212"/>
      <c r="G158" s="212"/>
      <c r="J158" s="212"/>
      <c r="K158" s="212"/>
      <c r="L158" s="212"/>
      <c r="M158" s="212"/>
    </row>
    <row r="159" spans="1:13" ht="12.75" customHeight="1">
      <c r="A159" s="212"/>
      <c r="B159" s="212"/>
      <c r="C159" s="212"/>
      <c r="D159" s="212"/>
      <c r="E159" s="212"/>
      <c r="F159" s="212"/>
      <c r="G159" s="212"/>
      <c r="J159" s="212"/>
      <c r="K159" s="212"/>
      <c r="L159" s="212"/>
      <c r="M159" s="212"/>
    </row>
    <row r="160" spans="1:13" ht="12.75" customHeight="1">
      <c r="A160" s="212"/>
      <c r="B160" s="212"/>
      <c r="C160" s="212"/>
      <c r="D160" s="212"/>
      <c r="E160" s="212"/>
      <c r="F160" s="212"/>
      <c r="G160" s="212"/>
      <c r="J160" s="212"/>
      <c r="K160" s="212"/>
      <c r="L160" s="212"/>
      <c r="M160" s="212"/>
    </row>
    <row r="161" spans="1:13" ht="12.75" customHeight="1">
      <c r="A161" s="212"/>
      <c r="B161" s="212"/>
      <c r="C161" s="212"/>
      <c r="D161" s="212"/>
      <c r="E161" s="212"/>
      <c r="F161" s="212"/>
      <c r="G161" s="212"/>
      <c r="J161" s="212"/>
      <c r="K161" s="212"/>
      <c r="L161" s="212"/>
      <c r="M161" s="212"/>
    </row>
    <row r="162" spans="1:13" ht="12.75" customHeight="1">
      <c r="A162" s="212"/>
      <c r="B162" s="212"/>
      <c r="C162" s="212"/>
      <c r="D162" s="212"/>
      <c r="E162" s="212"/>
      <c r="F162" s="212"/>
      <c r="G162" s="212"/>
      <c r="J162" s="212"/>
      <c r="K162" s="212"/>
      <c r="L162" s="212"/>
      <c r="M162" s="212"/>
    </row>
    <row r="163" spans="1:13" ht="12.75" customHeight="1">
      <c r="A163" s="212"/>
      <c r="B163" s="212"/>
      <c r="C163" s="212"/>
      <c r="D163" s="212"/>
      <c r="E163" s="212"/>
      <c r="F163" s="212"/>
      <c r="G163" s="212"/>
      <c r="J163" s="212"/>
      <c r="K163" s="212"/>
      <c r="L163" s="212"/>
      <c r="M163" s="212"/>
    </row>
    <row r="164" spans="1:13" ht="12.75" customHeight="1">
      <c r="A164" s="212"/>
      <c r="B164" s="212"/>
      <c r="C164" s="212"/>
      <c r="D164" s="212"/>
      <c r="E164" s="212"/>
      <c r="F164" s="212"/>
      <c r="G164" s="212"/>
      <c r="J164" s="212"/>
      <c r="K164" s="212"/>
      <c r="L164" s="212"/>
      <c r="M164" s="212"/>
    </row>
    <row r="165" spans="1:13" ht="12.75" customHeight="1">
      <c r="A165" s="212"/>
      <c r="B165" s="212"/>
      <c r="C165" s="212"/>
      <c r="D165" s="212"/>
      <c r="E165" s="212"/>
      <c r="F165" s="212"/>
      <c r="G165" s="212"/>
      <c r="J165" s="212"/>
      <c r="K165" s="212"/>
      <c r="L165" s="212"/>
      <c r="M165" s="212"/>
    </row>
    <row r="166" spans="1:13" ht="12.75" customHeight="1">
      <c r="A166" s="212"/>
      <c r="B166" s="212"/>
      <c r="C166" s="212"/>
      <c r="D166" s="212"/>
      <c r="E166" s="212"/>
      <c r="F166" s="212"/>
      <c r="G166" s="212"/>
      <c r="J166" s="212"/>
      <c r="K166" s="212"/>
      <c r="L166" s="212"/>
      <c r="M166" s="212"/>
    </row>
    <row r="167" spans="1:13" ht="12.75" customHeight="1">
      <c r="A167" s="212"/>
      <c r="B167" s="212"/>
      <c r="C167" s="212"/>
      <c r="D167" s="212"/>
      <c r="E167" s="212"/>
      <c r="F167" s="212"/>
      <c r="G167" s="212"/>
      <c r="J167" s="212"/>
      <c r="K167" s="212"/>
      <c r="L167" s="212"/>
      <c r="M167" s="212"/>
    </row>
    <row r="168" spans="1:13" ht="12.75" customHeight="1">
      <c r="A168" s="212"/>
      <c r="B168" s="212"/>
      <c r="C168" s="212"/>
      <c r="D168" s="212"/>
      <c r="E168" s="212"/>
      <c r="F168" s="212"/>
      <c r="G168" s="212"/>
      <c r="J168" s="212"/>
      <c r="K168" s="212"/>
      <c r="L168" s="212"/>
      <c r="M168" s="212"/>
    </row>
    <row r="169" spans="1:13" ht="12.75" customHeight="1">
      <c r="A169" s="212"/>
      <c r="B169" s="212"/>
      <c r="C169" s="212"/>
      <c r="D169" s="212"/>
      <c r="E169" s="212"/>
      <c r="F169" s="212"/>
      <c r="G169" s="212"/>
      <c r="J169" s="212"/>
      <c r="K169" s="212"/>
      <c r="L169" s="212"/>
      <c r="M169" s="212"/>
    </row>
    <row r="170" spans="1:13" ht="12.75" customHeight="1">
      <c r="A170" s="212"/>
      <c r="B170" s="212"/>
      <c r="C170" s="212"/>
      <c r="D170" s="212"/>
      <c r="E170" s="212"/>
      <c r="F170" s="212"/>
      <c r="G170" s="212"/>
      <c r="J170" s="212"/>
      <c r="K170" s="212"/>
      <c r="L170" s="212"/>
      <c r="M170" s="212"/>
    </row>
    <row r="171" spans="1:13" ht="12.75" customHeight="1">
      <c r="A171" s="212"/>
      <c r="B171" s="212"/>
      <c r="C171" s="212"/>
      <c r="D171" s="212"/>
      <c r="E171" s="212"/>
      <c r="F171" s="212"/>
      <c r="G171" s="212"/>
      <c r="J171" s="212"/>
      <c r="K171" s="212"/>
      <c r="L171" s="212"/>
      <c r="M171" s="212"/>
    </row>
    <row r="172" spans="1:13" ht="12.75" customHeight="1">
      <c r="A172" s="212"/>
      <c r="B172" s="212"/>
      <c r="C172" s="212"/>
      <c r="D172" s="212"/>
      <c r="E172" s="212"/>
      <c r="F172" s="212"/>
      <c r="G172" s="212"/>
      <c r="J172" s="212"/>
      <c r="K172" s="212"/>
      <c r="L172" s="212"/>
      <c r="M172" s="212"/>
    </row>
    <row r="173" spans="1:13" ht="12.75" customHeight="1">
      <c r="A173" s="212"/>
      <c r="B173" s="212"/>
      <c r="C173" s="212"/>
      <c r="D173" s="212"/>
      <c r="E173" s="212"/>
      <c r="F173" s="212"/>
      <c r="G173" s="212"/>
      <c r="J173" s="212"/>
      <c r="K173" s="212"/>
      <c r="L173" s="212"/>
      <c r="M173" s="212"/>
    </row>
    <row r="174" spans="1:13" ht="12.75" customHeight="1">
      <c r="A174" s="212"/>
      <c r="B174" s="212"/>
      <c r="C174" s="212"/>
      <c r="D174" s="212"/>
      <c r="E174" s="212"/>
      <c r="F174" s="212"/>
      <c r="G174" s="212"/>
      <c r="J174" s="212"/>
      <c r="K174" s="212"/>
      <c r="L174" s="212"/>
      <c r="M174" s="212"/>
    </row>
    <row r="175" spans="1:13" ht="12.75" customHeight="1">
      <c r="A175" s="212"/>
      <c r="B175" s="212"/>
      <c r="C175" s="212"/>
      <c r="D175" s="212"/>
      <c r="E175" s="212"/>
      <c r="F175" s="212"/>
      <c r="G175" s="212"/>
      <c r="J175" s="212"/>
      <c r="K175" s="212"/>
      <c r="L175" s="212"/>
      <c r="M175" s="212"/>
    </row>
    <row r="176" spans="1:13" ht="12.75" customHeight="1">
      <c r="A176" s="212"/>
      <c r="B176" s="212"/>
      <c r="C176" s="212"/>
      <c r="D176" s="212"/>
      <c r="E176" s="212"/>
      <c r="F176" s="212"/>
      <c r="G176" s="212"/>
      <c r="J176" s="212"/>
      <c r="K176" s="212"/>
      <c r="L176" s="212"/>
      <c r="M176" s="212"/>
    </row>
    <row r="177" spans="1:13" ht="12.75" customHeight="1">
      <c r="A177" s="212"/>
      <c r="B177" s="212"/>
      <c r="C177" s="212"/>
      <c r="D177" s="212"/>
      <c r="E177" s="212"/>
      <c r="F177" s="212"/>
      <c r="G177" s="212"/>
      <c r="J177" s="212"/>
      <c r="K177" s="212"/>
      <c r="L177" s="212"/>
      <c r="M177" s="212"/>
    </row>
    <row r="178" spans="1:13" ht="12.75" customHeight="1">
      <c r="A178" s="212"/>
      <c r="B178" s="212"/>
      <c r="C178" s="212"/>
      <c r="D178" s="212"/>
      <c r="E178" s="212"/>
      <c r="F178" s="212"/>
      <c r="G178" s="212"/>
      <c r="J178" s="212"/>
      <c r="K178" s="212"/>
      <c r="L178" s="212"/>
      <c r="M178" s="212"/>
    </row>
    <row r="179" spans="1:13" ht="12.75" customHeight="1">
      <c r="A179" s="212"/>
      <c r="B179" s="212"/>
      <c r="C179" s="212"/>
      <c r="D179" s="212"/>
      <c r="E179" s="212"/>
      <c r="F179" s="212"/>
      <c r="G179" s="212"/>
      <c r="J179" s="212"/>
      <c r="K179" s="212"/>
      <c r="L179" s="212"/>
      <c r="M179" s="212"/>
    </row>
    <row r="180" spans="1:13" ht="12.75" customHeight="1">
      <c r="A180" s="212"/>
      <c r="B180" s="212"/>
      <c r="C180" s="212"/>
      <c r="D180" s="212"/>
      <c r="E180" s="212"/>
      <c r="F180" s="212"/>
      <c r="G180" s="212"/>
      <c r="J180" s="212"/>
      <c r="K180" s="212"/>
      <c r="L180" s="212"/>
      <c r="M180" s="212"/>
    </row>
    <row r="181" spans="1:13" ht="12.75" customHeight="1">
      <c r="A181" s="212"/>
      <c r="B181" s="212"/>
      <c r="C181" s="212"/>
      <c r="D181" s="212"/>
      <c r="E181" s="212"/>
      <c r="F181" s="212"/>
      <c r="G181" s="212"/>
      <c r="J181" s="212"/>
      <c r="K181" s="212"/>
      <c r="L181" s="212"/>
      <c r="M181" s="212"/>
    </row>
    <row r="182" spans="1:13" ht="12.75" customHeight="1">
      <c r="A182" s="212"/>
      <c r="B182" s="212"/>
      <c r="C182" s="212"/>
      <c r="D182" s="212"/>
      <c r="E182" s="212"/>
      <c r="F182" s="212"/>
      <c r="G182" s="212"/>
      <c r="J182" s="212"/>
      <c r="K182" s="212"/>
      <c r="L182" s="212"/>
      <c r="M182" s="212"/>
    </row>
    <row r="183" spans="1:13" ht="12.75" customHeight="1">
      <c r="A183" s="212"/>
      <c r="B183" s="212"/>
      <c r="C183" s="212"/>
      <c r="D183" s="212"/>
      <c r="E183" s="212"/>
      <c r="F183" s="212"/>
      <c r="G183" s="212"/>
      <c r="J183" s="212"/>
      <c r="K183" s="212"/>
      <c r="L183" s="212"/>
      <c r="M183" s="212"/>
    </row>
    <row r="184" spans="1:13" ht="12.75" customHeight="1">
      <c r="A184" s="212"/>
      <c r="B184" s="212"/>
      <c r="C184" s="212"/>
      <c r="D184" s="212"/>
      <c r="E184" s="212"/>
      <c r="F184" s="212"/>
      <c r="G184" s="212"/>
      <c r="J184" s="212"/>
      <c r="K184" s="212"/>
      <c r="L184" s="212"/>
      <c r="M184" s="212"/>
    </row>
    <row r="185" spans="1:13" ht="12.75" customHeight="1">
      <c r="A185" s="212"/>
      <c r="B185" s="212"/>
      <c r="C185" s="212"/>
      <c r="D185" s="212"/>
      <c r="E185" s="212"/>
      <c r="F185" s="212"/>
      <c r="G185" s="212"/>
      <c r="J185" s="212"/>
      <c r="K185" s="212"/>
      <c r="L185" s="212"/>
      <c r="M185" s="212"/>
    </row>
    <row r="186" spans="1:13" ht="12.75" customHeight="1">
      <c r="A186" s="212"/>
      <c r="B186" s="212"/>
      <c r="C186" s="212"/>
      <c r="D186" s="212"/>
      <c r="E186" s="212"/>
      <c r="F186" s="212"/>
      <c r="G186" s="212"/>
      <c r="J186" s="212"/>
      <c r="K186" s="212"/>
      <c r="L186" s="212"/>
      <c r="M186" s="212"/>
    </row>
    <row r="187" spans="1:13" ht="12.75" customHeight="1">
      <c r="A187" s="212"/>
      <c r="B187" s="212"/>
      <c r="C187" s="212"/>
      <c r="D187" s="212"/>
      <c r="E187" s="212"/>
      <c r="F187" s="212"/>
      <c r="G187" s="212"/>
      <c r="J187" s="212"/>
      <c r="K187" s="212"/>
      <c r="L187" s="212"/>
      <c r="M187" s="212"/>
    </row>
    <row r="188" spans="1:13" ht="12.75" customHeight="1">
      <c r="A188" s="212"/>
      <c r="B188" s="212"/>
      <c r="C188" s="212"/>
      <c r="D188" s="212"/>
      <c r="E188" s="212"/>
      <c r="F188" s="212"/>
      <c r="G188" s="212"/>
      <c r="J188" s="212"/>
      <c r="K188" s="212"/>
      <c r="L188" s="212"/>
      <c r="M188" s="212"/>
    </row>
    <row r="189" spans="1:13" ht="12.75" customHeight="1">
      <c r="A189" s="212"/>
      <c r="B189" s="212"/>
      <c r="C189" s="212"/>
      <c r="D189" s="212"/>
      <c r="E189" s="212"/>
      <c r="F189" s="212"/>
      <c r="G189" s="212"/>
      <c r="J189" s="212"/>
      <c r="K189" s="212"/>
      <c r="L189" s="212"/>
      <c r="M189" s="212"/>
    </row>
    <row r="190" spans="1:13" ht="12.75" customHeight="1">
      <c r="A190" s="212"/>
      <c r="B190" s="212"/>
      <c r="C190" s="212"/>
      <c r="D190" s="212"/>
      <c r="E190" s="212"/>
      <c r="F190" s="212"/>
      <c r="G190" s="212"/>
      <c r="J190" s="212"/>
      <c r="K190" s="212"/>
      <c r="L190" s="212"/>
      <c r="M190" s="212"/>
    </row>
    <row r="191" spans="1:13" ht="12.75" customHeight="1">
      <c r="A191" s="212"/>
      <c r="B191" s="212"/>
      <c r="C191" s="212"/>
      <c r="D191" s="212"/>
      <c r="E191" s="212"/>
      <c r="F191" s="212"/>
      <c r="G191" s="212"/>
      <c r="J191" s="212"/>
      <c r="K191" s="212"/>
      <c r="L191" s="212"/>
      <c r="M191" s="212"/>
    </row>
    <row r="192" spans="1:13" ht="12.75" customHeight="1">
      <c r="A192" s="212"/>
      <c r="B192" s="212"/>
      <c r="C192" s="212"/>
      <c r="D192" s="212"/>
      <c r="E192" s="212"/>
      <c r="F192" s="212"/>
      <c r="G192" s="212"/>
      <c r="J192" s="212"/>
      <c r="K192" s="212"/>
      <c r="L192" s="212"/>
      <c r="M192" s="212"/>
    </row>
    <row r="193" spans="1:13" ht="12.75" customHeight="1">
      <c r="A193" s="212"/>
      <c r="B193" s="212"/>
      <c r="C193" s="212"/>
      <c r="D193" s="212"/>
      <c r="E193" s="212"/>
      <c r="F193" s="212"/>
      <c r="G193" s="212"/>
      <c r="J193" s="212"/>
      <c r="K193" s="212"/>
      <c r="L193" s="212"/>
      <c r="M193" s="212"/>
    </row>
    <row r="194" spans="1:13" ht="12.75" customHeight="1">
      <c r="A194" s="212"/>
      <c r="B194" s="212"/>
      <c r="C194" s="212"/>
      <c r="D194" s="212"/>
      <c r="E194" s="212"/>
      <c r="F194" s="212"/>
      <c r="G194" s="212"/>
      <c r="J194" s="212"/>
      <c r="K194" s="212"/>
      <c r="L194" s="212"/>
      <c r="M194" s="212"/>
    </row>
    <row r="195" spans="1:13" ht="12.75" customHeight="1">
      <c r="A195" s="212"/>
      <c r="B195" s="212"/>
      <c r="C195" s="212"/>
      <c r="D195" s="212"/>
      <c r="E195" s="212"/>
      <c r="F195" s="212"/>
      <c r="G195" s="212"/>
      <c r="J195" s="212"/>
      <c r="K195" s="212"/>
      <c r="L195" s="212"/>
      <c r="M195" s="212"/>
    </row>
    <row r="196" spans="1:13" ht="12.75" customHeight="1">
      <c r="A196" s="212"/>
      <c r="B196" s="212"/>
      <c r="C196" s="212"/>
      <c r="D196" s="212"/>
      <c r="E196" s="212"/>
      <c r="F196" s="212"/>
      <c r="G196" s="212"/>
      <c r="J196" s="212"/>
      <c r="K196" s="212"/>
      <c r="L196" s="212"/>
      <c r="M196" s="212"/>
    </row>
    <row r="197" spans="1:13" ht="12.75" customHeight="1">
      <c r="A197" s="212"/>
      <c r="B197" s="212"/>
      <c r="C197" s="212"/>
      <c r="D197" s="212"/>
      <c r="E197" s="212"/>
      <c r="F197" s="212"/>
      <c r="G197" s="212"/>
      <c r="J197" s="212"/>
      <c r="K197" s="212"/>
      <c r="L197" s="212"/>
      <c r="M197" s="212"/>
    </row>
    <row r="198" spans="1:13" ht="12.75" customHeight="1">
      <c r="A198" s="212"/>
      <c r="B198" s="212"/>
      <c r="C198" s="212"/>
      <c r="D198" s="212"/>
      <c r="E198" s="212"/>
      <c r="F198" s="212"/>
      <c r="G198" s="212"/>
      <c r="J198" s="212"/>
      <c r="K198" s="212"/>
      <c r="L198" s="212"/>
      <c r="M198" s="212"/>
    </row>
    <row r="199" spans="1:13" ht="12.75" customHeight="1">
      <c r="A199" s="212"/>
      <c r="B199" s="212"/>
      <c r="C199" s="212"/>
      <c r="D199" s="212"/>
      <c r="E199" s="212"/>
      <c r="F199" s="212"/>
      <c r="G199" s="212"/>
      <c r="J199" s="212"/>
      <c r="K199" s="212"/>
      <c r="L199" s="212"/>
      <c r="M199" s="212"/>
    </row>
    <row r="200" spans="1:13" ht="12.75" customHeight="1">
      <c r="A200" s="212"/>
      <c r="B200" s="212"/>
      <c r="C200" s="212"/>
      <c r="D200" s="212"/>
      <c r="E200" s="212"/>
      <c r="F200" s="212"/>
      <c r="G200" s="212"/>
      <c r="J200" s="212"/>
      <c r="K200" s="212"/>
      <c r="L200" s="212"/>
      <c r="M200" s="212"/>
    </row>
    <row r="201" spans="1:13" ht="12.75" customHeight="1">
      <c r="A201" s="212"/>
      <c r="B201" s="212"/>
      <c r="C201" s="212"/>
      <c r="D201" s="212"/>
      <c r="E201" s="212"/>
      <c r="F201" s="212"/>
      <c r="G201" s="212"/>
      <c r="J201" s="212"/>
      <c r="K201" s="212"/>
      <c r="L201" s="212"/>
      <c r="M201" s="212"/>
    </row>
    <row r="202" spans="1:13" ht="12.75" customHeight="1">
      <c r="A202" s="212"/>
      <c r="B202" s="212"/>
      <c r="C202" s="212"/>
      <c r="D202" s="212"/>
      <c r="E202" s="212"/>
      <c r="F202" s="212"/>
      <c r="G202" s="212"/>
      <c r="J202" s="212"/>
      <c r="K202" s="212"/>
      <c r="L202" s="212"/>
      <c r="M202" s="212"/>
    </row>
    <row r="203" spans="1:13" ht="12.75" customHeight="1">
      <c r="A203" s="212"/>
      <c r="B203" s="212"/>
      <c r="C203" s="212"/>
      <c r="D203" s="212"/>
      <c r="E203" s="212"/>
      <c r="F203" s="212"/>
      <c r="G203" s="212"/>
      <c r="J203" s="212"/>
      <c r="K203" s="212"/>
      <c r="L203" s="212"/>
      <c r="M203" s="212"/>
    </row>
    <row r="204" spans="1:13" ht="12.75" customHeight="1">
      <c r="A204" s="212"/>
      <c r="B204" s="212"/>
      <c r="C204" s="212"/>
      <c r="D204" s="212"/>
      <c r="E204" s="212"/>
      <c r="F204" s="212"/>
      <c r="G204" s="212"/>
      <c r="J204" s="212"/>
      <c r="K204" s="212"/>
      <c r="L204" s="212"/>
      <c r="M204" s="212"/>
    </row>
    <row r="205" spans="1:13" ht="12.75" customHeight="1">
      <c r="A205" s="212"/>
      <c r="B205" s="212"/>
      <c r="C205" s="212"/>
      <c r="D205" s="212"/>
      <c r="E205" s="212"/>
      <c r="F205" s="212"/>
      <c r="G205" s="212"/>
      <c r="J205" s="212"/>
      <c r="K205" s="212"/>
      <c r="L205" s="212"/>
      <c r="M205" s="212"/>
    </row>
    <row r="206" spans="1:13" ht="12.75" customHeight="1">
      <c r="A206" s="212"/>
      <c r="B206" s="212"/>
      <c r="C206" s="212"/>
      <c r="D206" s="212"/>
      <c r="E206" s="212"/>
      <c r="F206" s="212"/>
      <c r="G206" s="212"/>
      <c r="J206" s="212"/>
      <c r="K206" s="212"/>
      <c r="L206" s="212"/>
      <c r="M206" s="212"/>
    </row>
    <row r="207" spans="1:13" ht="12.75" customHeight="1">
      <c r="A207" s="212"/>
      <c r="B207" s="212"/>
      <c r="C207" s="212"/>
      <c r="D207" s="212"/>
      <c r="E207" s="212"/>
      <c r="F207" s="212"/>
      <c r="G207" s="212"/>
      <c r="J207" s="212"/>
      <c r="K207" s="212"/>
      <c r="L207" s="212"/>
      <c r="M207" s="212"/>
    </row>
    <row r="208" spans="1:13" ht="12.75" customHeight="1">
      <c r="A208" s="212"/>
      <c r="B208" s="212"/>
      <c r="C208" s="212"/>
      <c r="D208" s="212"/>
      <c r="E208" s="212"/>
      <c r="F208" s="212"/>
      <c r="G208" s="212"/>
      <c r="J208" s="212"/>
      <c r="K208" s="212"/>
      <c r="L208" s="212"/>
      <c r="M208" s="212"/>
    </row>
    <row r="209" spans="1:13" ht="12.75" customHeight="1">
      <c r="A209" s="212"/>
      <c r="B209" s="212"/>
      <c r="C209" s="212"/>
      <c r="D209" s="212"/>
      <c r="E209" s="212"/>
      <c r="F209" s="212"/>
      <c r="G209" s="212"/>
      <c r="J209" s="212"/>
      <c r="K209" s="212"/>
      <c r="L209" s="212"/>
      <c r="M209" s="212"/>
    </row>
    <row r="210" spans="1:13" ht="12.75" customHeight="1">
      <c r="A210" s="212"/>
      <c r="B210" s="212"/>
      <c r="C210" s="212"/>
      <c r="D210" s="212"/>
      <c r="E210" s="212"/>
      <c r="F210" s="212"/>
      <c r="G210" s="212"/>
      <c r="J210" s="212"/>
      <c r="K210" s="212"/>
      <c r="L210" s="212"/>
      <c r="M210" s="212"/>
    </row>
    <row r="211" spans="1:13" ht="12.75" customHeight="1">
      <c r="A211" s="212"/>
      <c r="B211" s="212"/>
      <c r="C211" s="212"/>
      <c r="D211" s="212"/>
      <c r="E211" s="212"/>
      <c r="F211" s="212"/>
      <c r="G211" s="212"/>
      <c r="J211" s="212"/>
      <c r="K211" s="212"/>
      <c r="L211" s="212"/>
      <c r="M211" s="212"/>
    </row>
    <row r="212" spans="1:13" ht="12.75" customHeight="1">
      <c r="A212" s="212"/>
      <c r="B212" s="212"/>
      <c r="C212" s="212"/>
      <c r="D212" s="212"/>
      <c r="E212" s="212"/>
      <c r="F212" s="212"/>
      <c r="G212" s="212"/>
      <c r="J212" s="212"/>
      <c r="K212" s="212"/>
      <c r="L212" s="212"/>
      <c r="M212" s="212"/>
    </row>
    <row r="213" spans="1:13" ht="12.75" customHeight="1">
      <c r="A213" s="212"/>
      <c r="B213" s="212"/>
      <c r="C213" s="212"/>
      <c r="D213" s="212"/>
      <c r="E213" s="212"/>
      <c r="F213" s="212"/>
      <c r="G213" s="212"/>
      <c r="J213" s="212"/>
      <c r="K213" s="212"/>
      <c r="L213" s="212"/>
      <c r="M213" s="212"/>
    </row>
    <row r="214" spans="1:13" ht="12.75" customHeight="1">
      <c r="A214" s="212"/>
      <c r="B214" s="212"/>
      <c r="C214" s="212"/>
      <c r="D214" s="212"/>
      <c r="E214" s="212"/>
      <c r="F214" s="212"/>
      <c r="G214" s="212"/>
      <c r="J214" s="212"/>
      <c r="K214" s="212"/>
      <c r="L214" s="212"/>
      <c r="M214" s="212"/>
    </row>
    <row r="215" spans="1:13" ht="12.75" customHeight="1">
      <c r="A215" s="212"/>
      <c r="B215" s="212"/>
      <c r="C215" s="212"/>
      <c r="D215" s="212"/>
      <c r="E215" s="212"/>
      <c r="F215" s="212"/>
      <c r="G215" s="212"/>
      <c r="J215" s="212"/>
      <c r="K215" s="212"/>
      <c r="L215" s="212"/>
      <c r="M215" s="212"/>
    </row>
    <row r="216" spans="1:13" ht="12.75" customHeight="1">
      <c r="A216" s="212"/>
      <c r="B216" s="212"/>
      <c r="C216" s="212"/>
      <c r="D216" s="212"/>
      <c r="E216" s="212"/>
      <c r="F216" s="212"/>
      <c r="G216" s="212"/>
      <c r="J216" s="212"/>
      <c r="K216" s="212"/>
      <c r="L216" s="212"/>
      <c r="M216" s="212"/>
    </row>
    <row r="217" spans="1:13" ht="12.75" customHeight="1">
      <c r="A217" s="212"/>
      <c r="B217" s="212"/>
      <c r="C217" s="212"/>
      <c r="D217" s="212"/>
      <c r="E217" s="212"/>
      <c r="F217" s="212"/>
      <c r="G217" s="212"/>
      <c r="J217" s="212"/>
      <c r="K217" s="212"/>
      <c r="L217" s="212"/>
      <c r="M217" s="212"/>
    </row>
    <row r="218" spans="1:13" ht="12.75" customHeight="1">
      <c r="A218" s="212"/>
      <c r="B218" s="212"/>
      <c r="C218" s="212"/>
      <c r="D218" s="212"/>
      <c r="E218" s="212"/>
      <c r="F218" s="212"/>
      <c r="G218" s="212"/>
      <c r="J218" s="212"/>
      <c r="K218" s="212"/>
      <c r="L218" s="212"/>
      <c r="M218" s="212"/>
    </row>
    <row r="219" spans="1:13" ht="12.75" customHeight="1">
      <c r="A219" s="212"/>
      <c r="B219" s="212"/>
      <c r="C219" s="212"/>
      <c r="D219" s="212"/>
      <c r="E219" s="212"/>
      <c r="F219" s="212"/>
      <c r="G219" s="212"/>
      <c r="J219" s="212"/>
      <c r="K219" s="212"/>
      <c r="L219" s="212"/>
      <c r="M219" s="212"/>
    </row>
    <row r="220" spans="1:13" ht="12.75" customHeight="1">
      <c r="A220" s="212"/>
      <c r="B220" s="212"/>
      <c r="C220" s="212"/>
      <c r="D220" s="212"/>
      <c r="E220" s="212"/>
      <c r="F220" s="212"/>
      <c r="G220" s="212"/>
      <c r="J220" s="212"/>
      <c r="K220" s="212"/>
      <c r="L220" s="212"/>
      <c r="M220" s="212"/>
    </row>
    <row r="221" spans="1:13" ht="12.75" customHeight="1">
      <c r="A221" s="212"/>
      <c r="B221" s="212"/>
      <c r="C221" s="212"/>
      <c r="D221" s="212"/>
      <c r="E221" s="212"/>
      <c r="F221" s="212"/>
      <c r="G221" s="212"/>
      <c r="J221" s="212"/>
      <c r="K221" s="212"/>
      <c r="L221" s="212"/>
      <c r="M221" s="212"/>
    </row>
    <row r="222" spans="1:13" ht="12.75" customHeight="1">
      <c r="A222" s="212"/>
      <c r="B222" s="212"/>
      <c r="C222" s="212"/>
      <c r="D222" s="212"/>
      <c r="E222" s="212"/>
      <c r="F222" s="212"/>
      <c r="G222" s="212"/>
      <c r="J222" s="212"/>
      <c r="K222" s="212"/>
      <c r="L222" s="212"/>
      <c r="M222" s="212"/>
    </row>
    <row r="223" spans="1:13" ht="12.75" customHeight="1">
      <c r="A223" s="212"/>
      <c r="B223" s="212"/>
      <c r="C223" s="212"/>
      <c r="D223" s="212"/>
      <c r="E223" s="212"/>
      <c r="F223" s="212"/>
      <c r="G223" s="212"/>
      <c r="J223" s="212"/>
      <c r="K223" s="212"/>
      <c r="L223" s="212"/>
      <c r="M223" s="212"/>
    </row>
    <row r="224" spans="1:13" ht="12.75" customHeight="1">
      <c r="A224" s="212"/>
      <c r="B224" s="212"/>
      <c r="C224" s="212"/>
      <c r="D224" s="212"/>
      <c r="E224" s="212"/>
      <c r="F224" s="212"/>
      <c r="G224" s="212"/>
      <c r="J224" s="212"/>
      <c r="K224" s="212"/>
      <c r="L224" s="212"/>
      <c r="M224" s="212"/>
    </row>
    <row r="225" spans="1:13" ht="12.75" customHeight="1">
      <c r="A225" s="212"/>
      <c r="B225" s="212"/>
      <c r="C225" s="212"/>
      <c r="D225" s="212"/>
      <c r="E225" s="212"/>
      <c r="F225" s="212"/>
      <c r="G225" s="212"/>
      <c r="J225" s="212"/>
      <c r="K225" s="212"/>
      <c r="L225" s="212"/>
      <c r="M225" s="212"/>
    </row>
    <row r="226" spans="1:13" ht="12.75" customHeight="1">
      <c r="A226" s="212"/>
      <c r="B226" s="212"/>
      <c r="C226" s="212"/>
      <c r="D226" s="212"/>
      <c r="E226" s="212"/>
      <c r="F226" s="212"/>
      <c r="G226" s="212"/>
      <c r="J226" s="212"/>
      <c r="K226" s="212"/>
      <c r="L226" s="212"/>
      <c r="M226" s="212"/>
    </row>
    <row r="227" spans="1:13" ht="12.75" customHeight="1">
      <c r="A227" s="212"/>
      <c r="B227" s="212"/>
      <c r="C227" s="212"/>
      <c r="D227" s="212"/>
      <c r="E227" s="212"/>
      <c r="F227" s="212"/>
      <c r="G227" s="212"/>
      <c r="J227" s="212"/>
      <c r="K227" s="212"/>
      <c r="L227" s="212"/>
      <c r="M227" s="212"/>
    </row>
    <row r="228" spans="1:13" ht="12.75" customHeight="1">
      <c r="A228" s="212"/>
      <c r="B228" s="212"/>
      <c r="C228" s="212"/>
      <c r="D228" s="212"/>
      <c r="E228" s="212"/>
      <c r="F228" s="212"/>
      <c r="G228" s="212"/>
      <c r="J228" s="212"/>
      <c r="K228" s="212"/>
      <c r="L228" s="212"/>
      <c r="M228" s="212"/>
    </row>
    <row r="229" spans="1:13" ht="12.75" customHeight="1">
      <c r="A229" s="212"/>
      <c r="B229" s="212"/>
      <c r="C229" s="212"/>
      <c r="D229" s="212"/>
      <c r="E229" s="212"/>
      <c r="F229" s="212"/>
      <c r="G229" s="212"/>
      <c r="J229" s="212"/>
      <c r="K229" s="212"/>
      <c r="L229" s="212"/>
      <c r="M229" s="212"/>
    </row>
    <row r="230" spans="1:13" ht="12.75" customHeight="1">
      <c r="A230" s="212"/>
      <c r="B230" s="212"/>
      <c r="C230" s="212"/>
      <c r="D230" s="212"/>
      <c r="E230" s="212"/>
      <c r="F230" s="212"/>
      <c r="G230" s="212"/>
      <c r="J230" s="212"/>
      <c r="K230" s="212"/>
      <c r="L230" s="212"/>
      <c r="M230" s="212"/>
    </row>
    <row r="231" spans="1:13" ht="12.75" customHeight="1">
      <c r="A231" s="212"/>
      <c r="B231" s="212"/>
      <c r="C231" s="212"/>
      <c r="D231" s="212"/>
      <c r="E231" s="212"/>
      <c r="F231" s="212"/>
      <c r="G231" s="212"/>
      <c r="J231" s="212"/>
      <c r="K231" s="212"/>
      <c r="L231" s="212"/>
      <c r="M231" s="212"/>
    </row>
    <row r="232" spans="1:13" ht="12.75" customHeight="1">
      <c r="A232" s="212"/>
      <c r="B232" s="212"/>
      <c r="C232" s="212"/>
      <c r="D232" s="212"/>
      <c r="E232" s="212"/>
      <c r="F232" s="212"/>
      <c r="G232" s="212"/>
      <c r="J232" s="212"/>
      <c r="K232" s="212"/>
      <c r="L232" s="212"/>
      <c r="M232" s="212"/>
    </row>
    <row r="233" spans="1:13" ht="12.75" customHeight="1">
      <c r="A233" s="212"/>
      <c r="B233" s="212"/>
      <c r="C233" s="212"/>
      <c r="D233" s="212"/>
      <c r="E233" s="212"/>
      <c r="F233" s="212"/>
      <c r="G233" s="212"/>
      <c r="J233" s="212"/>
      <c r="K233" s="212"/>
      <c r="L233" s="212"/>
      <c r="M233" s="212"/>
    </row>
    <row r="234" spans="1:13" ht="12.75" customHeight="1">
      <c r="A234" s="212"/>
      <c r="B234" s="212"/>
      <c r="C234" s="212"/>
      <c r="D234" s="212"/>
      <c r="E234" s="212"/>
      <c r="F234" s="212"/>
      <c r="G234" s="212"/>
      <c r="J234" s="212"/>
      <c r="K234" s="212"/>
      <c r="L234" s="212"/>
      <c r="M234" s="212"/>
    </row>
    <row r="235" spans="1:13" ht="12.75" customHeight="1">
      <c r="A235" s="212"/>
      <c r="B235" s="212"/>
      <c r="C235" s="212"/>
      <c r="D235" s="212"/>
      <c r="E235" s="212"/>
      <c r="F235" s="212"/>
      <c r="G235" s="212"/>
      <c r="J235" s="212"/>
      <c r="K235" s="212"/>
      <c r="L235" s="212"/>
      <c r="M235" s="212"/>
    </row>
    <row r="236" spans="1:13" ht="12.75" customHeight="1">
      <c r="A236" s="212"/>
      <c r="B236" s="212"/>
      <c r="C236" s="212"/>
      <c r="D236" s="212"/>
      <c r="E236" s="212"/>
      <c r="F236" s="212"/>
      <c r="G236" s="212"/>
      <c r="J236" s="212"/>
      <c r="K236" s="212"/>
      <c r="L236" s="212"/>
      <c r="M236" s="212"/>
    </row>
    <row r="237" spans="1:13" ht="12.75" customHeight="1">
      <c r="A237" s="212"/>
      <c r="B237" s="212"/>
      <c r="C237" s="212"/>
      <c r="D237" s="212"/>
      <c r="E237" s="212"/>
      <c r="F237" s="212"/>
      <c r="G237" s="212"/>
      <c r="J237" s="212"/>
      <c r="K237" s="212"/>
      <c r="L237" s="212"/>
      <c r="M237" s="212"/>
    </row>
    <row r="238" spans="1:13" ht="12.75" customHeight="1">
      <c r="A238" s="212"/>
      <c r="B238" s="212"/>
      <c r="C238" s="212"/>
      <c r="D238" s="212"/>
      <c r="E238" s="212"/>
      <c r="F238" s="212"/>
      <c r="G238" s="212"/>
      <c r="J238" s="212"/>
      <c r="K238" s="212"/>
      <c r="L238" s="212"/>
      <c r="M238" s="212"/>
    </row>
    <row r="239" spans="1:13" ht="12.75" customHeight="1">
      <c r="A239" s="212"/>
      <c r="B239" s="212"/>
      <c r="C239" s="212"/>
      <c r="D239" s="212"/>
      <c r="E239" s="212"/>
      <c r="F239" s="212"/>
      <c r="G239" s="212"/>
      <c r="J239" s="212"/>
      <c r="K239" s="212"/>
      <c r="L239" s="212"/>
      <c r="M239" s="212"/>
    </row>
    <row r="240" spans="1:13" ht="12.75" customHeight="1">
      <c r="A240" s="212"/>
      <c r="B240" s="212"/>
      <c r="C240" s="212"/>
      <c r="D240" s="212"/>
      <c r="E240" s="212"/>
      <c r="F240" s="212"/>
      <c r="G240" s="212"/>
      <c r="J240" s="212"/>
      <c r="K240" s="212"/>
      <c r="L240" s="212"/>
      <c r="M240" s="212"/>
    </row>
    <row r="241" spans="1:13" ht="12.75" customHeight="1">
      <c r="A241" s="212"/>
      <c r="B241" s="212"/>
      <c r="C241" s="212"/>
      <c r="D241" s="212"/>
      <c r="E241" s="212"/>
      <c r="F241" s="212"/>
      <c r="G241" s="212"/>
      <c r="J241" s="212"/>
      <c r="K241" s="212"/>
      <c r="L241" s="212"/>
      <c r="M241" s="212"/>
    </row>
    <row r="242" spans="1:13" ht="12.75" customHeight="1">
      <c r="A242" s="212"/>
      <c r="B242" s="212"/>
      <c r="C242" s="212"/>
      <c r="D242" s="212"/>
      <c r="E242" s="212"/>
      <c r="F242" s="212"/>
      <c r="G242" s="212"/>
      <c r="J242" s="212"/>
      <c r="K242" s="212"/>
      <c r="L242" s="212"/>
      <c r="M242" s="212"/>
    </row>
    <row r="243" spans="1:13" ht="12.75" customHeight="1">
      <c r="A243" s="212"/>
      <c r="B243" s="212"/>
      <c r="C243" s="212"/>
      <c r="D243" s="212"/>
      <c r="E243" s="212"/>
      <c r="F243" s="212"/>
      <c r="G243" s="212"/>
      <c r="J243" s="212"/>
      <c r="K243" s="212"/>
      <c r="L243" s="212"/>
      <c r="M243" s="212"/>
    </row>
    <row r="244" spans="1:13" ht="12.75" customHeight="1">
      <c r="A244" s="212"/>
      <c r="B244" s="212"/>
      <c r="C244" s="212"/>
      <c r="D244" s="212"/>
      <c r="E244" s="212"/>
      <c r="F244" s="212"/>
      <c r="G244" s="212"/>
      <c r="J244" s="212"/>
      <c r="K244" s="212"/>
      <c r="L244" s="212"/>
      <c r="M244" s="212"/>
    </row>
    <row r="245" spans="1:13" ht="12.75" customHeight="1">
      <c r="A245" s="212"/>
      <c r="B245" s="212"/>
      <c r="C245" s="212"/>
      <c r="D245" s="212"/>
      <c r="E245" s="212"/>
      <c r="F245" s="212"/>
      <c r="G245" s="212"/>
      <c r="J245" s="212"/>
      <c r="K245" s="212"/>
      <c r="L245" s="212"/>
      <c r="M245" s="212"/>
    </row>
    <row r="246" spans="1:13" ht="12.75" customHeight="1">
      <c r="A246" s="212"/>
      <c r="B246" s="212"/>
      <c r="C246" s="212"/>
      <c r="D246" s="212"/>
      <c r="E246" s="212"/>
      <c r="F246" s="212"/>
      <c r="G246" s="212"/>
      <c r="J246" s="212"/>
      <c r="K246" s="212"/>
      <c r="L246" s="212"/>
      <c r="M246" s="212"/>
    </row>
    <row r="247" spans="1:13" ht="12.75" customHeight="1">
      <c r="A247" s="212"/>
      <c r="B247" s="212"/>
      <c r="C247" s="212"/>
      <c r="D247" s="212"/>
      <c r="E247" s="212"/>
      <c r="F247" s="212"/>
      <c r="G247" s="212"/>
      <c r="J247" s="212"/>
      <c r="K247" s="212"/>
      <c r="L247" s="212"/>
      <c r="M247" s="212"/>
    </row>
    <row r="248" spans="1:13" ht="12.75" customHeight="1">
      <c r="A248" s="212"/>
      <c r="B248" s="212"/>
      <c r="C248" s="212"/>
      <c r="D248" s="212"/>
      <c r="E248" s="212"/>
      <c r="F248" s="212"/>
      <c r="G248" s="212"/>
      <c r="J248" s="212"/>
      <c r="K248" s="212"/>
      <c r="L248" s="212"/>
      <c r="M248" s="212"/>
    </row>
    <row r="249" spans="1:13" ht="12.75" customHeight="1">
      <c r="A249" s="212"/>
      <c r="B249" s="212"/>
      <c r="C249" s="212"/>
      <c r="D249" s="212"/>
      <c r="E249" s="212"/>
      <c r="F249" s="212"/>
      <c r="G249" s="212"/>
      <c r="J249" s="212"/>
      <c r="K249" s="212"/>
      <c r="L249" s="212"/>
      <c r="M249" s="212"/>
    </row>
    <row r="250" spans="1:13" ht="12.75" customHeight="1">
      <c r="A250" s="212"/>
      <c r="B250" s="212"/>
      <c r="C250" s="212"/>
      <c r="D250" s="212"/>
      <c r="E250" s="212"/>
      <c r="F250" s="212"/>
      <c r="G250" s="212"/>
      <c r="J250" s="212"/>
      <c r="K250" s="212"/>
      <c r="L250" s="212"/>
      <c r="M250" s="212"/>
    </row>
    <row r="251" spans="1:13" ht="12.75" customHeight="1">
      <c r="A251" s="212"/>
      <c r="B251" s="212"/>
      <c r="C251" s="212"/>
      <c r="D251" s="212"/>
      <c r="E251" s="212"/>
      <c r="F251" s="212"/>
      <c r="G251" s="212"/>
      <c r="J251" s="212"/>
      <c r="K251" s="212"/>
      <c r="L251" s="212"/>
      <c r="M251" s="212"/>
    </row>
    <row r="252" spans="1:13" ht="12.75" customHeight="1">
      <c r="A252" s="212"/>
      <c r="B252" s="212"/>
      <c r="C252" s="212"/>
      <c r="D252" s="212"/>
      <c r="E252" s="212"/>
      <c r="F252" s="212"/>
      <c r="G252" s="212"/>
      <c r="J252" s="212"/>
      <c r="K252" s="212"/>
      <c r="L252" s="212"/>
      <c r="M252" s="212"/>
    </row>
    <row r="253" spans="1:13" ht="12.75" customHeight="1">
      <c r="A253" s="212"/>
      <c r="B253" s="212"/>
      <c r="C253" s="212"/>
      <c r="D253" s="212"/>
      <c r="E253" s="212"/>
      <c r="F253" s="212"/>
      <c r="G253" s="212"/>
      <c r="J253" s="212"/>
      <c r="K253" s="212"/>
      <c r="L253" s="212"/>
      <c r="M253" s="212"/>
    </row>
    <row r="254" spans="1:13" ht="12.75" customHeight="1">
      <c r="A254" s="212"/>
      <c r="B254" s="212"/>
      <c r="C254" s="212"/>
      <c r="D254" s="212"/>
      <c r="E254" s="212"/>
      <c r="F254" s="212"/>
      <c r="G254" s="212"/>
      <c r="J254" s="212"/>
      <c r="K254" s="212"/>
      <c r="L254" s="212"/>
      <c r="M254" s="212"/>
    </row>
    <row r="255" spans="1:13" ht="12.75" customHeight="1">
      <c r="A255" s="212"/>
      <c r="B255" s="212"/>
      <c r="C255" s="212"/>
      <c r="D255" s="212"/>
      <c r="E255" s="212"/>
      <c r="F255" s="212"/>
      <c r="G255" s="212"/>
      <c r="J255" s="212"/>
      <c r="K255" s="212"/>
      <c r="L255" s="212"/>
      <c r="M255" s="212"/>
    </row>
    <row r="256" spans="1:13" ht="12.75" customHeight="1">
      <c r="A256" s="212"/>
      <c r="B256" s="212"/>
      <c r="C256" s="212"/>
      <c r="D256" s="212"/>
      <c r="E256" s="212"/>
      <c r="F256" s="212"/>
      <c r="G256" s="212"/>
      <c r="J256" s="212"/>
      <c r="K256" s="212"/>
      <c r="L256" s="212"/>
      <c r="M256" s="212"/>
    </row>
    <row r="257" spans="1:13" ht="12.75" customHeight="1">
      <c r="A257" s="212"/>
      <c r="B257" s="212"/>
      <c r="C257" s="212"/>
      <c r="D257" s="212"/>
      <c r="E257" s="212"/>
      <c r="F257" s="212"/>
      <c r="G257" s="212"/>
      <c r="J257" s="212"/>
      <c r="K257" s="212"/>
      <c r="L257" s="212"/>
      <c r="M257" s="212"/>
    </row>
    <row r="258" spans="1:13" ht="12.75" customHeight="1">
      <c r="A258" s="212"/>
      <c r="B258" s="212"/>
      <c r="C258" s="212"/>
      <c r="D258" s="212"/>
      <c r="E258" s="212"/>
      <c r="F258" s="212"/>
      <c r="G258" s="212"/>
      <c r="J258" s="212"/>
      <c r="K258" s="212"/>
      <c r="L258" s="212"/>
      <c r="M258" s="212"/>
    </row>
    <row r="259" spans="1:13" ht="12.75" customHeight="1">
      <c r="A259" s="212"/>
      <c r="B259" s="212"/>
      <c r="C259" s="212"/>
      <c r="D259" s="212"/>
      <c r="E259" s="212"/>
      <c r="F259" s="212"/>
      <c r="G259" s="212"/>
      <c r="J259" s="212"/>
      <c r="K259" s="212"/>
      <c r="L259" s="212"/>
      <c r="M259" s="212"/>
    </row>
    <row r="260" spans="1:13" ht="12.75" customHeight="1">
      <c r="A260" s="212"/>
      <c r="B260" s="212"/>
      <c r="C260" s="212"/>
      <c r="D260" s="212"/>
      <c r="E260" s="212"/>
      <c r="F260" s="212"/>
      <c r="G260" s="212"/>
      <c r="J260" s="212"/>
      <c r="K260" s="212"/>
      <c r="L260" s="212"/>
      <c r="M260" s="212"/>
    </row>
    <row r="261" spans="1:13" ht="12.75" customHeight="1">
      <c r="A261" s="212"/>
      <c r="B261" s="212"/>
      <c r="C261" s="212"/>
      <c r="D261" s="212"/>
      <c r="E261" s="212"/>
      <c r="F261" s="212"/>
      <c r="G261" s="212"/>
      <c r="J261" s="212"/>
      <c r="K261" s="212"/>
      <c r="L261" s="212"/>
      <c r="M261" s="212"/>
    </row>
    <row r="262" spans="1:13" ht="12.75" customHeight="1">
      <c r="A262" s="212"/>
      <c r="B262" s="212"/>
      <c r="C262" s="212"/>
      <c r="D262" s="212"/>
      <c r="E262" s="212"/>
      <c r="F262" s="212"/>
      <c r="G262" s="212"/>
      <c r="J262" s="212"/>
      <c r="K262" s="212"/>
      <c r="L262" s="212"/>
      <c r="M262" s="212"/>
    </row>
    <row r="263" spans="1:13" ht="12.75" customHeight="1">
      <c r="A263" s="212"/>
      <c r="B263" s="212"/>
      <c r="C263" s="212"/>
      <c r="D263" s="212"/>
      <c r="E263" s="212"/>
      <c r="F263" s="212"/>
      <c r="G263" s="212"/>
      <c r="J263" s="212"/>
      <c r="K263" s="212"/>
      <c r="L263" s="212"/>
      <c r="M263" s="212"/>
    </row>
    <row r="264" spans="1:13" ht="12.75" customHeight="1">
      <c r="A264" s="212"/>
      <c r="B264" s="212"/>
      <c r="C264" s="212"/>
      <c r="D264" s="212"/>
      <c r="E264" s="212"/>
      <c r="F264" s="212"/>
      <c r="G264" s="212"/>
      <c r="J264" s="212"/>
      <c r="K264" s="212"/>
      <c r="L264" s="212"/>
      <c r="M264" s="212"/>
    </row>
    <row r="265" spans="1:13" ht="12.75" customHeight="1">
      <c r="A265" s="212"/>
      <c r="B265" s="212"/>
      <c r="C265" s="212"/>
      <c r="D265" s="212"/>
      <c r="E265" s="212"/>
      <c r="F265" s="212"/>
      <c r="G265" s="212"/>
      <c r="J265" s="212"/>
      <c r="K265" s="212"/>
      <c r="L265" s="212"/>
      <c r="M265" s="212"/>
    </row>
    <row r="266" spans="1:13" ht="12.75" customHeight="1">
      <c r="A266" s="212"/>
      <c r="B266" s="212"/>
      <c r="C266" s="212"/>
      <c r="D266" s="212"/>
      <c r="E266" s="212"/>
      <c r="F266" s="212"/>
      <c r="G266" s="212"/>
      <c r="J266" s="212"/>
      <c r="K266" s="212"/>
      <c r="L266" s="212"/>
      <c r="M266" s="212"/>
    </row>
    <row r="267" spans="1:13" ht="12.75" customHeight="1">
      <c r="A267" s="212"/>
      <c r="B267" s="212"/>
      <c r="C267" s="212"/>
      <c r="D267" s="212"/>
      <c r="E267" s="212"/>
      <c r="F267" s="212"/>
      <c r="G267" s="212"/>
      <c r="J267" s="212"/>
      <c r="K267" s="212"/>
      <c r="L267" s="212"/>
      <c r="M267" s="212"/>
    </row>
    <row r="268" spans="1:13" ht="12.75" customHeight="1">
      <c r="A268" s="212"/>
      <c r="B268" s="212"/>
      <c r="C268" s="212"/>
      <c r="D268" s="212"/>
      <c r="E268" s="212"/>
      <c r="F268" s="212"/>
      <c r="G268" s="212"/>
      <c r="J268" s="212"/>
      <c r="K268" s="212"/>
      <c r="L268" s="212"/>
      <c r="M268" s="212"/>
    </row>
    <row r="269" spans="1:13" ht="12.75" customHeight="1">
      <c r="A269" s="212"/>
      <c r="B269" s="212"/>
      <c r="C269" s="212"/>
      <c r="D269" s="212"/>
      <c r="E269" s="212"/>
      <c r="F269" s="212"/>
      <c r="G269" s="212"/>
      <c r="J269" s="212"/>
      <c r="K269" s="212"/>
      <c r="L269" s="212"/>
      <c r="M269" s="212"/>
    </row>
    <row r="270" spans="1:13" ht="12.75" customHeight="1">
      <c r="A270" s="212"/>
      <c r="B270" s="212"/>
      <c r="C270" s="212"/>
      <c r="D270" s="212"/>
      <c r="E270" s="212"/>
      <c r="F270" s="212"/>
      <c r="G270" s="212"/>
      <c r="J270" s="212"/>
      <c r="K270" s="212"/>
      <c r="L270" s="212"/>
      <c r="M270" s="212"/>
    </row>
    <row r="271" spans="1:13" ht="12.75" customHeight="1">
      <c r="A271" s="212"/>
      <c r="B271" s="212"/>
      <c r="C271" s="212"/>
      <c r="D271" s="212"/>
      <c r="E271" s="212"/>
      <c r="F271" s="212"/>
      <c r="G271" s="212"/>
      <c r="J271" s="212"/>
      <c r="K271" s="212"/>
      <c r="L271" s="212"/>
      <c r="M271" s="212"/>
    </row>
    <row r="272" spans="1:13" ht="12.75" customHeight="1">
      <c r="A272" s="212"/>
      <c r="B272" s="212"/>
      <c r="C272" s="212"/>
      <c r="D272" s="212"/>
      <c r="E272" s="212"/>
      <c r="F272" s="212"/>
      <c r="G272" s="212"/>
      <c r="J272" s="212"/>
      <c r="K272" s="212"/>
      <c r="L272" s="212"/>
      <c r="M272" s="212"/>
    </row>
    <row r="273" spans="1:13" ht="12.75" customHeight="1">
      <c r="A273" s="212"/>
      <c r="B273" s="212"/>
      <c r="C273" s="212"/>
      <c r="D273" s="212"/>
      <c r="E273" s="212"/>
      <c r="F273" s="212"/>
      <c r="G273" s="212"/>
      <c r="J273" s="212"/>
      <c r="K273" s="212"/>
      <c r="L273" s="212"/>
      <c r="M273" s="212"/>
    </row>
    <row r="274" spans="1:13" ht="12.75" customHeight="1">
      <c r="A274" s="212"/>
      <c r="B274" s="212"/>
      <c r="C274" s="212"/>
      <c r="D274" s="212"/>
      <c r="E274" s="212"/>
      <c r="F274" s="212"/>
      <c r="G274" s="212"/>
      <c r="J274" s="212"/>
      <c r="K274" s="212"/>
      <c r="L274" s="212"/>
      <c r="M274" s="212"/>
    </row>
    <row r="275" spans="1:13" ht="12.75" customHeight="1">
      <c r="A275" s="212"/>
      <c r="B275" s="212"/>
      <c r="C275" s="212"/>
      <c r="D275" s="212"/>
      <c r="E275" s="212"/>
      <c r="F275" s="212"/>
      <c r="G275" s="212"/>
      <c r="J275" s="212"/>
      <c r="K275" s="212"/>
      <c r="L275" s="212"/>
      <c r="M275" s="212"/>
    </row>
    <row r="276" spans="1:13" ht="12.75" customHeight="1">
      <c r="A276" s="212"/>
      <c r="B276" s="212"/>
      <c r="C276" s="212"/>
      <c r="D276" s="212"/>
      <c r="E276" s="212"/>
      <c r="F276" s="212"/>
      <c r="G276" s="212"/>
      <c r="J276" s="212"/>
      <c r="K276" s="212"/>
      <c r="L276" s="212"/>
      <c r="M276" s="212"/>
    </row>
    <row r="277" spans="1:13" ht="12.75" customHeight="1">
      <c r="A277" s="212"/>
      <c r="B277" s="212"/>
      <c r="C277" s="212"/>
      <c r="D277" s="212"/>
      <c r="E277" s="212"/>
      <c r="F277" s="212"/>
      <c r="G277" s="212"/>
      <c r="J277" s="212"/>
      <c r="K277" s="212"/>
      <c r="L277" s="212"/>
      <c r="M277" s="212"/>
    </row>
    <row r="278" spans="1:13" ht="12.75" customHeight="1">
      <c r="A278" s="212"/>
      <c r="B278" s="212"/>
      <c r="C278" s="212"/>
      <c r="D278" s="212"/>
      <c r="E278" s="212"/>
      <c r="F278" s="212"/>
      <c r="G278" s="212"/>
      <c r="J278" s="212"/>
      <c r="K278" s="212"/>
      <c r="L278" s="212"/>
      <c r="M278" s="212"/>
    </row>
    <row r="279" spans="1:13" ht="12.75" customHeight="1">
      <c r="A279" s="212"/>
      <c r="B279" s="212"/>
      <c r="C279" s="212"/>
      <c r="D279" s="212"/>
      <c r="E279" s="212"/>
      <c r="F279" s="212"/>
      <c r="G279" s="212"/>
      <c r="J279" s="212"/>
      <c r="K279" s="212"/>
      <c r="L279" s="212"/>
      <c r="M279" s="212"/>
    </row>
    <row r="280" spans="1:13" ht="12.75" customHeight="1">
      <c r="A280" s="212"/>
      <c r="B280" s="212"/>
      <c r="C280" s="212"/>
      <c r="D280" s="212"/>
      <c r="E280" s="212"/>
      <c r="F280" s="212"/>
      <c r="G280" s="212"/>
      <c r="J280" s="212"/>
      <c r="K280" s="212"/>
      <c r="L280" s="212"/>
      <c r="M280" s="212"/>
    </row>
    <row r="281" spans="1:13" ht="12.75" customHeight="1">
      <c r="A281" s="212"/>
      <c r="B281" s="212"/>
      <c r="C281" s="212"/>
      <c r="D281" s="212"/>
      <c r="E281" s="212"/>
      <c r="F281" s="212"/>
      <c r="G281" s="212"/>
      <c r="J281" s="212"/>
      <c r="K281" s="212"/>
      <c r="L281" s="212"/>
      <c r="M281" s="212"/>
    </row>
    <row r="282" spans="1:13" ht="12.75" customHeight="1">
      <c r="A282" s="212"/>
      <c r="B282" s="212"/>
      <c r="C282" s="212"/>
      <c r="D282" s="212"/>
      <c r="E282" s="212"/>
      <c r="F282" s="212"/>
      <c r="G282" s="212"/>
      <c r="J282" s="212"/>
      <c r="K282" s="212"/>
      <c r="L282" s="212"/>
      <c r="M282" s="212"/>
    </row>
    <row r="283" spans="1:13" ht="12.75" customHeight="1">
      <c r="A283" s="212"/>
      <c r="B283" s="212"/>
      <c r="C283" s="212"/>
      <c r="D283" s="212"/>
      <c r="E283" s="212"/>
      <c r="F283" s="212"/>
      <c r="G283" s="212"/>
      <c r="J283" s="212"/>
      <c r="K283" s="212"/>
      <c r="L283" s="212"/>
      <c r="M283" s="212"/>
    </row>
    <row r="284" spans="1:13" ht="12.75" customHeight="1">
      <c r="A284" s="212"/>
      <c r="B284" s="212"/>
      <c r="C284" s="212"/>
      <c r="D284" s="212"/>
      <c r="E284" s="212"/>
      <c r="F284" s="212"/>
      <c r="G284" s="212"/>
      <c r="J284" s="212"/>
      <c r="K284" s="212"/>
      <c r="L284" s="212"/>
      <c r="M284" s="212"/>
    </row>
    <row r="285" spans="1:13" ht="12.75" customHeight="1">
      <c r="A285" s="212"/>
      <c r="B285" s="212"/>
      <c r="C285" s="212"/>
      <c r="D285" s="212"/>
      <c r="E285" s="212"/>
      <c r="F285" s="212"/>
      <c r="G285" s="212"/>
      <c r="J285" s="212"/>
      <c r="K285" s="212"/>
      <c r="L285" s="212"/>
      <c r="M285" s="212"/>
    </row>
    <row r="286" spans="1:13" ht="12.75" customHeight="1">
      <c r="A286" s="212"/>
      <c r="B286" s="212"/>
      <c r="C286" s="212"/>
      <c r="D286" s="212"/>
      <c r="E286" s="212"/>
      <c r="F286" s="212"/>
      <c r="G286" s="212"/>
      <c r="J286" s="212"/>
      <c r="K286" s="212"/>
      <c r="L286" s="212"/>
      <c r="M286" s="212"/>
    </row>
    <row r="287" spans="1:13" ht="12.75" customHeight="1">
      <c r="A287" s="212"/>
      <c r="B287" s="212"/>
      <c r="C287" s="212"/>
      <c r="D287" s="212"/>
      <c r="E287" s="212"/>
      <c r="F287" s="212"/>
      <c r="G287" s="212"/>
      <c r="J287" s="212"/>
      <c r="K287" s="212"/>
      <c r="L287" s="212"/>
      <c r="M287" s="212"/>
    </row>
    <row r="288" spans="1:13" ht="12.75" customHeight="1">
      <c r="A288" s="212"/>
      <c r="B288" s="212"/>
      <c r="C288" s="212"/>
      <c r="D288" s="212"/>
      <c r="E288" s="212"/>
      <c r="F288" s="212"/>
      <c r="G288" s="212"/>
      <c r="J288" s="212"/>
      <c r="K288" s="212"/>
      <c r="L288" s="212"/>
      <c r="M288" s="212"/>
    </row>
    <row r="289" spans="1:13" ht="12.75" customHeight="1">
      <c r="A289" s="212"/>
      <c r="B289" s="212"/>
      <c r="C289" s="212"/>
      <c r="D289" s="212"/>
      <c r="E289" s="212"/>
      <c r="F289" s="212"/>
      <c r="G289" s="212"/>
      <c r="J289" s="212"/>
      <c r="K289" s="212"/>
      <c r="L289" s="212"/>
      <c r="M289" s="212"/>
    </row>
    <row r="290" spans="1:13" ht="12.75" customHeight="1">
      <c r="A290" s="212"/>
      <c r="B290" s="212"/>
      <c r="C290" s="212"/>
      <c r="D290" s="212"/>
      <c r="E290" s="212"/>
      <c r="F290" s="212"/>
      <c r="G290" s="212"/>
      <c r="J290" s="212"/>
      <c r="K290" s="212"/>
      <c r="L290" s="212"/>
      <c r="M290" s="212"/>
    </row>
    <row r="291" spans="1:13" ht="12.75" customHeight="1">
      <c r="A291" s="212"/>
      <c r="B291" s="212"/>
      <c r="C291" s="212"/>
      <c r="D291" s="212"/>
      <c r="E291" s="212"/>
      <c r="F291" s="212"/>
      <c r="G291" s="212"/>
      <c r="J291" s="212"/>
      <c r="K291" s="212"/>
      <c r="L291" s="212"/>
      <c r="M291" s="212"/>
    </row>
    <row r="292" spans="1:13" ht="12.75" customHeight="1">
      <c r="A292" s="212"/>
      <c r="B292" s="212"/>
      <c r="C292" s="212"/>
      <c r="D292" s="212"/>
      <c r="E292" s="212"/>
      <c r="F292" s="212"/>
      <c r="G292" s="212"/>
      <c r="J292" s="212"/>
      <c r="K292" s="212"/>
      <c r="L292" s="212"/>
      <c r="M292" s="212"/>
    </row>
    <row r="293" spans="1:13" ht="12.75" customHeight="1">
      <c r="A293" s="212"/>
      <c r="B293" s="212"/>
      <c r="C293" s="212"/>
      <c r="D293" s="212"/>
      <c r="E293" s="212"/>
      <c r="F293" s="212"/>
      <c r="G293" s="212"/>
      <c r="J293" s="212"/>
      <c r="K293" s="212"/>
      <c r="L293" s="212"/>
      <c r="M293" s="212"/>
    </row>
    <row r="294" spans="1:13" ht="12.75" customHeight="1">
      <c r="A294" s="212"/>
      <c r="B294" s="212"/>
      <c r="C294" s="212"/>
      <c r="D294" s="212"/>
      <c r="E294" s="212"/>
      <c r="F294" s="212"/>
      <c r="G294" s="212"/>
      <c r="J294" s="212"/>
      <c r="K294" s="212"/>
      <c r="L294" s="212"/>
      <c r="M294" s="212"/>
    </row>
    <row r="295" spans="1:13" ht="12.75" customHeight="1">
      <c r="A295" s="212"/>
      <c r="B295" s="212"/>
      <c r="C295" s="212"/>
      <c r="D295" s="212"/>
      <c r="E295" s="212"/>
      <c r="F295" s="212"/>
      <c r="G295" s="212"/>
      <c r="J295" s="212"/>
      <c r="K295" s="212"/>
      <c r="L295" s="212"/>
      <c r="M295" s="212"/>
    </row>
    <row r="296" spans="1:13" ht="12.75" customHeight="1">
      <c r="A296" s="212"/>
      <c r="B296" s="212"/>
      <c r="C296" s="212"/>
      <c r="D296" s="212"/>
      <c r="E296" s="212"/>
      <c r="F296" s="212"/>
      <c r="G296" s="212"/>
      <c r="J296" s="212"/>
      <c r="K296" s="212"/>
      <c r="L296" s="212"/>
      <c r="M296" s="212"/>
    </row>
    <row r="297" spans="1:13" ht="12.75" customHeight="1">
      <c r="A297" s="212"/>
      <c r="B297" s="212"/>
      <c r="C297" s="212"/>
      <c r="D297" s="212"/>
      <c r="E297" s="212"/>
      <c r="F297" s="212"/>
      <c r="G297" s="212"/>
      <c r="J297" s="212"/>
      <c r="K297" s="212"/>
      <c r="L297" s="212"/>
      <c r="M297" s="212"/>
    </row>
    <row r="298" spans="1:13" ht="12.75" customHeight="1">
      <c r="A298" s="212"/>
      <c r="B298" s="212"/>
      <c r="C298" s="212"/>
      <c r="D298" s="212"/>
      <c r="E298" s="212"/>
      <c r="F298" s="212"/>
      <c r="G298" s="212"/>
      <c r="J298" s="212"/>
      <c r="K298" s="212"/>
      <c r="L298" s="212"/>
      <c r="M298" s="212"/>
    </row>
    <row r="299" spans="1:13" ht="12.75" customHeight="1">
      <c r="A299" s="212"/>
      <c r="B299" s="212"/>
      <c r="C299" s="212"/>
      <c r="D299" s="212"/>
      <c r="E299" s="212"/>
      <c r="F299" s="212"/>
      <c r="G299" s="212"/>
      <c r="J299" s="212"/>
      <c r="K299" s="212"/>
      <c r="L299" s="212"/>
      <c r="M299" s="212"/>
    </row>
    <row r="300" spans="1:13" ht="12.75" customHeight="1">
      <c r="A300" s="212"/>
      <c r="B300" s="212"/>
      <c r="C300" s="212"/>
      <c r="D300" s="212"/>
      <c r="E300" s="212"/>
      <c r="F300" s="212"/>
      <c r="G300" s="212"/>
      <c r="J300" s="212"/>
      <c r="K300" s="212"/>
      <c r="L300" s="212"/>
      <c r="M300" s="212"/>
    </row>
    <row r="301" spans="1:13" ht="12.75" customHeight="1">
      <c r="A301" s="212"/>
      <c r="B301" s="212"/>
      <c r="C301" s="212"/>
      <c r="D301" s="212"/>
      <c r="E301" s="212"/>
      <c r="F301" s="212"/>
      <c r="G301" s="212"/>
      <c r="J301" s="212"/>
      <c r="K301" s="212"/>
      <c r="L301" s="212"/>
      <c r="M301" s="212"/>
    </row>
    <row r="302" spans="1:13" ht="12.75" customHeight="1">
      <c r="A302" s="212"/>
      <c r="B302" s="212"/>
      <c r="C302" s="212"/>
      <c r="D302" s="212"/>
      <c r="E302" s="212"/>
      <c r="F302" s="212"/>
      <c r="G302" s="212"/>
      <c r="J302" s="212"/>
      <c r="K302" s="212"/>
      <c r="L302" s="212"/>
      <c r="M302" s="212"/>
    </row>
    <row r="303" spans="1:13" ht="12.75" customHeight="1">
      <c r="A303" s="212"/>
      <c r="B303" s="212"/>
      <c r="C303" s="212"/>
      <c r="D303" s="212"/>
      <c r="E303" s="212"/>
      <c r="F303" s="212"/>
      <c r="G303" s="212"/>
      <c r="J303" s="212"/>
      <c r="K303" s="212"/>
      <c r="L303" s="212"/>
      <c r="M303" s="212"/>
    </row>
    <row r="304" spans="1:13" ht="12.75" customHeight="1">
      <c r="A304" s="212"/>
      <c r="B304" s="212"/>
      <c r="C304" s="212"/>
      <c r="D304" s="212"/>
      <c r="E304" s="212"/>
      <c r="F304" s="212"/>
      <c r="G304" s="212"/>
      <c r="J304" s="212"/>
      <c r="K304" s="212"/>
      <c r="L304" s="212"/>
      <c r="M304" s="212"/>
    </row>
    <row r="305" spans="1:13" ht="12.75" customHeight="1">
      <c r="A305" s="212"/>
      <c r="B305" s="212"/>
      <c r="C305" s="212"/>
      <c r="D305" s="212"/>
      <c r="E305" s="212"/>
      <c r="F305" s="212"/>
      <c r="G305" s="212"/>
      <c r="J305" s="212"/>
      <c r="K305" s="212"/>
      <c r="L305" s="212"/>
      <c r="M305" s="212"/>
    </row>
    <row r="306" spans="1:13" ht="12.75" customHeight="1">
      <c r="A306" s="212"/>
      <c r="B306" s="212"/>
      <c r="C306" s="212"/>
      <c r="D306" s="212"/>
      <c r="E306" s="212"/>
      <c r="F306" s="212"/>
      <c r="G306" s="212"/>
      <c r="J306" s="212"/>
      <c r="K306" s="212"/>
      <c r="L306" s="212"/>
      <c r="M306" s="212"/>
    </row>
    <row r="307" spans="1:13" ht="12.75" customHeight="1">
      <c r="A307" s="212"/>
      <c r="B307" s="212"/>
      <c r="C307" s="212"/>
      <c r="D307" s="212"/>
      <c r="E307" s="212"/>
      <c r="F307" s="212"/>
      <c r="G307" s="212"/>
      <c r="J307" s="212"/>
      <c r="K307" s="212"/>
      <c r="L307" s="212"/>
      <c r="M307" s="212"/>
    </row>
    <row r="308" spans="1:13" ht="12.75" customHeight="1">
      <c r="A308" s="212"/>
      <c r="B308" s="212"/>
      <c r="C308" s="212"/>
      <c r="D308" s="212"/>
      <c r="E308" s="212"/>
      <c r="F308" s="212"/>
      <c r="G308" s="212"/>
      <c r="J308" s="212"/>
      <c r="K308" s="212"/>
      <c r="L308" s="212"/>
      <c r="M308" s="212"/>
    </row>
    <row r="309" spans="1:13" ht="12.75" customHeight="1">
      <c r="A309" s="212"/>
      <c r="B309" s="212"/>
      <c r="C309" s="212"/>
      <c r="D309" s="212"/>
      <c r="E309" s="212"/>
      <c r="F309" s="212"/>
      <c r="G309" s="212"/>
      <c r="J309" s="212"/>
      <c r="K309" s="212"/>
      <c r="L309" s="212"/>
      <c r="M309" s="212"/>
    </row>
    <row r="310" spans="1:13" ht="12.75" customHeight="1">
      <c r="A310" s="212"/>
      <c r="B310" s="212"/>
      <c r="C310" s="212"/>
      <c r="D310" s="212"/>
      <c r="E310" s="212"/>
      <c r="F310" s="212"/>
      <c r="G310" s="212"/>
      <c r="J310" s="212"/>
      <c r="K310" s="212"/>
      <c r="L310" s="212"/>
      <c r="M310" s="212"/>
    </row>
    <row r="311" spans="1:13" ht="12.75" customHeight="1">
      <c r="A311" s="212"/>
      <c r="B311" s="212"/>
      <c r="C311" s="212"/>
      <c r="D311" s="212"/>
      <c r="E311" s="212"/>
      <c r="F311" s="212"/>
      <c r="G311" s="212"/>
      <c r="J311" s="212"/>
      <c r="K311" s="212"/>
      <c r="L311" s="212"/>
      <c r="M311" s="212"/>
    </row>
    <row r="312" spans="1:13" ht="12.75" customHeight="1">
      <c r="A312" s="212"/>
      <c r="B312" s="212"/>
      <c r="C312" s="212"/>
      <c r="D312" s="212"/>
      <c r="E312" s="212"/>
      <c r="F312" s="212"/>
      <c r="G312" s="212"/>
      <c r="J312" s="212"/>
      <c r="K312" s="212"/>
      <c r="L312" s="212"/>
      <c r="M312" s="212"/>
    </row>
    <row r="313" spans="1:13" ht="12.75" customHeight="1">
      <c r="A313" s="212"/>
      <c r="B313" s="212"/>
      <c r="C313" s="212"/>
      <c r="D313" s="212"/>
      <c r="E313" s="212"/>
      <c r="F313" s="212"/>
      <c r="G313" s="212"/>
      <c r="J313" s="212"/>
      <c r="K313" s="212"/>
      <c r="L313" s="212"/>
      <c r="M313" s="212"/>
    </row>
    <row r="314" spans="1:13" ht="12.75" customHeight="1">
      <c r="A314" s="212"/>
      <c r="B314" s="212"/>
      <c r="C314" s="212"/>
      <c r="D314" s="212"/>
      <c r="E314" s="212"/>
      <c r="F314" s="212"/>
      <c r="G314" s="212"/>
      <c r="J314" s="212"/>
      <c r="K314" s="212"/>
      <c r="L314" s="212"/>
      <c r="M314" s="212"/>
    </row>
    <row r="315" spans="1:13" ht="12.75" customHeight="1">
      <c r="A315" s="212"/>
      <c r="B315" s="212"/>
      <c r="C315" s="212"/>
      <c r="D315" s="212"/>
      <c r="E315" s="212"/>
      <c r="F315" s="212"/>
      <c r="G315" s="212"/>
      <c r="J315" s="212"/>
      <c r="K315" s="212"/>
      <c r="L315" s="212"/>
      <c r="M315" s="212"/>
    </row>
    <row r="316" spans="1:13" ht="12.75" customHeight="1">
      <c r="A316" s="212"/>
      <c r="B316" s="212"/>
      <c r="C316" s="212"/>
      <c r="D316" s="212"/>
      <c r="E316" s="212"/>
      <c r="F316" s="212"/>
      <c r="G316" s="212"/>
      <c r="J316" s="212"/>
      <c r="K316" s="212"/>
      <c r="L316" s="212"/>
      <c r="M316" s="212"/>
    </row>
    <row r="317" spans="1:13" ht="12.75" customHeight="1">
      <c r="A317" s="212"/>
      <c r="B317" s="212"/>
      <c r="C317" s="212"/>
      <c r="D317" s="212"/>
      <c r="E317" s="212"/>
      <c r="F317" s="212"/>
      <c r="G317" s="212"/>
      <c r="J317" s="212"/>
      <c r="K317" s="212"/>
      <c r="L317" s="212"/>
      <c r="M317" s="212"/>
    </row>
    <row r="318" spans="1:13" ht="12.75" customHeight="1">
      <c r="A318" s="212"/>
      <c r="B318" s="212"/>
      <c r="C318" s="212"/>
      <c r="D318" s="212"/>
      <c r="E318" s="212"/>
      <c r="F318" s="212"/>
      <c r="G318" s="212"/>
      <c r="J318" s="212"/>
      <c r="K318" s="212"/>
      <c r="L318" s="212"/>
      <c r="M318" s="212"/>
    </row>
    <row r="319" spans="1:13" ht="12.75" customHeight="1">
      <c r="A319" s="212"/>
      <c r="B319" s="212"/>
      <c r="C319" s="212"/>
      <c r="D319" s="212"/>
      <c r="E319" s="212"/>
      <c r="F319" s="212"/>
      <c r="G319" s="212"/>
      <c r="J319" s="212"/>
      <c r="K319" s="212"/>
      <c r="L319" s="212"/>
      <c r="M319" s="212"/>
    </row>
    <row r="320" spans="1:13" ht="12.75" customHeight="1">
      <c r="A320" s="212"/>
      <c r="B320" s="212"/>
      <c r="C320" s="212"/>
      <c r="D320" s="212"/>
      <c r="E320" s="212"/>
      <c r="F320" s="212"/>
      <c r="G320" s="212"/>
      <c r="J320" s="212"/>
      <c r="K320" s="212"/>
      <c r="L320" s="212"/>
      <c r="M320" s="212"/>
    </row>
    <row r="321" spans="1:13" ht="12.75" customHeight="1">
      <c r="A321" s="212"/>
      <c r="B321" s="212"/>
      <c r="C321" s="212"/>
      <c r="D321" s="212"/>
      <c r="E321" s="212"/>
      <c r="F321" s="212"/>
      <c r="G321" s="212"/>
      <c r="J321" s="212"/>
      <c r="K321" s="212"/>
      <c r="L321" s="212"/>
      <c r="M321" s="212"/>
    </row>
    <row r="322" spans="1:13" ht="12.75" customHeight="1">
      <c r="A322" s="212"/>
      <c r="B322" s="212"/>
      <c r="C322" s="212"/>
      <c r="D322" s="212"/>
      <c r="E322" s="212"/>
      <c r="F322" s="212"/>
      <c r="G322" s="212"/>
      <c r="J322" s="212"/>
      <c r="K322" s="212"/>
      <c r="L322" s="212"/>
      <c r="M322" s="212"/>
    </row>
    <row r="323" spans="1:13" ht="12.75" customHeight="1">
      <c r="A323" s="212"/>
      <c r="B323" s="212"/>
      <c r="C323" s="212"/>
      <c r="D323" s="212"/>
      <c r="E323" s="212"/>
      <c r="F323" s="212"/>
      <c r="G323" s="212"/>
      <c r="J323" s="212"/>
      <c r="K323" s="212"/>
      <c r="L323" s="212"/>
      <c r="M323" s="212"/>
    </row>
    <row r="324" spans="1:13" ht="12.75" customHeight="1">
      <c r="A324" s="212"/>
      <c r="B324" s="212"/>
      <c r="C324" s="212"/>
      <c r="D324" s="212"/>
      <c r="E324" s="212"/>
      <c r="F324" s="212"/>
      <c r="G324" s="212"/>
      <c r="J324" s="212"/>
      <c r="K324" s="212"/>
      <c r="L324" s="212"/>
      <c r="M324" s="212"/>
    </row>
    <row r="325" spans="1:13" ht="12.75" customHeight="1">
      <c r="A325" s="212"/>
      <c r="B325" s="212"/>
      <c r="C325" s="212"/>
      <c r="D325" s="212"/>
      <c r="E325" s="212"/>
      <c r="F325" s="212"/>
      <c r="G325" s="212"/>
      <c r="J325" s="212"/>
      <c r="K325" s="212"/>
      <c r="L325" s="212"/>
      <c r="M325" s="212"/>
    </row>
    <row r="326" spans="1:13" ht="12.75" customHeight="1">
      <c r="A326" s="212"/>
      <c r="B326" s="212"/>
      <c r="C326" s="212"/>
      <c r="D326" s="212"/>
      <c r="E326" s="212"/>
      <c r="F326" s="212"/>
      <c r="G326" s="212"/>
      <c r="J326" s="212"/>
      <c r="K326" s="212"/>
      <c r="L326" s="212"/>
      <c r="M326" s="212"/>
    </row>
    <row r="327" spans="1:13" ht="12.75" customHeight="1">
      <c r="A327" s="212"/>
      <c r="B327" s="212"/>
      <c r="C327" s="212"/>
      <c r="D327" s="212"/>
      <c r="E327" s="212"/>
      <c r="F327" s="212"/>
      <c r="G327" s="212"/>
      <c r="J327" s="212"/>
      <c r="K327" s="212"/>
      <c r="L327" s="212"/>
      <c r="M327" s="212"/>
    </row>
    <row r="328" spans="1:13" ht="12.75" customHeight="1">
      <c r="A328" s="212"/>
      <c r="B328" s="212"/>
      <c r="C328" s="212"/>
      <c r="D328" s="212"/>
      <c r="E328" s="212"/>
      <c r="F328" s="212"/>
      <c r="G328" s="212"/>
      <c r="J328" s="212"/>
      <c r="K328" s="212"/>
      <c r="L328" s="212"/>
      <c r="M328" s="212"/>
    </row>
    <row r="329" spans="1:13" ht="12.75" customHeight="1">
      <c r="A329" s="212"/>
      <c r="B329" s="212"/>
      <c r="C329" s="212"/>
      <c r="D329" s="212"/>
      <c r="E329" s="212"/>
      <c r="F329" s="212"/>
      <c r="G329" s="212"/>
      <c r="J329" s="212"/>
      <c r="K329" s="212"/>
      <c r="L329" s="212"/>
      <c r="M329" s="212"/>
    </row>
    <row r="330" spans="1:13" ht="12.75" customHeight="1">
      <c r="A330" s="212"/>
      <c r="B330" s="212"/>
      <c r="C330" s="212"/>
      <c r="D330" s="212"/>
      <c r="E330" s="212"/>
      <c r="F330" s="212"/>
      <c r="G330" s="212"/>
      <c r="J330" s="212"/>
      <c r="K330" s="212"/>
      <c r="L330" s="212"/>
      <c r="M330" s="212"/>
    </row>
    <row r="331" spans="1:13" ht="12.75" customHeight="1">
      <c r="A331" s="212"/>
      <c r="B331" s="212"/>
      <c r="C331" s="212"/>
      <c r="D331" s="212"/>
      <c r="E331" s="212"/>
      <c r="F331" s="212"/>
      <c r="G331" s="212"/>
      <c r="J331" s="212"/>
      <c r="K331" s="212"/>
      <c r="L331" s="212"/>
      <c r="M331" s="212"/>
    </row>
    <row r="332" spans="1:13" ht="12.75" customHeight="1">
      <c r="A332" s="212"/>
      <c r="B332" s="212"/>
      <c r="C332" s="212"/>
      <c r="D332" s="212"/>
      <c r="E332" s="212"/>
      <c r="F332" s="212"/>
      <c r="G332" s="212"/>
      <c r="J332" s="212"/>
      <c r="K332" s="212"/>
      <c r="L332" s="212"/>
      <c r="M332" s="212"/>
    </row>
    <row r="333" spans="1:13" ht="12.75" customHeight="1">
      <c r="A333" s="212"/>
      <c r="B333" s="212"/>
      <c r="C333" s="212"/>
      <c r="D333" s="212"/>
      <c r="E333" s="212"/>
      <c r="F333" s="212"/>
      <c r="G333" s="212"/>
      <c r="J333" s="212"/>
      <c r="K333" s="212"/>
      <c r="L333" s="212"/>
      <c r="M333" s="212"/>
    </row>
    <row r="334" spans="1:13" ht="12.75" customHeight="1">
      <c r="A334" s="212"/>
      <c r="B334" s="212"/>
      <c r="C334" s="212"/>
      <c r="D334" s="212"/>
      <c r="E334" s="212"/>
      <c r="F334" s="212"/>
      <c r="G334" s="212"/>
      <c r="J334" s="212"/>
      <c r="K334" s="212"/>
      <c r="L334" s="212"/>
      <c r="M334" s="212"/>
    </row>
    <row r="335" spans="1:13" ht="12.75" customHeight="1">
      <c r="A335" s="212"/>
      <c r="B335" s="212"/>
      <c r="C335" s="212"/>
      <c r="D335" s="212"/>
      <c r="E335" s="212"/>
      <c r="F335" s="212"/>
      <c r="G335" s="212"/>
      <c r="J335" s="212"/>
      <c r="K335" s="212"/>
      <c r="L335" s="212"/>
      <c r="M335" s="212"/>
    </row>
    <row r="336" spans="1:13" ht="12.75" customHeight="1">
      <c r="A336" s="212"/>
      <c r="B336" s="212"/>
      <c r="C336" s="212"/>
      <c r="D336" s="212"/>
      <c r="E336" s="212"/>
      <c r="F336" s="212"/>
      <c r="G336" s="212"/>
      <c r="J336" s="212"/>
      <c r="K336" s="212"/>
      <c r="L336" s="212"/>
      <c r="M336" s="212"/>
    </row>
    <row r="337" spans="1:13" ht="12.75" customHeight="1">
      <c r="A337" s="212"/>
      <c r="B337" s="212"/>
      <c r="C337" s="212"/>
      <c r="D337" s="212"/>
      <c r="E337" s="212"/>
      <c r="F337" s="212"/>
      <c r="G337" s="212"/>
      <c r="J337" s="212"/>
      <c r="K337" s="212"/>
      <c r="L337" s="212"/>
      <c r="M337" s="212"/>
    </row>
    <row r="338" spans="1:13" ht="12.75" customHeight="1">
      <c r="A338" s="212"/>
      <c r="B338" s="212"/>
      <c r="C338" s="212"/>
      <c r="D338" s="212"/>
      <c r="E338" s="212"/>
      <c r="F338" s="212"/>
      <c r="G338" s="212"/>
      <c r="J338" s="212"/>
      <c r="K338" s="212"/>
      <c r="L338" s="212"/>
      <c r="M338" s="212"/>
    </row>
    <row r="339" spans="1:13" ht="12.75" customHeight="1">
      <c r="A339" s="212"/>
      <c r="B339" s="212"/>
      <c r="C339" s="212"/>
      <c r="D339" s="212"/>
      <c r="E339" s="212"/>
      <c r="F339" s="212"/>
      <c r="G339" s="212"/>
      <c r="J339" s="212"/>
      <c r="K339" s="212"/>
      <c r="L339" s="212"/>
      <c r="M339" s="212"/>
    </row>
    <row r="340" spans="1:13" ht="12.75" customHeight="1">
      <c r="A340" s="212"/>
      <c r="B340" s="212"/>
      <c r="C340" s="212"/>
      <c r="D340" s="212"/>
      <c r="E340" s="212"/>
      <c r="F340" s="212"/>
      <c r="G340" s="212"/>
      <c r="J340" s="212"/>
      <c r="K340" s="212"/>
      <c r="L340" s="212"/>
      <c r="M340" s="212"/>
    </row>
    <row r="341" spans="1:13" ht="12.75" customHeight="1">
      <c r="A341" s="212"/>
      <c r="B341" s="212"/>
      <c r="C341" s="212"/>
      <c r="D341" s="212"/>
      <c r="E341" s="212"/>
      <c r="F341" s="212"/>
      <c r="G341" s="212"/>
      <c r="J341" s="212"/>
      <c r="K341" s="212"/>
      <c r="L341" s="212"/>
      <c r="M341" s="212"/>
    </row>
    <row r="342" spans="1:13" ht="12.75" customHeight="1">
      <c r="A342" s="212"/>
      <c r="B342" s="212"/>
      <c r="C342" s="212"/>
      <c r="D342" s="212"/>
      <c r="E342" s="212"/>
      <c r="F342" s="212"/>
      <c r="G342" s="212"/>
      <c r="J342" s="212"/>
      <c r="K342" s="212"/>
      <c r="L342" s="212"/>
      <c r="M342" s="212"/>
    </row>
    <row r="343" spans="1:13" ht="12.75" customHeight="1">
      <c r="A343" s="212"/>
      <c r="B343" s="212"/>
      <c r="C343" s="212"/>
      <c r="D343" s="212"/>
      <c r="E343" s="212"/>
      <c r="F343" s="212"/>
      <c r="G343" s="212"/>
      <c r="J343" s="212"/>
      <c r="K343" s="212"/>
      <c r="L343" s="212"/>
      <c r="M343" s="212"/>
    </row>
    <row r="344" spans="1:13" ht="12.75" customHeight="1">
      <c r="A344" s="212"/>
      <c r="B344" s="212"/>
      <c r="C344" s="212"/>
      <c r="D344" s="212"/>
      <c r="E344" s="212"/>
      <c r="F344" s="212"/>
      <c r="G344" s="212"/>
      <c r="J344" s="212"/>
      <c r="K344" s="212"/>
      <c r="L344" s="212"/>
      <c r="M344" s="212"/>
    </row>
    <row r="345" spans="1:13" ht="12.75" customHeight="1">
      <c r="A345" s="212"/>
      <c r="B345" s="212"/>
      <c r="C345" s="212"/>
      <c r="D345" s="212"/>
      <c r="E345" s="212"/>
      <c r="F345" s="212"/>
      <c r="G345" s="212"/>
      <c r="J345" s="212"/>
      <c r="K345" s="212"/>
      <c r="L345" s="212"/>
      <c r="M345" s="212"/>
    </row>
    <row r="346" spans="1:13" ht="12.75" customHeight="1">
      <c r="A346" s="212"/>
      <c r="B346" s="212"/>
      <c r="C346" s="212"/>
      <c r="D346" s="212"/>
      <c r="E346" s="212"/>
      <c r="F346" s="212"/>
      <c r="G346" s="212"/>
      <c r="J346" s="212"/>
      <c r="K346" s="212"/>
      <c r="L346" s="212"/>
      <c r="M346" s="212"/>
    </row>
    <row r="347" spans="1:13" ht="12.75" customHeight="1">
      <c r="A347" s="212"/>
      <c r="B347" s="212"/>
      <c r="C347" s="212"/>
      <c r="D347" s="212"/>
      <c r="E347" s="212"/>
      <c r="F347" s="212"/>
      <c r="G347" s="212"/>
      <c r="J347" s="212"/>
      <c r="K347" s="212"/>
      <c r="L347" s="212"/>
      <c r="M347" s="212"/>
    </row>
    <row r="348" spans="1:13" ht="12.75" customHeight="1">
      <c r="A348" s="212"/>
      <c r="B348" s="212"/>
      <c r="C348" s="212"/>
      <c r="D348" s="212"/>
      <c r="E348" s="212"/>
      <c r="F348" s="212"/>
      <c r="G348" s="212"/>
      <c r="J348" s="212"/>
      <c r="K348" s="212"/>
      <c r="L348" s="212"/>
      <c r="M348" s="212"/>
    </row>
    <row r="349" spans="1:13" ht="12.75" customHeight="1">
      <c r="A349" s="212"/>
      <c r="B349" s="212"/>
      <c r="C349" s="212"/>
      <c r="D349" s="212"/>
      <c r="E349" s="212"/>
      <c r="F349" s="212"/>
      <c r="G349" s="212"/>
      <c r="J349" s="212"/>
      <c r="K349" s="212"/>
      <c r="L349" s="212"/>
      <c r="M349" s="212"/>
    </row>
    <row r="350" spans="1:13" ht="12.75" customHeight="1">
      <c r="A350" s="212"/>
      <c r="B350" s="212"/>
      <c r="C350" s="212"/>
      <c r="D350" s="212"/>
      <c r="E350" s="212"/>
      <c r="F350" s="212"/>
      <c r="G350" s="212"/>
      <c r="J350" s="212"/>
      <c r="K350" s="212"/>
      <c r="L350" s="212"/>
      <c r="M350" s="212"/>
    </row>
    <row r="351" spans="1:13" ht="12.75" customHeight="1">
      <c r="A351" s="212"/>
      <c r="B351" s="212"/>
      <c r="C351" s="212"/>
      <c r="D351" s="212"/>
      <c r="E351" s="212"/>
      <c r="F351" s="212"/>
      <c r="G351" s="212"/>
      <c r="J351" s="212"/>
      <c r="K351" s="212"/>
      <c r="L351" s="212"/>
      <c r="M351" s="212"/>
    </row>
    <row r="352" spans="1:13" ht="12.75" customHeight="1">
      <c r="A352" s="212"/>
      <c r="B352" s="212"/>
      <c r="C352" s="212"/>
      <c r="D352" s="212"/>
      <c r="E352" s="212"/>
      <c r="F352" s="212"/>
      <c r="G352" s="212"/>
      <c r="J352" s="212"/>
      <c r="K352" s="212"/>
      <c r="L352" s="212"/>
      <c r="M352" s="212"/>
    </row>
    <row r="353" spans="1:13" ht="12.75" customHeight="1">
      <c r="A353" s="212"/>
      <c r="B353" s="212"/>
      <c r="C353" s="212"/>
      <c r="D353" s="212"/>
      <c r="E353" s="212"/>
      <c r="F353" s="212"/>
      <c r="G353" s="212"/>
      <c r="J353" s="212"/>
      <c r="K353" s="212"/>
      <c r="L353" s="212"/>
      <c r="M353" s="212"/>
    </row>
    <row r="354" spans="1:13" ht="12.75" customHeight="1">
      <c r="A354" s="212"/>
      <c r="B354" s="212"/>
      <c r="C354" s="212"/>
      <c r="D354" s="212"/>
      <c r="E354" s="212"/>
      <c r="F354" s="212"/>
      <c r="G354" s="212"/>
      <c r="J354" s="212"/>
      <c r="K354" s="212"/>
      <c r="L354" s="212"/>
      <c r="M354" s="212"/>
    </row>
    <row r="355" spans="1:13" ht="12.75" customHeight="1">
      <c r="A355" s="212"/>
      <c r="B355" s="212"/>
      <c r="C355" s="212"/>
      <c r="D355" s="212"/>
      <c r="E355" s="212"/>
      <c r="F355" s="212"/>
      <c r="G355" s="212"/>
      <c r="J355" s="212"/>
      <c r="K355" s="212"/>
      <c r="L355" s="212"/>
      <c r="M355" s="212"/>
    </row>
    <row r="356" spans="1:13" ht="12.75" customHeight="1">
      <c r="A356" s="212"/>
      <c r="B356" s="212"/>
      <c r="C356" s="212"/>
      <c r="D356" s="212"/>
      <c r="E356" s="212"/>
      <c r="F356" s="212"/>
      <c r="G356" s="212"/>
      <c r="J356" s="212"/>
      <c r="K356" s="212"/>
      <c r="L356" s="212"/>
      <c r="M356" s="212"/>
    </row>
    <row r="357" spans="1:13" ht="12.75" customHeight="1">
      <c r="A357" s="212"/>
      <c r="B357" s="212"/>
      <c r="C357" s="212"/>
      <c r="D357" s="212"/>
      <c r="E357" s="212"/>
      <c r="F357" s="212"/>
      <c r="G357" s="212"/>
      <c r="J357" s="212"/>
      <c r="K357" s="212"/>
      <c r="L357" s="212"/>
      <c r="M357" s="212"/>
    </row>
    <row r="358" spans="1:13" ht="12.75" customHeight="1">
      <c r="A358" s="212"/>
      <c r="B358" s="212"/>
      <c r="C358" s="212"/>
      <c r="D358" s="212"/>
      <c r="E358" s="212"/>
      <c r="F358" s="212"/>
      <c r="G358" s="212"/>
      <c r="J358" s="212"/>
      <c r="K358" s="212"/>
      <c r="L358" s="212"/>
      <c r="M358" s="212"/>
    </row>
    <row r="359" spans="1:13" ht="12.75" customHeight="1">
      <c r="A359" s="212"/>
      <c r="B359" s="212"/>
      <c r="C359" s="212"/>
      <c r="D359" s="212"/>
      <c r="E359" s="212"/>
      <c r="F359" s="212"/>
      <c r="G359" s="212"/>
      <c r="J359" s="212"/>
      <c r="K359" s="212"/>
      <c r="L359" s="212"/>
      <c r="M359" s="212"/>
    </row>
    <row r="360" spans="1:13" ht="12.75" customHeight="1">
      <c r="A360" s="212"/>
      <c r="B360" s="212"/>
      <c r="C360" s="212"/>
      <c r="D360" s="212"/>
      <c r="E360" s="212"/>
      <c r="F360" s="212"/>
      <c r="G360" s="212"/>
      <c r="J360" s="212"/>
      <c r="K360" s="212"/>
      <c r="L360" s="212"/>
      <c r="M360" s="212"/>
    </row>
    <row r="361" spans="1:13" ht="12.75" customHeight="1">
      <c r="A361" s="212"/>
      <c r="B361" s="212"/>
      <c r="C361" s="212"/>
      <c r="D361" s="212"/>
      <c r="E361" s="212"/>
      <c r="F361" s="212"/>
      <c r="G361" s="212"/>
      <c r="J361" s="212"/>
      <c r="K361" s="212"/>
      <c r="L361" s="212"/>
      <c r="M361" s="212"/>
    </row>
    <row r="362" spans="1:13" ht="12.75" customHeight="1">
      <c r="A362" s="212"/>
      <c r="B362" s="212"/>
      <c r="C362" s="212"/>
      <c r="D362" s="212"/>
      <c r="E362" s="212"/>
      <c r="F362" s="212"/>
      <c r="G362" s="212"/>
      <c r="J362" s="212"/>
      <c r="K362" s="212"/>
      <c r="L362" s="212"/>
      <c r="M362" s="212"/>
    </row>
    <row r="363" spans="1:13" ht="12.75" customHeight="1">
      <c r="A363" s="212"/>
      <c r="B363" s="212"/>
      <c r="C363" s="212"/>
      <c r="D363" s="212"/>
      <c r="E363" s="212"/>
      <c r="F363" s="212"/>
      <c r="G363" s="212"/>
      <c r="J363" s="212"/>
      <c r="K363" s="212"/>
      <c r="L363" s="212"/>
      <c r="M363" s="212"/>
    </row>
    <row r="364" spans="1:13" ht="12.75" customHeight="1">
      <c r="A364" s="212"/>
      <c r="B364" s="212"/>
      <c r="C364" s="212"/>
      <c r="D364" s="212"/>
      <c r="E364" s="212"/>
      <c r="F364" s="212"/>
      <c r="G364" s="212"/>
      <c r="J364" s="212"/>
      <c r="K364" s="212"/>
      <c r="L364" s="212"/>
      <c r="M364" s="212"/>
    </row>
    <row r="365" spans="1:13" ht="12.75" customHeight="1">
      <c r="A365" s="212"/>
      <c r="B365" s="212"/>
      <c r="C365" s="212"/>
      <c r="D365" s="212"/>
      <c r="E365" s="212"/>
      <c r="F365" s="212"/>
      <c r="G365" s="212"/>
      <c r="J365" s="212"/>
      <c r="K365" s="212"/>
      <c r="L365" s="212"/>
      <c r="M365" s="212"/>
    </row>
    <row r="366" spans="1:13" ht="12.75" customHeight="1">
      <c r="A366" s="212"/>
      <c r="B366" s="212"/>
      <c r="C366" s="212"/>
      <c r="D366" s="212"/>
      <c r="E366" s="212"/>
      <c r="F366" s="212"/>
      <c r="G366" s="212"/>
      <c r="J366" s="212"/>
      <c r="K366" s="212"/>
      <c r="L366" s="212"/>
      <c r="M366" s="212"/>
    </row>
    <row r="367" spans="1:13" ht="12.75" customHeight="1">
      <c r="A367" s="212"/>
      <c r="B367" s="212"/>
      <c r="C367" s="212"/>
      <c r="D367" s="212"/>
      <c r="E367" s="212"/>
      <c r="F367" s="212"/>
      <c r="G367" s="212"/>
      <c r="J367" s="212"/>
      <c r="K367" s="212"/>
      <c r="L367" s="212"/>
      <c r="M367" s="212"/>
    </row>
    <row r="368" spans="1:13" ht="12.75" customHeight="1">
      <c r="A368" s="212"/>
      <c r="B368" s="212"/>
      <c r="C368" s="212"/>
      <c r="D368" s="212"/>
      <c r="E368" s="212"/>
      <c r="F368" s="212"/>
      <c r="G368" s="212"/>
      <c r="J368" s="212"/>
      <c r="K368" s="212"/>
      <c r="L368" s="212"/>
      <c r="M368" s="212"/>
    </row>
    <row r="369" spans="1:13" ht="12.75" customHeight="1">
      <c r="A369" s="212"/>
      <c r="B369" s="212"/>
      <c r="C369" s="212"/>
      <c r="D369" s="212"/>
      <c r="E369" s="212"/>
      <c r="F369" s="212"/>
      <c r="G369" s="212"/>
      <c r="J369" s="212"/>
      <c r="K369" s="212"/>
      <c r="L369" s="212"/>
      <c r="M369" s="212"/>
    </row>
    <row r="370" spans="1:13" ht="12.75" customHeight="1">
      <c r="A370" s="212"/>
      <c r="B370" s="212"/>
      <c r="C370" s="212"/>
      <c r="D370" s="212"/>
      <c r="E370" s="212"/>
      <c r="F370" s="212"/>
      <c r="G370" s="212"/>
      <c r="J370" s="212"/>
      <c r="K370" s="212"/>
      <c r="L370" s="212"/>
      <c r="M370" s="212"/>
    </row>
    <row r="371" spans="1:13" ht="12.75" customHeight="1">
      <c r="A371" s="212"/>
      <c r="B371" s="212"/>
      <c r="C371" s="212"/>
      <c r="D371" s="212"/>
      <c r="E371" s="212"/>
      <c r="F371" s="212"/>
      <c r="G371" s="212"/>
      <c r="J371" s="212"/>
      <c r="K371" s="212"/>
      <c r="L371" s="212"/>
      <c r="M371" s="212"/>
    </row>
    <row r="372" spans="1:13" ht="12.75" customHeight="1">
      <c r="A372" s="212"/>
      <c r="B372" s="212"/>
      <c r="C372" s="212"/>
      <c r="D372" s="212"/>
      <c r="E372" s="212"/>
      <c r="F372" s="212"/>
      <c r="G372" s="212"/>
      <c r="J372" s="212"/>
      <c r="K372" s="212"/>
      <c r="L372" s="212"/>
      <c r="M372" s="212"/>
    </row>
    <row r="373" spans="1:13" ht="12.75" customHeight="1">
      <c r="A373" s="212"/>
      <c r="B373" s="212"/>
      <c r="C373" s="212"/>
      <c r="D373" s="212"/>
      <c r="E373" s="212"/>
      <c r="F373" s="212"/>
      <c r="G373" s="212"/>
      <c r="J373" s="212"/>
      <c r="K373" s="212"/>
      <c r="L373" s="212"/>
      <c r="M373" s="212"/>
    </row>
    <row r="374" spans="1:13" ht="12.75" customHeight="1">
      <c r="A374" s="212"/>
      <c r="B374" s="212"/>
      <c r="C374" s="212"/>
      <c r="D374" s="212"/>
      <c r="E374" s="212"/>
      <c r="F374" s="212"/>
      <c r="G374" s="212"/>
      <c r="J374" s="212"/>
      <c r="K374" s="212"/>
      <c r="L374" s="212"/>
      <c r="M374" s="212"/>
    </row>
    <row r="375" spans="1:13" ht="12.75" customHeight="1">
      <c r="A375" s="212"/>
      <c r="B375" s="212"/>
      <c r="C375" s="212"/>
      <c r="D375" s="212"/>
      <c r="E375" s="212"/>
      <c r="F375" s="212"/>
      <c r="G375" s="212"/>
      <c r="J375" s="212"/>
      <c r="K375" s="212"/>
      <c r="L375" s="212"/>
      <c r="M375" s="212"/>
    </row>
    <row r="376" spans="1:13" ht="12.75" customHeight="1">
      <c r="A376" s="212"/>
      <c r="B376" s="212"/>
      <c r="C376" s="212"/>
      <c r="D376" s="212"/>
      <c r="E376" s="212"/>
      <c r="F376" s="212"/>
      <c r="G376" s="212"/>
      <c r="J376" s="212"/>
      <c r="K376" s="212"/>
      <c r="L376" s="212"/>
      <c r="M376" s="212"/>
    </row>
    <row r="377" spans="1:13" ht="12.75" customHeight="1">
      <c r="A377" s="212"/>
      <c r="B377" s="212"/>
      <c r="C377" s="212"/>
      <c r="D377" s="212"/>
      <c r="E377" s="212"/>
      <c r="F377" s="212"/>
      <c r="G377" s="212"/>
      <c r="J377" s="212"/>
      <c r="K377" s="212"/>
      <c r="L377" s="212"/>
      <c r="M377" s="212"/>
    </row>
    <row r="378" spans="1:13" ht="12.75" customHeight="1">
      <c r="A378" s="212"/>
      <c r="B378" s="212"/>
      <c r="C378" s="212"/>
      <c r="D378" s="212"/>
      <c r="E378" s="212"/>
      <c r="F378" s="212"/>
      <c r="G378" s="212"/>
      <c r="J378" s="212"/>
      <c r="K378" s="212"/>
      <c r="L378" s="212"/>
      <c r="M378" s="212"/>
    </row>
    <row r="379" spans="1:13" ht="12.75" customHeight="1">
      <c r="A379" s="212"/>
      <c r="B379" s="212"/>
      <c r="C379" s="212"/>
      <c r="D379" s="212"/>
      <c r="E379" s="212"/>
      <c r="F379" s="212"/>
      <c r="G379" s="212"/>
      <c r="J379" s="212"/>
      <c r="K379" s="212"/>
      <c r="L379" s="212"/>
      <c r="M379" s="212"/>
    </row>
    <row r="380" spans="1:13" ht="12.75" customHeight="1">
      <c r="A380" s="212"/>
      <c r="B380" s="212"/>
      <c r="C380" s="212"/>
      <c r="D380" s="212"/>
      <c r="E380" s="212"/>
      <c r="F380" s="212"/>
      <c r="G380" s="212"/>
      <c r="J380" s="212"/>
      <c r="K380" s="212"/>
      <c r="L380" s="212"/>
      <c r="M380" s="212"/>
    </row>
    <row r="381" spans="1:13" ht="12.75" customHeight="1">
      <c r="A381" s="212"/>
      <c r="B381" s="212"/>
      <c r="C381" s="212"/>
      <c r="D381" s="212"/>
      <c r="E381" s="212"/>
      <c r="F381" s="212"/>
      <c r="G381" s="212"/>
      <c r="J381" s="212"/>
      <c r="K381" s="212"/>
      <c r="L381" s="212"/>
      <c r="M381" s="212"/>
    </row>
    <row r="382" spans="1:13" ht="12.75" customHeight="1">
      <c r="A382" s="212"/>
      <c r="B382" s="212"/>
      <c r="C382" s="212"/>
      <c r="D382" s="212"/>
      <c r="E382" s="212"/>
      <c r="F382" s="212"/>
      <c r="G382" s="212"/>
      <c r="J382" s="212"/>
      <c r="K382" s="212"/>
      <c r="L382" s="212"/>
      <c r="M382" s="212"/>
    </row>
    <row r="383" spans="1:13" ht="12.75" customHeight="1">
      <c r="A383" s="212"/>
      <c r="B383" s="212"/>
      <c r="C383" s="212"/>
      <c r="D383" s="212"/>
      <c r="E383" s="212"/>
      <c r="F383" s="212"/>
      <c r="G383" s="212"/>
      <c r="J383" s="212"/>
      <c r="K383" s="212"/>
      <c r="L383" s="212"/>
      <c r="M383" s="212"/>
    </row>
    <row r="384" spans="1:13" ht="12.75" customHeight="1">
      <c r="A384" s="212"/>
      <c r="B384" s="212"/>
      <c r="C384" s="212"/>
      <c r="D384" s="212"/>
      <c r="E384" s="212"/>
      <c r="F384" s="212"/>
      <c r="G384" s="212"/>
      <c r="J384" s="212"/>
      <c r="K384" s="212"/>
      <c r="L384" s="212"/>
      <c r="M384" s="212"/>
    </row>
    <row r="385" spans="1:13" ht="12.75" customHeight="1">
      <c r="A385" s="212"/>
      <c r="B385" s="212"/>
      <c r="C385" s="212"/>
      <c r="D385" s="212"/>
      <c r="E385" s="212"/>
      <c r="F385" s="212"/>
      <c r="G385" s="212"/>
      <c r="J385" s="212"/>
      <c r="K385" s="212"/>
      <c r="L385" s="212"/>
      <c r="M385" s="212"/>
    </row>
    <row r="386" spans="1:13" ht="12.75" customHeight="1">
      <c r="A386" s="212"/>
      <c r="B386" s="212"/>
      <c r="C386" s="212"/>
      <c r="D386" s="212"/>
      <c r="E386" s="212"/>
      <c r="F386" s="212"/>
      <c r="G386" s="212"/>
      <c r="J386" s="212"/>
      <c r="K386" s="212"/>
      <c r="L386" s="212"/>
      <c r="M386" s="212"/>
    </row>
    <row r="387" spans="1:13" ht="12.75" customHeight="1">
      <c r="A387" s="212"/>
      <c r="B387" s="212"/>
      <c r="C387" s="212"/>
      <c r="D387" s="212"/>
      <c r="E387" s="212"/>
      <c r="F387" s="212"/>
      <c r="G387" s="212"/>
      <c r="J387" s="212"/>
      <c r="K387" s="212"/>
      <c r="L387" s="212"/>
      <c r="M387" s="212"/>
    </row>
    <row r="388" spans="1:13" ht="12.75" customHeight="1">
      <c r="A388" s="212"/>
      <c r="B388" s="212"/>
      <c r="C388" s="212"/>
      <c r="D388" s="212"/>
      <c r="E388" s="212"/>
      <c r="F388" s="212"/>
      <c r="G388" s="212"/>
      <c r="J388" s="212"/>
      <c r="K388" s="212"/>
      <c r="L388" s="212"/>
      <c r="M388" s="212"/>
    </row>
    <row r="389" spans="1:13" ht="12.75" customHeight="1">
      <c r="A389" s="212"/>
      <c r="B389" s="212"/>
      <c r="C389" s="212"/>
      <c r="D389" s="212"/>
      <c r="E389" s="212"/>
      <c r="F389" s="212"/>
      <c r="G389" s="212"/>
      <c r="J389" s="212"/>
      <c r="K389" s="212"/>
      <c r="L389" s="212"/>
      <c r="M389" s="212"/>
    </row>
    <row r="390" spans="1:13" ht="12.75" customHeight="1">
      <c r="A390" s="212"/>
      <c r="B390" s="212"/>
      <c r="C390" s="212"/>
      <c r="D390" s="212"/>
      <c r="E390" s="212"/>
      <c r="F390" s="212"/>
      <c r="G390" s="212"/>
      <c r="J390" s="212"/>
      <c r="K390" s="212"/>
      <c r="L390" s="212"/>
      <c r="M390" s="212"/>
    </row>
    <row r="391" spans="1:13" ht="12.75" customHeight="1">
      <c r="A391" s="212"/>
      <c r="B391" s="212"/>
      <c r="C391" s="212"/>
      <c r="D391" s="212"/>
      <c r="E391" s="212"/>
      <c r="F391" s="212"/>
      <c r="G391" s="212"/>
      <c r="J391" s="212"/>
      <c r="K391" s="212"/>
      <c r="L391" s="212"/>
      <c r="M391" s="212"/>
    </row>
    <row r="392" spans="1:13" ht="12.75" customHeight="1">
      <c r="A392" s="212"/>
      <c r="B392" s="212"/>
      <c r="C392" s="212"/>
      <c r="D392" s="212"/>
      <c r="E392" s="212"/>
      <c r="F392" s="212"/>
      <c r="G392" s="212"/>
      <c r="J392" s="212"/>
      <c r="K392" s="212"/>
      <c r="L392" s="212"/>
      <c r="M392" s="212"/>
    </row>
    <row r="393" spans="1:13" ht="12.75" customHeight="1">
      <c r="A393" s="212"/>
      <c r="B393" s="212"/>
      <c r="C393" s="212"/>
      <c r="D393" s="212"/>
      <c r="E393" s="212"/>
      <c r="F393" s="212"/>
      <c r="G393" s="212"/>
      <c r="J393" s="212"/>
      <c r="K393" s="212"/>
      <c r="L393" s="212"/>
      <c r="M393" s="212"/>
    </row>
    <row r="394" spans="1:13" ht="12.75" customHeight="1">
      <c r="A394" s="212"/>
      <c r="B394" s="212"/>
      <c r="C394" s="212"/>
      <c r="D394" s="212"/>
      <c r="E394" s="212"/>
      <c r="F394" s="212"/>
      <c r="G394" s="212"/>
      <c r="J394" s="212"/>
      <c r="K394" s="212"/>
      <c r="L394" s="212"/>
      <c r="M394" s="212"/>
    </row>
    <row r="395" spans="1:13" ht="12.75" customHeight="1">
      <c r="A395" s="212"/>
      <c r="B395" s="212"/>
      <c r="C395" s="212"/>
      <c r="D395" s="212"/>
      <c r="E395" s="212"/>
      <c r="F395" s="212"/>
      <c r="G395" s="212"/>
      <c r="J395" s="212"/>
      <c r="K395" s="212"/>
      <c r="L395" s="212"/>
      <c r="M395" s="212"/>
    </row>
    <row r="396" spans="1:13" ht="12.75" customHeight="1">
      <c r="A396" s="212"/>
      <c r="B396" s="212"/>
      <c r="C396" s="212"/>
      <c r="D396" s="212"/>
      <c r="E396" s="212"/>
      <c r="F396" s="212"/>
      <c r="G396" s="212"/>
      <c r="J396" s="212"/>
      <c r="K396" s="212"/>
      <c r="L396" s="212"/>
      <c r="M396" s="212"/>
    </row>
    <row r="397" spans="1:13" ht="12.75" customHeight="1">
      <c r="A397" s="212"/>
      <c r="B397" s="212"/>
      <c r="C397" s="212"/>
      <c r="D397" s="212"/>
      <c r="E397" s="212"/>
      <c r="F397" s="212"/>
      <c r="G397" s="212"/>
      <c r="J397" s="212"/>
      <c r="K397" s="212"/>
      <c r="L397" s="212"/>
      <c r="M397" s="212"/>
    </row>
    <row r="398" spans="1:13" ht="12.75" customHeight="1">
      <c r="A398" s="212"/>
      <c r="B398" s="212"/>
      <c r="C398" s="212"/>
      <c r="D398" s="212"/>
      <c r="E398" s="212"/>
      <c r="F398" s="212"/>
      <c r="G398" s="212"/>
      <c r="J398" s="212"/>
      <c r="K398" s="212"/>
      <c r="L398" s="212"/>
      <c r="M398" s="212"/>
    </row>
    <row r="399" spans="1:13" ht="12.75" customHeight="1">
      <c r="A399" s="212"/>
      <c r="B399" s="212"/>
      <c r="C399" s="212"/>
      <c r="D399" s="212"/>
      <c r="E399" s="212"/>
      <c r="F399" s="212"/>
      <c r="G399" s="212"/>
      <c r="J399" s="212"/>
      <c r="K399" s="212"/>
      <c r="L399" s="212"/>
      <c r="M399" s="212"/>
    </row>
    <row r="400" spans="1:13" ht="12.75" customHeight="1">
      <c r="A400" s="212"/>
      <c r="B400" s="212"/>
      <c r="C400" s="212"/>
      <c r="D400" s="212"/>
      <c r="E400" s="212"/>
      <c r="F400" s="212"/>
      <c r="G400" s="212"/>
      <c r="J400" s="212"/>
      <c r="K400" s="212"/>
      <c r="L400" s="212"/>
      <c r="M400" s="212"/>
    </row>
    <row r="401" spans="1:13" ht="12.75" customHeight="1">
      <c r="A401" s="212"/>
      <c r="B401" s="212"/>
      <c r="C401" s="212"/>
      <c r="D401" s="212"/>
      <c r="E401" s="212"/>
      <c r="F401" s="212"/>
      <c r="G401" s="212"/>
      <c r="J401" s="212"/>
      <c r="K401" s="212"/>
      <c r="L401" s="212"/>
      <c r="M401" s="212"/>
    </row>
    <row r="402" spans="1:13" ht="12.75" customHeight="1">
      <c r="A402" s="212"/>
      <c r="B402" s="212"/>
      <c r="C402" s="212"/>
      <c r="D402" s="212"/>
      <c r="E402" s="212"/>
      <c r="F402" s="212"/>
      <c r="G402" s="212"/>
      <c r="J402" s="212"/>
      <c r="K402" s="212"/>
      <c r="L402" s="212"/>
      <c r="M402" s="212"/>
    </row>
    <row r="403" spans="1:13" ht="12.75" customHeight="1">
      <c r="A403" s="212"/>
      <c r="B403" s="212"/>
      <c r="C403" s="212"/>
      <c r="D403" s="212"/>
      <c r="E403" s="212"/>
      <c r="F403" s="212"/>
      <c r="G403" s="212"/>
      <c r="J403" s="212"/>
      <c r="K403" s="212"/>
      <c r="L403" s="212"/>
      <c r="M403" s="212"/>
    </row>
    <row r="404" spans="1:13" ht="12.75" customHeight="1">
      <c r="A404" s="212"/>
      <c r="B404" s="212"/>
      <c r="C404" s="212"/>
      <c r="D404" s="212"/>
      <c r="E404" s="212"/>
      <c r="F404" s="212"/>
      <c r="G404" s="212"/>
      <c r="J404" s="212"/>
      <c r="K404" s="212"/>
      <c r="L404" s="212"/>
      <c r="M404" s="212"/>
    </row>
    <row r="405" spans="1:13" ht="12.75" customHeight="1">
      <c r="A405" s="212"/>
      <c r="B405" s="212"/>
      <c r="C405" s="212"/>
      <c r="D405" s="212"/>
      <c r="E405" s="212"/>
      <c r="F405" s="212"/>
      <c r="G405" s="212"/>
      <c r="J405" s="212"/>
      <c r="K405" s="212"/>
      <c r="L405" s="212"/>
      <c r="M405" s="212"/>
    </row>
    <row r="406" spans="1:13" ht="12.75" customHeight="1">
      <c r="A406" s="212"/>
      <c r="B406" s="212"/>
      <c r="C406" s="212"/>
      <c r="D406" s="212"/>
      <c r="E406" s="212"/>
      <c r="F406" s="212"/>
      <c r="G406" s="212"/>
      <c r="J406" s="212"/>
      <c r="K406" s="212"/>
      <c r="L406" s="212"/>
      <c r="M406" s="212"/>
    </row>
    <row r="407" spans="1:13" ht="12.75" customHeight="1">
      <c r="A407" s="212"/>
      <c r="B407" s="212"/>
      <c r="C407" s="212"/>
      <c r="D407" s="212"/>
      <c r="E407" s="212"/>
      <c r="F407" s="212"/>
      <c r="G407" s="212"/>
      <c r="J407" s="212"/>
      <c r="K407" s="212"/>
      <c r="L407" s="212"/>
      <c r="M407" s="212"/>
    </row>
    <row r="408" spans="1:13" ht="12.75" customHeight="1">
      <c r="A408" s="212"/>
      <c r="B408" s="212"/>
      <c r="C408" s="212"/>
      <c r="D408" s="212"/>
      <c r="E408" s="212"/>
      <c r="F408" s="212"/>
      <c r="G408" s="212"/>
      <c r="J408" s="212"/>
      <c r="K408" s="212"/>
      <c r="L408" s="212"/>
      <c r="M408" s="212"/>
    </row>
    <row r="409" spans="1:13" ht="12.75" customHeight="1">
      <c r="A409" s="212"/>
      <c r="B409" s="212"/>
      <c r="C409" s="212"/>
      <c r="D409" s="212"/>
      <c r="E409" s="212"/>
      <c r="F409" s="212"/>
      <c r="G409" s="212"/>
      <c r="J409" s="212"/>
      <c r="K409" s="212"/>
      <c r="L409" s="212"/>
      <c r="M409" s="212"/>
    </row>
    <row r="410" spans="1:13" ht="12.75" customHeight="1">
      <c r="A410" s="212"/>
      <c r="B410" s="212"/>
      <c r="C410" s="212"/>
      <c r="D410" s="212"/>
      <c r="E410" s="212"/>
      <c r="F410" s="212"/>
      <c r="G410" s="212"/>
      <c r="J410" s="212"/>
      <c r="K410" s="212"/>
      <c r="L410" s="212"/>
      <c r="M410" s="212"/>
    </row>
    <row r="411" spans="1:13" ht="12.75" customHeight="1">
      <c r="A411" s="212"/>
      <c r="B411" s="212"/>
      <c r="C411" s="212"/>
      <c r="D411" s="212"/>
      <c r="E411" s="212"/>
      <c r="F411" s="212"/>
      <c r="G411" s="212"/>
      <c r="J411" s="212"/>
      <c r="K411" s="212"/>
      <c r="L411" s="212"/>
      <c r="M411" s="212"/>
    </row>
    <row r="412" spans="1:13" ht="12.75" customHeight="1">
      <c r="A412" s="212"/>
      <c r="B412" s="212"/>
      <c r="C412" s="212"/>
      <c r="D412" s="212"/>
      <c r="E412" s="212"/>
      <c r="F412" s="212"/>
      <c r="G412" s="212"/>
      <c r="J412" s="212"/>
      <c r="K412" s="212"/>
      <c r="L412" s="212"/>
      <c r="M412" s="212"/>
    </row>
    <row r="413" spans="1:13" ht="12.75" customHeight="1">
      <c r="A413" s="212"/>
      <c r="B413" s="212"/>
      <c r="C413" s="212"/>
      <c r="D413" s="212"/>
      <c r="E413" s="212"/>
      <c r="F413" s="212"/>
      <c r="G413" s="212"/>
      <c r="J413" s="212"/>
      <c r="K413" s="212"/>
      <c r="L413" s="212"/>
      <c r="M413" s="212"/>
    </row>
    <row r="414" spans="1:13" ht="12.75" customHeight="1">
      <c r="A414" s="212"/>
      <c r="B414" s="212"/>
      <c r="C414" s="212"/>
      <c r="D414" s="212"/>
      <c r="E414" s="212"/>
      <c r="F414" s="212"/>
      <c r="G414" s="212"/>
      <c r="J414" s="212"/>
      <c r="K414" s="212"/>
      <c r="L414" s="212"/>
      <c r="M414" s="212"/>
    </row>
    <row r="415" spans="1:13" ht="12.75" customHeight="1">
      <c r="A415" s="212"/>
      <c r="B415" s="212"/>
      <c r="C415" s="212"/>
      <c r="D415" s="212"/>
      <c r="E415" s="212"/>
      <c r="F415" s="212"/>
      <c r="G415" s="212"/>
      <c r="J415" s="212"/>
      <c r="K415" s="212"/>
      <c r="L415" s="212"/>
      <c r="M415" s="212"/>
    </row>
    <row r="416" spans="1:13" ht="12.75" customHeight="1">
      <c r="A416" s="212"/>
      <c r="B416" s="212"/>
      <c r="C416" s="212"/>
      <c r="D416" s="212"/>
      <c r="E416" s="212"/>
      <c r="F416" s="212"/>
      <c r="G416" s="212"/>
      <c r="J416" s="212"/>
      <c r="K416" s="212"/>
      <c r="L416" s="212"/>
      <c r="M416" s="212"/>
    </row>
    <row r="417" spans="1:13" ht="12.75" customHeight="1">
      <c r="A417" s="212"/>
      <c r="B417" s="212"/>
      <c r="C417" s="212"/>
      <c r="D417" s="212"/>
      <c r="E417" s="212"/>
      <c r="F417" s="212"/>
      <c r="G417" s="212"/>
      <c r="J417" s="212"/>
      <c r="K417" s="212"/>
      <c r="L417" s="212"/>
      <c r="M417" s="212"/>
    </row>
    <row r="418" spans="1:13" ht="12.75" customHeight="1">
      <c r="A418" s="212"/>
      <c r="B418" s="212"/>
      <c r="C418" s="212"/>
      <c r="D418" s="212"/>
      <c r="E418" s="212"/>
      <c r="F418" s="212"/>
      <c r="G418" s="212"/>
      <c r="J418" s="212"/>
      <c r="K418" s="212"/>
      <c r="L418" s="212"/>
      <c r="M418" s="212"/>
    </row>
    <row r="419" spans="1:13" ht="12.75" customHeight="1">
      <c r="A419" s="212"/>
      <c r="B419" s="212"/>
      <c r="C419" s="212"/>
      <c r="D419" s="212"/>
      <c r="E419" s="212"/>
      <c r="F419" s="212"/>
      <c r="G419" s="212"/>
      <c r="J419" s="212"/>
      <c r="K419" s="212"/>
      <c r="L419" s="212"/>
      <c r="M419" s="212"/>
    </row>
    <row r="420" spans="1:13" ht="12.75" customHeight="1">
      <c r="A420" s="212"/>
      <c r="B420" s="212"/>
      <c r="C420" s="212"/>
      <c r="D420" s="212"/>
      <c r="E420" s="212"/>
      <c r="F420" s="212"/>
      <c r="G420" s="212"/>
      <c r="J420" s="212"/>
      <c r="K420" s="212"/>
      <c r="L420" s="212"/>
      <c r="M420" s="212"/>
    </row>
    <row r="421" spans="1:13" ht="12.75" customHeight="1">
      <c r="A421" s="212"/>
      <c r="B421" s="212"/>
      <c r="C421" s="212"/>
      <c r="D421" s="212"/>
      <c r="E421" s="212"/>
      <c r="F421" s="212"/>
      <c r="G421" s="212"/>
      <c r="J421" s="212"/>
      <c r="K421" s="212"/>
      <c r="L421" s="212"/>
      <c r="M421" s="212"/>
    </row>
    <row r="422" spans="1:13" ht="12.75" customHeight="1">
      <c r="A422" s="212"/>
      <c r="B422" s="212"/>
      <c r="C422" s="212"/>
      <c r="D422" s="212"/>
      <c r="E422" s="212"/>
      <c r="F422" s="212"/>
      <c r="G422" s="212"/>
      <c r="J422" s="212"/>
      <c r="K422" s="212"/>
      <c r="L422" s="212"/>
      <c r="M422" s="212"/>
    </row>
    <row r="423" spans="1:13" ht="12.75" customHeight="1">
      <c r="A423" s="212"/>
      <c r="B423" s="212"/>
      <c r="C423" s="212"/>
      <c r="D423" s="212"/>
      <c r="E423" s="212"/>
      <c r="F423" s="212"/>
      <c r="G423" s="212"/>
      <c r="J423" s="212"/>
      <c r="K423" s="212"/>
      <c r="L423" s="212"/>
      <c r="M423" s="212"/>
    </row>
    <row r="424" spans="1:13" ht="12.75" customHeight="1">
      <c r="A424" s="212"/>
      <c r="B424" s="212"/>
      <c r="C424" s="212"/>
      <c r="D424" s="212"/>
      <c r="E424" s="212"/>
      <c r="F424" s="212"/>
      <c r="G424" s="212"/>
      <c r="J424" s="212"/>
      <c r="K424" s="212"/>
      <c r="L424" s="212"/>
      <c r="M424" s="212"/>
    </row>
    <row r="425" spans="1:13" ht="12.75" customHeight="1">
      <c r="A425" s="212"/>
      <c r="B425" s="212"/>
      <c r="C425" s="212"/>
      <c r="D425" s="212"/>
      <c r="E425" s="212"/>
      <c r="F425" s="212"/>
      <c r="G425" s="212"/>
      <c r="J425" s="212"/>
      <c r="K425" s="212"/>
      <c r="L425" s="212"/>
      <c r="M425" s="212"/>
    </row>
    <row r="426" spans="1:13" ht="12.75" customHeight="1">
      <c r="A426" s="212"/>
      <c r="B426" s="212"/>
      <c r="C426" s="212"/>
      <c r="D426" s="212"/>
      <c r="E426" s="212"/>
      <c r="F426" s="212"/>
      <c r="G426" s="212"/>
      <c r="J426" s="212"/>
      <c r="K426" s="212"/>
      <c r="L426" s="212"/>
      <c r="M426" s="212"/>
    </row>
    <row r="427" spans="1:13" ht="12.75" customHeight="1">
      <c r="A427" s="212"/>
      <c r="B427" s="212"/>
      <c r="C427" s="212"/>
      <c r="D427" s="212"/>
      <c r="E427" s="212"/>
      <c r="F427" s="212"/>
      <c r="G427" s="212"/>
      <c r="J427" s="212"/>
      <c r="K427" s="212"/>
      <c r="L427" s="212"/>
      <c r="M427" s="212"/>
    </row>
    <row r="428" spans="1:13" ht="12.75" customHeight="1">
      <c r="A428" s="212"/>
      <c r="B428" s="212"/>
      <c r="C428" s="212"/>
      <c r="D428" s="212"/>
      <c r="E428" s="212"/>
      <c r="F428" s="212"/>
      <c r="G428" s="212"/>
      <c r="J428" s="212"/>
      <c r="K428" s="212"/>
      <c r="L428" s="212"/>
      <c r="M428" s="212"/>
    </row>
    <row r="429" spans="1:13" ht="12.75" customHeight="1">
      <c r="A429" s="212"/>
      <c r="B429" s="212"/>
      <c r="C429" s="212"/>
      <c r="D429" s="212"/>
      <c r="E429" s="212"/>
      <c r="F429" s="212"/>
      <c r="G429" s="212"/>
      <c r="J429" s="212"/>
      <c r="K429" s="212"/>
      <c r="L429" s="212"/>
      <c r="M429" s="212"/>
    </row>
    <row r="430" spans="1:13" ht="12.75" customHeight="1">
      <c r="A430" s="212"/>
      <c r="B430" s="212"/>
      <c r="C430" s="212"/>
      <c r="D430" s="212"/>
      <c r="E430" s="212"/>
      <c r="F430" s="212"/>
      <c r="G430" s="212"/>
      <c r="J430" s="212"/>
      <c r="K430" s="212"/>
      <c r="L430" s="212"/>
      <c r="M430" s="212"/>
    </row>
    <row r="431" spans="1:13" ht="12.75" customHeight="1">
      <c r="A431" s="212"/>
      <c r="B431" s="212"/>
      <c r="C431" s="212"/>
      <c r="D431" s="212"/>
      <c r="E431" s="212"/>
      <c r="F431" s="212"/>
      <c r="G431" s="212"/>
      <c r="J431" s="212"/>
      <c r="K431" s="212"/>
      <c r="L431" s="212"/>
      <c r="M431" s="212"/>
    </row>
    <row r="432" spans="1:13" ht="12.75" customHeight="1">
      <c r="A432" s="212"/>
      <c r="B432" s="212"/>
      <c r="C432" s="212"/>
      <c r="D432" s="212"/>
      <c r="E432" s="212"/>
      <c r="F432" s="212"/>
      <c r="G432" s="212"/>
      <c r="J432" s="212"/>
      <c r="K432" s="212"/>
      <c r="L432" s="212"/>
      <c r="M432" s="212"/>
    </row>
    <row r="433" spans="1:13" ht="12.75" customHeight="1">
      <c r="A433" s="212"/>
      <c r="B433" s="212"/>
      <c r="C433" s="212"/>
      <c r="D433" s="212"/>
      <c r="E433" s="212"/>
      <c r="F433" s="212"/>
      <c r="G433" s="212"/>
      <c r="J433" s="212"/>
      <c r="K433" s="212"/>
      <c r="L433" s="212"/>
      <c r="M433" s="212"/>
    </row>
    <row r="434" spans="1:13" ht="12.75" customHeight="1">
      <c r="A434" s="212"/>
      <c r="B434" s="212"/>
      <c r="C434" s="212"/>
      <c r="D434" s="212"/>
      <c r="E434" s="212"/>
      <c r="F434" s="212"/>
      <c r="G434" s="212"/>
      <c r="J434" s="212"/>
      <c r="K434" s="212"/>
      <c r="L434" s="212"/>
      <c r="M434" s="212"/>
    </row>
    <row r="435" spans="1:13" ht="12.75" customHeight="1">
      <c r="A435" s="212"/>
      <c r="B435" s="212"/>
      <c r="C435" s="212"/>
      <c r="D435" s="212"/>
      <c r="E435" s="212"/>
      <c r="F435" s="212"/>
      <c r="G435" s="212"/>
      <c r="J435" s="212"/>
      <c r="K435" s="212"/>
      <c r="L435" s="212"/>
      <c r="M435" s="212"/>
    </row>
    <row r="436" spans="1:13" ht="12.75" customHeight="1">
      <c r="A436" s="212"/>
      <c r="B436" s="212"/>
      <c r="C436" s="212"/>
      <c r="D436" s="212"/>
      <c r="E436" s="212"/>
      <c r="F436" s="212"/>
      <c r="G436" s="212"/>
      <c r="J436" s="212"/>
      <c r="K436" s="212"/>
      <c r="L436" s="212"/>
      <c r="M436" s="212"/>
    </row>
    <row r="437" spans="1:13" ht="12.75" customHeight="1">
      <c r="A437" s="212"/>
      <c r="B437" s="212"/>
      <c r="C437" s="212"/>
      <c r="D437" s="212"/>
      <c r="E437" s="212"/>
      <c r="F437" s="212"/>
      <c r="G437" s="212"/>
      <c r="J437" s="212"/>
      <c r="K437" s="212"/>
      <c r="L437" s="212"/>
      <c r="M437" s="212"/>
    </row>
    <row r="438" spans="1:13" ht="12.75" customHeight="1">
      <c r="A438" s="212"/>
      <c r="B438" s="212"/>
      <c r="C438" s="212"/>
      <c r="D438" s="212"/>
      <c r="E438" s="212"/>
      <c r="F438" s="212"/>
      <c r="G438" s="212"/>
      <c r="J438" s="212"/>
      <c r="K438" s="212"/>
      <c r="L438" s="212"/>
      <c r="M438" s="212"/>
    </row>
    <row r="439" spans="1:13" ht="12.75" customHeight="1">
      <c r="A439" s="212"/>
      <c r="B439" s="212"/>
      <c r="C439" s="212"/>
      <c r="D439" s="212"/>
      <c r="E439" s="212"/>
      <c r="F439" s="212"/>
      <c r="G439" s="212"/>
      <c r="J439" s="212"/>
      <c r="K439" s="212"/>
      <c r="L439" s="212"/>
      <c r="M439" s="212"/>
    </row>
    <row r="440" spans="1:13" ht="12.75" customHeight="1">
      <c r="A440" s="212"/>
      <c r="B440" s="212"/>
      <c r="C440" s="212"/>
      <c r="D440" s="212"/>
      <c r="E440" s="212"/>
      <c r="F440" s="212"/>
      <c r="G440" s="212"/>
      <c r="J440" s="212"/>
      <c r="K440" s="212"/>
      <c r="L440" s="212"/>
      <c r="M440" s="212"/>
    </row>
    <row r="441" spans="1:13" ht="12.75" customHeight="1">
      <c r="A441" s="212"/>
      <c r="B441" s="212"/>
      <c r="C441" s="212"/>
      <c r="D441" s="212"/>
      <c r="E441" s="212"/>
      <c r="F441" s="212"/>
      <c r="G441" s="212"/>
      <c r="J441" s="212"/>
      <c r="K441" s="212"/>
      <c r="L441" s="212"/>
      <c r="M441" s="212"/>
    </row>
    <row r="442" spans="1:13" ht="12.75" customHeight="1">
      <c r="A442" s="212"/>
      <c r="B442" s="212"/>
      <c r="C442" s="212"/>
      <c r="D442" s="212"/>
      <c r="E442" s="212"/>
      <c r="F442" s="212"/>
      <c r="G442" s="212"/>
      <c r="J442" s="212"/>
      <c r="K442" s="212"/>
      <c r="L442" s="212"/>
      <c r="M442" s="212"/>
    </row>
    <row r="443" spans="1:13" ht="12.75" customHeight="1">
      <c r="A443" s="212"/>
      <c r="B443" s="212"/>
      <c r="C443" s="212"/>
      <c r="D443" s="212"/>
      <c r="E443" s="212"/>
      <c r="F443" s="212"/>
      <c r="G443" s="212"/>
      <c r="J443" s="212"/>
      <c r="K443" s="212"/>
      <c r="L443" s="212"/>
      <c r="M443" s="212"/>
    </row>
    <row r="444" spans="1:13" ht="12.75" customHeight="1">
      <c r="A444" s="212"/>
      <c r="B444" s="212"/>
      <c r="C444" s="212"/>
      <c r="D444" s="212"/>
      <c r="E444" s="212"/>
      <c r="F444" s="212"/>
      <c r="G444" s="212"/>
      <c r="J444" s="212"/>
      <c r="K444" s="212"/>
      <c r="L444" s="212"/>
      <c r="M444" s="212"/>
    </row>
    <row r="445" spans="1:13" ht="12.75" customHeight="1">
      <c r="A445" s="212"/>
      <c r="B445" s="212"/>
      <c r="C445" s="212"/>
      <c r="D445" s="212"/>
      <c r="E445" s="212"/>
      <c r="F445" s="212"/>
      <c r="G445" s="212"/>
      <c r="J445" s="212"/>
      <c r="K445" s="212"/>
      <c r="L445" s="212"/>
      <c r="M445" s="212"/>
    </row>
    <row r="446" spans="1:13" ht="12.75" customHeight="1">
      <c r="A446" s="212"/>
      <c r="B446" s="212"/>
      <c r="C446" s="212"/>
      <c r="D446" s="212"/>
      <c r="E446" s="212"/>
      <c r="F446" s="212"/>
      <c r="G446" s="212"/>
      <c r="J446" s="212"/>
      <c r="K446" s="212"/>
      <c r="L446" s="212"/>
      <c r="M446" s="212"/>
    </row>
    <row r="447" spans="1:13" ht="12.75" customHeight="1">
      <c r="A447" s="212"/>
      <c r="B447" s="212"/>
      <c r="C447" s="212"/>
      <c r="D447" s="212"/>
      <c r="E447" s="212"/>
      <c r="F447" s="212"/>
      <c r="G447" s="212"/>
      <c r="J447" s="212"/>
      <c r="K447" s="212"/>
      <c r="L447" s="212"/>
      <c r="M447" s="212"/>
    </row>
    <row r="448" spans="1:13" ht="12.75" customHeight="1">
      <c r="A448" s="212"/>
      <c r="B448" s="212"/>
      <c r="C448" s="212"/>
      <c r="D448" s="212"/>
      <c r="E448" s="212"/>
      <c r="F448" s="212"/>
      <c r="G448" s="212"/>
      <c r="J448" s="212"/>
      <c r="K448" s="212"/>
      <c r="L448" s="212"/>
      <c r="M448" s="212"/>
    </row>
    <row r="449" spans="1:13" ht="12.75" customHeight="1">
      <c r="A449" s="212"/>
      <c r="B449" s="212"/>
      <c r="C449" s="212"/>
      <c r="D449" s="212"/>
      <c r="E449" s="212"/>
      <c r="F449" s="212"/>
      <c r="G449" s="212"/>
      <c r="J449" s="212"/>
      <c r="K449" s="212"/>
      <c r="L449" s="212"/>
      <c r="M449" s="212"/>
    </row>
    <row r="450" spans="1:13" ht="12.75" customHeight="1">
      <c r="A450" s="212"/>
      <c r="B450" s="212"/>
      <c r="C450" s="212"/>
      <c r="D450" s="212"/>
      <c r="E450" s="212"/>
      <c r="F450" s="212"/>
      <c r="G450" s="212"/>
      <c r="J450" s="212"/>
      <c r="K450" s="212"/>
      <c r="L450" s="212"/>
      <c r="M450" s="212"/>
    </row>
    <row r="451" spans="1:13" ht="12.75" customHeight="1">
      <c r="A451" s="212"/>
      <c r="B451" s="212"/>
      <c r="C451" s="212"/>
      <c r="D451" s="212"/>
      <c r="E451" s="212"/>
      <c r="F451" s="212"/>
      <c r="G451" s="212"/>
      <c r="J451" s="212"/>
      <c r="K451" s="212"/>
      <c r="L451" s="212"/>
      <c r="M451" s="212"/>
    </row>
    <row r="452" spans="1:13" ht="12.75" customHeight="1">
      <c r="A452" s="212"/>
      <c r="B452" s="212"/>
      <c r="C452" s="212"/>
      <c r="D452" s="212"/>
      <c r="E452" s="212"/>
      <c r="F452" s="212"/>
      <c r="G452" s="212"/>
      <c r="J452" s="212"/>
      <c r="K452" s="212"/>
      <c r="L452" s="212"/>
      <c r="M452" s="212"/>
    </row>
    <row r="453" spans="1:13" ht="12.75" customHeight="1">
      <c r="A453" s="212"/>
      <c r="B453" s="212"/>
      <c r="C453" s="212"/>
      <c r="D453" s="212"/>
      <c r="E453" s="212"/>
      <c r="F453" s="212"/>
      <c r="G453" s="212"/>
      <c r="J453" s="212"/>
      <c r="K453" s="212"/>
      <c r="L453" s="212"/>
      <c r="M453" s="212"/>
    </row>
    <row r="454" spans="1:13" ht="12.75" customHeight="1">
      <c r="A454" s="212"/>
      <c r="B454" s="212"/>
      <c r="C454" s="212"/>
      <c r="D454" s="212"/>
      <c r="E454" s="212"/>
      <c r="F454" s="212"/>
      <c r="G454" s="212"/>
      <c r="J454" s="212"/>
      <c r="K454" s="212"/>
      <c r="L454" s="212"/>
      <c r="M454" s="212"/>
    </row>
    <row r="455" spans="1:13" ht="12.75" customHeight="1">
      <c r="A455" s="212"/>
      <c r="B455" s="212"/>
      <c r="C455" s="212"/>
      <c r="D455" s="212"/>
      <c r="E455" s="212"/>
      <c r="F455" s="212"/>
      <c r="G455" s="212"/>
      <c r="J455" s="212"/>
      <c r="K455" s="212"/>
      <c r="L455" s="212"/>
      <c r="M455" s="212"/>
    </row>
    <row r="456" spans="1:13" ht="12.75" customHeight="1">
      <c r="A456" s="212"/>
      <c r="B456" s="212"/>
      <c r="C456" s="212"/>
      <c r="D456" s="212"/>
      <c r="E456" s="212"/>
      <c r="F456" s="212"/>
      <c r="G456" s="212"/>
      <c r="J456" s="212"/>
      <c r="K456" s="212"/>
      <c r="L456" s="212"/>
      <c r="M456" s="212"/>
    </row>
    <row r="457" spans="1:13" ht="12.75" customHeight="1">
      <c r="A457" s="212"/>
      <c r="B457" s="212"/>
      <c r="C457" s="212"/>
      <c r="D457" s="212"/>
      <c r="E457" s="212"/>
      <c r="F457" s="212"/>
      <c r="G457" s="212"/>
      <c r="J457" s="212"/>
      <c r="K457" s="212"/>
      <c r="L457" s="212"/>
      <c r="M457" s="212"/>
    </row>
    <row r="458" spans="1:13" ht="12.75" customHeight="1">
      <c r="A458" s="212"/>
      <c r="B458" s="212"/>
      <c r="C458" s="212"/>
      <c r="D458" s="212"/>
      <c r="E458" s="212"/>
      <c r="F458" s="212"/>
      <c r="G458" s="212"/>
      <c r="J458" s="212"/>
      <c r="K458" s="212"/>
      <c r="L458" s="212"/>
      <c r="M458" s="212"/>
    </row>
    <row r="459" spans="1:13" ht="12.75" customHeight="1">
      <c r="A459" s="212"/>
      <c r="B459" s="212"/>
      <c r="C459" s="212"/>
      <c r="D459" s="212"/>
      <c r="E459" s="212"/>
      <c r="F459" s="212"/>
      <c r="G459" s="212"/>
      <c r="J459" s="212"/>
      <c r="K459" s="212"/>
      <c r="L459" s="212"/>
      <c r="M459" s="212"/>
    </row>
    <row r="460" spans="1:13" ht="12.75" customHeight="1">
      <c r="A460" s="212"/>
      <c r="B460" s="212"/>
      <c r="C460" s="212"/>
      <c r="D460" s="212"/>
      <c r="E460" s="212"/>
      <c r="F460" s="212"/>
      <c r="G460" s="212"/>
      <c r="J460" s="212"/>
      <c r="K460" s="212"/>
      <c r="L460" s="212"/>
      <c r="M460" s="212"/>
    </row>
    <row r="461" spans="1:13" ht="12.75" customHeight="1">
      <c r="A461" s="212"/>
      <c r="B461" s="212"/>
      <c r="C461" s="212"/>
      <c r="D461" s="212"/>
      <c r="E461" s="212"/>
      <c r="F461" s="212"/>
      <c r="G461" s="212"/>
      <c r="J461" s="212"/>
      <c r="K461" s="212"/>
      <c r="L461" s="212"/>
      <c r="M461" s="212"/>
    </row>
    <row r="462" spans="1:13" ht="12.75" customHeight="1">
      <c r="A462" s="212"/>
      <c r="B462" s="212"/>
      <c r="C462" s="212"/>
      <c r="D462" s="212"/>
      <c r="E462" s="212"/>
      <c r="F462" s="212"/>
      <c r="G462" s="212"/>
      <c r="J462" s="212"/>
      <c r="K462" s="212"/>
      <c r="L462" s="212"/>
      <c r="M462" s="212"/>
    </row>
    <row r="463" spans="1:13" ht="12.75" customHeight="1">
      <c r="A463" s="212"/>
      <c r="B463" s="212"/>
      <c r="C463" s="212"/>
      <c r="D463" s="212"/>
      <c r="E463" s="212"/>
      <c r="F463" s="212"/>
      <c r="G463" s="212"/>
      <c r="J463" s="212"/>
      <c r="K463" s="212"/>
      <c r="L463" s="212"/>
      <c r="M463" s="212"/>
    </row>
    <row r="464" spans="1:13" ht="12.75" customHeight="1">
      <c r="A464" s="212"/>
      <c r="B464" s="212"/>
      <c r="C464" s="212"/>
      <c r="D464" s="212"/>
      <c r="E464" s="212"/>
      <c r="F464" s="212"/>
      <c r="G464" s="212"/>
      <c r="J464" s="212"/>
      <c r="K464" s="212"/>
      <c r="L464" s="212"/>
      <c r="M464" s="212"/>
    </row>
    <row r="465" spans="1:13" ht="12.75" customHeight="1">
      <c r="A465" s="212"/>
      <c r="B465" s="212"/>
      <c r="C465" s="212"/>
      <c r="D465" s="212"/>
      <c r="E465" s="212"/>
      <c r="F465" s="212"/>
      <c r="G465" s="212"/>
      <c r="J465" s="212"/>
      <c r="K465" s="212"/>
      <c r="L465" s="212"/>
      <c r="M465" s="212"/>
    </row>
    <row r="466" spans="1:13" ht="12.75" customHeight="1">
      <c r="A466" s="212"/>
      <c r="B466" s="212"/>
      <c r="C466" s="212"/>
      <c r="D466" s="212"/>
      <c r="E466" s="212"/>
      <c r="F466" s="212"/>
      <c r="G466" s="212"/>
      <c r="J466" s="212"/>
      <c r="K466" s="212"/>
      <c r="L466" s="212"/>
      <c r="M466" s="212"/>
    </row>
    <row r="467" spans="1:13" ht="12.75" customHeight="1">
      <c r="A467" s="212"/>
      <c r="B467" s="212"/>
      <c r="C467" s="212"/>
      <c r="D467" s="212"/>
      <c r="E467" s="212"/>
      <c r="F467" s="212"/>
      <c r="G467" s="212"/>
      <c r="J467" s="212"/>
      <c r="K467" s="212"/>
      <c r="L467" s="212"/>
      <c r="M467" s="212"/>
    </row>
    <row r="468" spans="1:13" ht="12.75" customHeight="1">
      <c r="A468" s="212"/>
      <c r="B468" s="212"/>
      <c r="C468" s="212"/>
      <c r="D468" s="212"/>
      <c r="E468" s="212"/>
      <c r="F468" s="212"/>
      <c r="G468" s="212"/>
      <c r="J468" s="212"/>
      <c r="K468" s="212"/>
      <c r="L468" s="212"/>
      <c r="M468" s="212"/>
    </row>
    <row r="469" spans="1:13" ht="12.75" customHeight="1">
      <c r="A469" s="212"/>
      <c r="B469" s="212"/>
      <c r="C469" s="212"/>
      <c r="D469" s="212"/>
      <c r="E469" s="212"/>
      <c r="F469" s="212"/>
      <c r="G469" s="212"/>
      <c r="J469" s="212"/>
      <c r="K469" s="212"/>
      <c r="L469" s="212"/>
      <c r="M469" s="212"/>
    </row>
    <row r="470" spans="1:13" ht="12.75" customHeight="1">
      <c r="A470" s="212"/>
      <c r="B470" s="212"/>
      <c r="C470" s="212"/>
      <c r="D470" s="212"/>
      <c r="E470" s="212"/>
      <c r="F470" s="212"/>
      <c r="G470" s="212"/>
      <c r="J470" s="212"/>
      <c r="K470" s="212"/>
      <c r="L470" s="212"/>
      <c r="M470" s="212"/>
    </row>
    <row r="471" spans="1:13" ht="12.75" customHeight="1">
      <c r="A471" s="212"/>
      <c r="B471" s="212"/>
      <c r="C471" s="212"/>
      <c r="D471" s="212"/>
      <c r="E471" s="212"/>
      <c r="F471" s="212"/>
      <c r="G471" s="212"/>
      <c r="J471" s="212"/>
      <c r="K471" s="212"/>
      <c r="L471" s="212"/>
      <c r="M471" s="212"/>
    </row>
    <row r="472" spans="1:13" ht="12.75" customHeight="1">
      <c r="A472" s="212"/>
      <c r="B472" s="212"/>
      <c r="C472" s="212"/>
      <c r="D472" s="212"/>
      <c r="E472" s="212"/>
      <c r="F472" s="212"/>
      <c r="G472" s="212"/>
      <c r="J472" s="212"/>
      <c r="K472" s="212"/>
      <c r="L472" s="212"/>
      <c r="M472" s="212"/>
    </row>
    <row r="473" spans="1:13" ht="12.75" customHeight="1">
      <c r="A473" s="212"/>
      <c r="B473" s="212"/>
      <c r="C473" s="212"/>
      <c r="D473" s="212"/>
      <c r="E473" s="212"/>
      <c r="F473" s="212"/>
      <c r="G473" s="212"/>
      <c r="J473" s="212"/>
      <c r="K473" s="212"/>
      <c r="L473" s="212"/>
      <c r="M473" s="212"/>
    </row>
    <row r="474" spans="1:13" ht="12.75" customHeight="1">
      <c r="A474" s="212"/>
      <c r="B474" s="212"/>
      <c r="C474" s="212"/>
      <c r="D474" s="212"/>
      <c r="E474" s="212"/>
      <c r="F474" s="212"/>
      <c r="G474" s="212"/>
      <c r="J474" s="212"/>
      <c r="K474" s="212"/>
      <c r="L474" s="212"/>
      <c r="M474" s="212"/>
    </row>
    <row r="475" spans="1:13" ht="12.75" customHeight="1">
      <c r="A475" s="212"/>
      <c r="B475" s="212"/>
      <c r="C475" s="212"/>
      <c r="D475" s="212"/>
      <c r="E475" s="212"/>
      <c r="F475" s="212"/>
      <c r="G475" s="212"/>
      <c r="J475" s="212"/>
      <c r="K475" s="212"/>
      <c r="L475" s="212"/>
      <c r="M475" s="212"/>
    </row>
    <row r="476" spans="1:13" ht="12.75" customHeight="1">
      <c r="A476" s="212"/>
      <c r="B476" s="212"/>
      <c r="C476" s="212"/>
      <c r="D476" s="212"/>
      <c r="E476" s="212"/>
      <c r="F476" s="212"/>
      <c r="G476" s="212"/>
      <c r="J476" s="212"/>
      <c r="K476" s="212"/>
      <c r="L476" s="212"/>
      <c r="M476" s="212"/>
    </row>
    <row r="477" spans="1:13" ht="12.75" customHeight="1">
      <c r="A477" s="212"/>
      <c r="B477" s="212"/>
      <c r="C477" s="212"/>
      <c r="D477" s="212"/>
      <c r="E477" s="212"/>
      <c r="F477" s="212"/>
      <c r="G477" s="212"/>
      <c r="J477" s="212"/>
      <c r="K477" s="212"/>
      <c r="L477" s="212"/>
      <c r="M477" s="212"/>
    </row>
    <row r="478" spans="1:13" ht="12.75" customHeight="1">
      <c r="A478" s="212"/>
      <c r="B478" s="212"/>
      <c r="C478" s="212"/>
      <c r="D478" s="212"/>
      <c r="E478" s="212"/>
      <c r="F478" s="212"/>
      <c r="G478" s="212"/>
      <c r="J478" s="212"/>
      <c r="K478" s="212"/>
      <c r="L478" s="212"/>
      <c r="M478" s="212"/>
    </row>
    <row r="479" spans="1:13" ht="12.75" customHeight="1">
      <c r="A479" s="212"/>
      <c r="B479" s="212"/>
      <c r="C479" s="212"/>
      <c r="D479" s="212"/>
      <c r="E479" s="212"/>
      <c r="F479" s="212"/>
      <c r="G479" s="212"/>
      <c r="J479" s="212"/>
      <c r="K479" s="212"/>
      <c r="L479" s="212"/>
      <c r="M479" s="212"/>
    </row>
    <row r="480" spans="1:13" ht="12.75" customHeight="1">
      <c r="A480" s="212"/>
      <c r="B480" s="212"/>
      <c r="C480" s="212"/>
      <c r="D480" s="212"/>
      <c r="E480" s="212"/>
      <c r="F480" s="212"/>
      <c r="G480" s="212"/>
      <c r="J480" s="212"/>
      <c r="K480" s="212"/>
      <c r="L480" s="212"/>
      <c r="M480" s="212"/>
    </row>
    <row r="481" spans="1:13" ht="12.75" customHeight="1">
      <c r="A481" s="212"/>
      <c r="B481" s="212"/>
      <c r="C481" s="212"/>
      <c r="D481" s="212"/>
      <c r="E481" s="212"/>
      <c r="F481" s="212"/>
      <c r="G481" s="212"/>
      <c r="J481" s="212"/>
      <c r="K481" s="212"/>
      <c r="L481" s="212"/>
      <c r="M481" s="212"/>
    </row>
    <row r="482" spans="1:13" ht="12.75" customHeight="1">
      <c r="A482" s="212"/>
      <c r="B482" s="212"/>
      <c r="C482" s="212"/>
      <c r="D482" s="212"/>
      <c r="E482" s="212"/>
      <c r="F482" s="212"/>
      <c r="G482" s="212"/>
      <c r="J482" s="212"/>
      <c r="K482" s="212"/>
      <c r="L482" s="212"/>
      <c r="M482" s="212"/>
    </row>
    <row r="483" spans="1:13" ht="12.75" customHeight="1">
      <c r="A483" s="212"/>
      <c r="B483" s="212"/>
      <c r="C483" s="212"/>
      <c r="D483" s="212"/>
      <c r="E483" s="212"/>
      <c r="F483" s="212"/>
      <c r="G483" s="212"/>
      <c r="J483" s="212"/>
      <c r="K483" s="212"/>
      <c r="L483" s="212"/>
      <c r="M483" s="212"/>
    </row>
    <row r="484" spans="1:13" ht="12.75" customHeight="1">
      <c r="A484" s="212"/>
      <c r="B484" s="212"/>
      <c r="C484" s="212"/>
      <c r="D484" s="212"/>
      <c r="E484" s="212"/>
      <c r="F484" s="212"/>
      <c r="G484" s="212"/>
      <c r="J484" s="212"/>
      <c r="K484" s="212"/>
      <c r="L484" s="212"/>
      <c r="M484" s="212"/>
    </row>
    <row r="485" spans="1:13" ht="12.75" customHeight="1">
      <c r="A485" s="212"/>
      <c r="B485" s="212"/>
      <c r="C485" s="212"/>
      <c r="D485" s="212"/>
      <c r="E485" s="212"/>
      <c r="F485" s="212"/>
      <c r="G485" s="212"/>
      <c r="J485" s="212"/>
      <c r="K485" s="212"/>
      <c r="L485" s="212"/>
      <c r="M485" s="212"/>
    </row>
    <row r="486" spans="1:13" ht="12.75" customHeight="1">
      <c r="A486" s="212"/>
      <c r="B486" s="212"/>
      <c r="C486" s="212"/>
      <c r="D486" s="212"/>
      <c r="E486" s="212"/>
      <c r="F486" s="212"/>
      <c r="G486" s="212"/>
      <c r="J486" s="212"/>
      <c r="K486" s="212"/>
      <c r="L486" s="212"/>
      <c r="M486" s="212"/>
    </row>
    <row r="487" spans="1:13" ht="12.75" customHeight="1">
      <c r="A487" s="212"/>
      <c r="B487" s="212"/>
      <c r="C487" s="212"/>
      <c r="D487" s="212"/>
      <c r="E487" s="212"/>
      <c r="F487" s="212"/>
      <c r="G487" s="212"/>
      <c r="J487" s="212"/>
      <c r="K487" s="212"/>
      <c r="L487" s="212"/>
      <c r="M487" s="212"/>
    </row>
    <row r="488" spans="1:13" ht="12.75" customHeight="1">
      <c r="A488" s="212"/>
      <c r="B488" s="212"/>
      <c r="C488" s="212"/>
      <c r="D488" s="212"/>
      <c r="E488" s="212"/>
      <c r="F488" s="212"/>
      <c r="G488" s="212"/>
      <c r="J488" s="212"/>
      <c r="K488" s="212"/>
      <c r="L488" s="212"/>
      <c r="M488" s="212"/>
    </row>
    <row r="489" spans="1:13" ht="12.75" customHeight="1">
      <c r="A489" s="212"/>
      <c r="B489" s="212"/>
      <c r="C489" s="212"/>
      <c r="D489" s="212"/>
      <c r="E489" s="212"/>
      <c r="F489" s="212"/>
      <c r="G489" s="212"/>
      <c r="J489" s="212"/>
      <c r="K489" s="212"/>
      <c r="L489" s="212"/>
      <c r="M489" s="212"/>
    </row>
    <row r="490" spans="1:13" ht="12.75" customHeight="1">
      <c r="A490" s="212"/>
      <c r="B490" s="212"/>
      <c r="C490" s="212"/>
      <c r="D490" s="212"/>
      <c r="E490" s="212"/>
      <c r="F490" s="212"/>
      <c r="G490" s="212"/>
      <c r="J490" s="212"/>
      <c r="K490" s="212"/>
      <c r="L490" s="212"/>
      <c r="M490" s="212"/>
    </row>
    <row r="491" spans="1:13" ht="12.75" customHeight="1">
      <c r="A491" s="212"/>
      <c r="B491" s="212"/>
      <c r="C491" s="212"/>
      <c r="D491" s="212"/>
      <c r="E491" s="212"/>
      <c r="F491" s="212"/>
      <c r="G491" s="212"/>
      <c r="J491" s="212"/>
      <c r="K491" s="212"/>
      <c r="L491" s="212"/>
      <c r="M491" s="212"/>
    </row>
    <row r="492" spans="1:13" ht="12.75" customHeight="1">
      <c r="A492" s="212"/>
      <c r="B492" s="212"/>
      <c r="C492" s="212"/>
      <c r="D492" s="212"/>
      <c r="E492" s="212"/>
      <c r="F492" s="212"/>
      <c r="G492" s="212"/>
      <c r="J492" s="212"/>
      <c r="K492" s="212"/>
      <c r="L492" s="212"/>
      <c r="M492" s="212"/>
    </row>
    <row r="493" spans="1:13" ht="12.75" customHeight="1">
      <c r="A493" s="212"/>
      <c r="B493" s="212"/>
      <c r="C493" s="212"/>
      <c r="D493" s="212"/>
      <c r="E493" s="212"/>
      <c r="F493" s="212"/>
      <c r="G493" s="212"/>
      <c r="J493" s="212"/>
      <c r="K493" s="212"/>
      <c r="L493" s="212"/>
      <c r="M493" s="212"/>
    </row>
    <row r="494" spans="1:13" ht="12.75" customHeight="1">
      <c r="A494" s="212"/>
      <c r="B494" s="212"/>
      <c r="C494" s="212"/>
      <c r="D494" s="212"/>
      <c r="E494" s="212"/>
      <c r="F494" s="212"/>
      <c r="G494" s="212"/>
      <c r="J494" s="212"/>
      <c r="K494" s="212"/>
      <c r="L494" s="212"/>
      <c r="M494" s="212"/>
    </row>
    <row r="495" spans="1:13" ht="12.75" customHeight="1">
      <c r="A495" s="212"/>
      <c r="B495" s="212"/>
      <c r="C495" s="212"/>
      <c r="D495" s="212"/>
      <c r="E495" s="212"/>
      <c r="F495" s="212"/>
      <c r="G495" s="212"/>
      <c r="J495" s="212"/>
      <c r="K495" s="212"/>
      <c r="L495" s="212"/>
      <c r="M495" s="212"/>
    </row>
    <row r="496" spans="1:13" ht="12.75" customHeight="1">
      <c r="A496" s="212"/>
      <c r="B496" s="212"/>
      <c r="C496" s="212"/>
      <c r="D496" s="212"/>
      <c r="E496" s="212"/>
      <c r="F496" s="212"/>
      <c r="G496" s="212"/>
      <c r="J496" s="212"/>
      <c r="K496" s="212"/>
      <c r="L496" s="212"/>
      <c r="M496" s="212"/>
    </row>
    <row r="497" spans="1:13" ht="12.75" customHeight="1">
      <c r="A497" s="212"/>
      <c r="B497" s="212"/>
      <c r="C497" s="212"/>
      <c r="D497" s="212"/>
      <c r="E497" s="212"/>
      <c r="F497" s="212"/>
      <c r="G497" s="212"/>
      <c r="J497" s="212"/>
      <c r="K497" s="212"/>
      <c r="L497" s="212"/>
      <c r="M497" s="212"/>
    </row>
    <row r="498" spans="1:13" ht="12.75" customHeight="1">
      <c r="A498" s="212"/>
      <c r="B498" s="212"/>
      <c r="C498" s="212"/>
      <c r="D498" s="212"/>
      <c r="E498" s="212"/>
      <c r="F498" s="212"/>
      <c r="G498" s="212"/>
      <c r="J498" s="212"/>
      <c r="K498" s="212"/>
      <c r="L498" s="212"/>
      <c r="M498" s="212"/>
    </row>
    <row r="499" spans="1:13" ht="12.75" customHeight="1">
      <c r="A499" s="212"/>
      <c r="B499" s="212"/>
      <c r="C499" s="212"/>
      <c r="D499" s="212"/>
      <c r="E499" s="212"/>
      <c r="F499" s="212"/>
      <c r="G499" s="212"/>
      <c r="J499" s="212"/>
      <c r="K499" s="212"/>
      <c r="L499" s="212"/>
      <c r="M499" s="212"/>
    </row>
    <row r="500" spans="1:13" ht="12.75" customHeight="1">
      <c r="A500" s="212"/>
      <c r="B500" s="212"/>
      <c r="C500" s="212"/>
      <c r="D500" s="212"/>
      <c r="E500" s="212"/>
      <c r="F500" s="212"/>
      <c r="G500" s="212"/>
      <c r="J500" s="212"/>
      <c r="K500" s="212"/>
      <c r="L500" s="212"/>
      <c r="M500" s="212"/>
    </row>
    <row r="501" spans="1:13" ht="12.75" customHeight="1">
      <c r="A501" s="212"/>
      <c r="B501" s="212"/>
      <c r="C501" s="212"/>
      <c r="D501" s="212"/>
      <c r="E501" s="212"/>
      <c r="F501" s="212"/>
      <c r="G501" s="212"/>
      <c r="J501" s="212"/>
      <c r="K501" s="212"/>
      <c r="L501" s="212"/>
      <c r="M501" s="212"/>
    </row>
    <row r="502" spans="1:13" ht="12.75" customHeight="1">
      <c r="A502" s="212"/>
      <c r="B502" s="212"/>
      <c r="C502" s="212"/>
      <c r="D502" s="212"/>
      <c r="E502" s="212"/>
      <c r="F502" s="212"/>
      <c r="G502" s="212"/>
      <c r="J502" s="212"/>
      <c r="K502" s="212"/>
      <c r="L502" s="212"/>
      <c r="M502" s="212"/>
    </row>
    <row r="503" spans="1:13" ht="12.75" customHeight="1">
      <c r="A503" s="212"/>
      <c r="B503" s="212"/>
      <c r="C503" s="212"/>
      <c r="D503" s="212"/>
      <c r="E503" s="212"/>
      <c r="F503" s="212"/>
      <c r="G503" s="212"/>
      <c r="J503" s="212"/>
      <c r="K503" s="212"/>
      <c r="L503" s="212"/>
      <c r="M503" s="212"/>
    </row>
    <row r="504" spans="1:13" ht="12.75" customHeight="1">
      <c r="A504" s="212"/>
      <c r="B504" s="212"/>
      <c r="C504" s="212"/>
      <c r="D504" s="212"/>
      <c r="E504" s="212"/>
      <c r="F504" s="212"/>
      <c r="G504" s="212"/>
      <c r="J504" s="212"/>
      <c r="K504" s="212"/>
      <c r="L504" s="212"/>
      <c r="M504" s="212"/>
    </row>
    <row r="505" spans="1:13" ht="12.75" customHeight="1">
      <c r="A505" s="212"/>
      <c r="B505" s="212"/>
      <c r="C505" s="212"/>
      <c r="D505" s="212"/>
      <c r="E505" s="212"/>
      <c r="F505" s="212"/>
      <c r="G505" s="212"/>
      <c r="J505" s="212"/>
      <c r="K505" s="212"/>
      <c r="L505" s="212"/>
      <c r="M505" s="212"/>
    </row>
    <row r="506" spans="1:13" ht="12.75" customHeight="1">
      <c r="A506" s="212"/>
      <c r="B506" s="212"/>
      <c r="C506" s="212"/>
      <c r="D506" s="212"/>
      <c r="E506" s="212"/>
      <c r="F506" s="212"/>
      <c r="G506" s="212"/>
      <c r="J506" s="212"/>
      <c r="K506" s="212"/>
      <c r="L506" s="212"/>
      <c r="M506" s="212"/>
    </row>
    <row r="507" spans="1:13" ht="12.75" customHeight="1">
      <c r="A507" s="212"/>
      <c r="B507" s="212"/>
      <c r="C507" s="212"/>
      <c r="D507" s="212"/>
      <c r="E507" s="212"/>
      <c r="F507" s="212"/>
      <c r="G507" s="212"/>
      <c r="J507" s="212"/>
      <c r="K507" s="212"/>
      <c r="L507" s="212"/>
      <c r="M507" s="212"/>
    </row>
    <row r="508" spans="1:13" ht="12.75" customHeight="1">
      <c r="A508" s="212"/>
      <c r="B508" s="212"/>
      <c r="C508" s="212"/>
      <c r="D508" s="212"/>
      <c r="E508" s="212"/>
      <c r="F508" s="212"/>
      <c r="G508" s="212"/>
      <c r="J508" s="212"/>
      <c r="K508" s="212"/>
      <c r="L508" s="212"/>
      <c r="M508" s="212"/>
    </row>
    <row r="509" spans="1:13" ht="12.75" customHeight="1">
      <c r="A509" s="212"/>
      <c r="B509" s="212"/>
      <c r="C509" s="212"/>
      <c r="D509" s="212"/>
      <c r="E509" s="212"/>
      <c r="F509" s="212"/>
      <c r="G509" s="212"/>
      <c r="J509" s="212"/>
      <c r="K509" s="212"/>
      <c r="L509" s="212"/>
      <c r="M509" s="212"/>
    </row>
    <row r="510" spans="1:13" ht="12.75" customHeight="1">
      <c r="A510" s="212"/>
      <c r="B510" s="212"/>
      <c r="C510" s="212"/>
      <c r="D510" s="212"/>
      <c r="E510" s="212"/>
      <c r="F510" s="212"/>
      <c r="G510" s="212"/>
      <c r="J510" s="212"/>
      <c r="K510" s="212"/>
      <c r="L510" s="212"/>
      <c r="M510" s="212"/>
    </row>
    <row r="511" spans="1:13" ht="12.75" customHeight="1">
      <c r="A511" s="212"/>
      <c r="B511" s="212"/>
      <c r="C511" s="212"/>
      <c r="D511" s="212"/>
      <c r="E511" s="212"/>
      <c r="F511" s="212"/>
      <c r="G511" s="212"/>
      <c r="J511" s="212"/>
      <c r="K511" s="212"/>
      <c r="L511" s="212"/>
      <c r="M511" s="212"/>
    </row>
    <row r="512" spans="1:13" ht="12.75" customHeight="1">
      <c r="A512" s="212"/>
      <c r="B512" s="212"/>
      <c r="C512" s="212"/>
      <c r="D512" s="212"/>
      <c r="E512" s="212"/>
      <c r="F512" s="212"/>
      <c r="G512" s="212"/>
      <c r="J512" s="212"/>
      <c r="K512" s="212"/>
      <c r="L512" s="212"/>
      <c r="M512" s="212"/>
    </row>
    <row r="513" spans="1:13" ht="12.75" customHeight="1">
      <c r="A513" s="212"/>
      <c r="B513" s="212"/>
      <c r="C513" s="212"/>
      <c r="D513" s="212"/>
      <c r="E513" s="212"/>
      <c r="F513" s="212"/>
      <c r="G513" s="212"/>
      <c r="J513" s="212"/>
      <c r="K513" s="212"/>
      <c r="L513" s="212"/>
      <c r="M513" s="212"/>
    </row>
    <row r="514" spans="1:13" ht="12.75" customHeight="1">
      <c r="A514" s="212"/>
      <c r="B514" s="212"/>
      <c r="C514" s="212"/>
      <c r="D514" s="212"/>
      <c r="E514" s="212"/>
      <c r="F514" s="212"/>
      <c r="G514" s="212"/>
      <c r="J514" s="212"/>
      <c r="K514" s="212"/>
      <c r="L514" s="212"/>
      <c r="M514" s="212"/>
    </row>
    <row r="515" spans="1:13" ht="12.75" customHeight="1">
      <c r="A515" s="212"/>
      <c r="B515" s="212"/>
      <c r="C515" s="212"/>
      <c r="D515" s="212"/>
      <c r="E515" s="212"/>
      <c r="F515" s="212"/>
      <c r="G515" s="212"/>
      <c r="J515" s="212"/>
      <c r="K515" s="212"/>
      <c r="L515" s="212"/>
      <c r="M515" s="212"/>
    </row>
    <row r="516" spans="1:13" ht="12.75" customHeight="1">
      <c r="A516" s="212"/>
      <c r="B516" s="212"/>
      <c r="C516" s="212"/>
      <c r="D516" s="212"/>
      <c r="E516" s="212"/>
      <c r="F516" s="212"/>
      <c r="G516" s="212"/>
      <c r="J516" s="212"/>
      <c r="K516" s="212"/>
      <c r="L516" s="212"/>
      <c r="M516" s="212"/>
    </row>
    <row r="517" spans="1:13" ht="12.75" customHeight="1">
      <c r="A517" s="212"/>
      <c r="B517" s="212"/>
      <c r="C517" s="212"/>
      <c r="D517" s="212"/>
      <c r="E517" s="212"/>
      <c r="F517" s="212"/>
      <c r="G517" s="212"/>
      <c r="J517" s="212"/>
      <c r="K517" s="212"/>
      <c r="L517" s="212"/>
      <c r="M517" s="212"/>
    </row>
    <row r="518" spans="1:13" ht="12.75" customHeight="1">
      <c r="A518" s="212"/>
      <c r="B518" s="212"/>
      <c r="C518" s="212"/>
      <c r="D518" s="212"/>
      <c r="E518" s="212"/>
      <c r="F518" s="212"/>
      <c r="G518" s="212"/>
      <c r="J518" s="212"/>
      <c r="K518" s="212"/>
      <c r="L518" s="212"/>
      <c r="M518" s="212"/>
    </row>
    <row r="519" spans="1:13" ht="12.75" customHeight="1">
      <c r="A519" s="212"/>
      <c r="B519" s="212"/>
      <c r="C519" s="212"/>
      <c r="D519" s="212"/>
      <c r="E519" s="212"/>
      <c r="F519" s="212"/>
      <c r="G519" s="212"/>
      <c r="J519" s="212"/>
      <c r="K519" s="212"/>
      <c r="L519" s="212"/>
      <c r="M519" s="212"/>
    </row>
    <row r="520" spans="1:13" ht="12.75" customHeight="1">
      <c r="A520" s="212"/>
      <c r="B520" s="212"/>
      <c r="C520" s="212"/>
      <c r="D520" s="212"/>
      <c r="E520" s="212"/>
      <c r="F520" s="212"/>
      <c r="G520" s="212"/>
      <c r="J520" s="212"/>
      <c r="K520" s="212"/>
      <c r="L520" s="212"/>
      <c r="M520" s="212"/>
    </row>
    <row r="521" spans="1:13" ht="12.75" customHeight="1">
      <c r="A521" s="212"/>
      <c r="B521" s="212"/>
      <c r="C521" s="212"/>
      <c r="D521" s="212"/>
      <c r="E521" s="212"/>
      <c r="F521" s="212"/>
      <c r="G521" s="212"/>
      <c r="J521" s="212"/>
      <c r="K521" s="212"/>
      <c r="L521" s="212"/>
      <c r="M521" s="212"/>
    </row>
    <row r="522" spans="1:13" ht="12.75" customHeight="1">
      <c r="A522" s="212"/>
      <c r="B522" s="212"/>
      <c r="C522" s="212"/>
      <c r="D522" s="212"/>
      <c r="E522" s="212"/>
      <c r="F522" s="212"/>
      <c r="G522" s="212"/>
      <c r="J522" s="212"/>
      <c r="K522" s="212"/>
      <c r="L522" s="212"/>
      <c r="M522" s="212"/>
    </row>
    <row r="523" spans="1:13" ht="12.75" customHeight="1">
      <c r="A523" s="212"/>
      <c r="B523" s="212"/>
      <c r="C523" s="212"/>
      <c r="D523" s="212"/>
      <c r="E523" s="212"/>
      <c r="F523" s="212"/>
      <c r="G523" s="212"/>
      <c r="J523" s="212"/>
      <c r="K523" s="212"/>
      <c r="L523" s="212"/>
      <c r="M523" s="212"/>
    </row>
    <row r="524" spans="1:13" ht="12.75" customHeight="1">
      <c r="A524" s="212"/>
      <c r="B524" s="212"/>
      <c r="C524" s="212"/>
      <c r="D524" s="212"/>
      <c r="E524" s="212"/>
      <c r="F524" s="212"/>
      <c r="G524" s="212"/>
      <c r="J524" s="212"/>
      <c r="K524" s="212"/>
      <c r="L524" s="212"/>
      <c r="M524" s="212"/>
    </row>
    <row r="525" spans="1:13" ht="12.75" customHeight="1">
      <c r="A525" s="212"/>
      <c r="B525" s="212"/>
      <c r="C525" s="212"/>
      <c r="D525" s="212"/>
      <c r="E525" s="212"/>
      <c r="F525" s="212"/>
      <c r="G525" s="212"/>
      <c r="J525" s="212"/>
      <c r="K525" s="212"/>
      <c r="L525" s="212"/>
      <c r="M525" s="212"/>
    </row>
    <row r="526" spans="1:13" ht="12.75" customHeight="1">
      <c r="A526" s="212"/>
      <c r="B526" s="212"/>
      <c r="C526" s="212"/>
      <c r="D526" s="212"/>
      <c r="E526" s="212"/>
      <c r="F526" s="212"/>
      <c r="G526" s="212"/>
      <c r="J526" s="212"/>
      <c r="K526" s="212"/>
      <c r="L526" s="212"/>
      <c r="M526" s="212"/>
    </row>
    <row r="527" spans="1:13" ht="12.75" customHeight="1">
      <c r="A527" s="212"/>
      <c r="B527" s="212"/>
      <c r="C527" s="212"/>
      <c r="D527" s="212"/>
      <c r="E527" s="212"/>
      <c r="F527" s="212"/>
      <c r="G527" s="212"/>
      <c r="J527" s="212"/>
      <c r="K527" s="212"/>
      <c r="L527" s="212"/>
      <c r="M527" s="212"/>
    </row>
    <row r="528" spans="1:13" ht="12.75" customHeight="1">
      <c r="A528" s="212"/>
      <c r="B528" s="212"/>
      <c r="C528" s="212"/>
      <c r="D528" s="212"/>
      <c r="E528" s="212"/>
      <c r="F528" s="212"/>
      <c r="G528" s="212"/>
      <c r="J528" s="212"/>
      <c r="K528" s="212"/>
      <c r="L528" s="212"/>
      <c r="M528" s="212"/>
    </row>
    <row r="529" spans="1:13" ht="12.75" customHeight="1">
      <c r="A529" s="212"/>
      <c r="B529" s="212"/>
      <c r="C529" s="212"/>
      <c r="D529" s="212"/>
      <c r="E529" s="212"/>
      <c r="F529" s="212"/>
      <c r="G529" s="212"/>
      <c r="J529" s="212"/>
      <c r="K529" s="212"/>
      <c r="L529" s="212"/>
      <c r="M529" s="212"/>
    </row>
    <row r="530" spans="1:13" ht="12.75" customHeight="1">
      <c r="A530" s="212"/>
      <c r="B530" s="212"/>
      <c r="C530" s="212"/>
      <c r="D530" s="212"/>
      <c r="E530" s="212"/>
      <c r="F530" s="212"/>
      <c r="G530" s="212"/>
      <c r="J530" s="212"/>
      <c r="K530" s="212"/>
      <c r="L530" s="212"/>
      <c r="M530" s="212"/>
    </row>
    <row r="531" spans="1:13" ht="12.75" customHeight="1">
      <c r="A531" s="212"/>
      <c r="B531" s="212"/>
      <c r="C531" s="212"/>
      <c r="D531" s="212"/>
      <c r="E531" s="212"/>
      <c r="F531" s="212"/>
      <c r="G531" s="212"/>
      <c r="J531" s="212"/>
      <c r="K531" s="212"/>
      <c r="L531" s="212"/>
      <c r="M531" s="212"/>
    </row>
    <row r="532" spans="1:13" ht="12.75" customHeight="1">
      <c r="A532" s="212"/>
      <c r="B532" s="212"/>
      <c r="C532" s="212"/>
      <c r="D532" s="212"/>
      <c r="E532" s="212"/>
      <c r="F532" s="212"/>
      <c r="G532" s="212"/>
      <c r="J532" s="212"/>
      <c r="K532" s="212"/>
      <c r="L532" s="212"/>
      <c r="M532" s="212"/>
    </row>
    <row r="533" spans="1:13" ht="12.75" customHeight="1">
      <c r="A533" s="212"/>
      <c r="B533" s="212"/>
      <c r="C533" s="212"/>
      <c r="D533" s="212"/>
      <c r="E533" s="212"/>
      <c r="F533" s="212"/>
      <c r="G533" s="212"/>
      <c r="J533" s="212"/>
      <c r="K533" s="212"/>
      <c r="L533" s="212"/>
      <c r="M533" s="212"/>
    </row>
    <row r="534" spans="1:13" ht="12.75" customHeight="1">
      <c r="A534" s="212"/>
      <c r="B534" s="212"/>
      <c r="C534" s="212"/>
      <c r="D534" s="212"/>
      <c r="E534" s="212"/>
      <c r="F534" s="212"/>
      <c r="G534" s="212"/>
      <c r="J534" s="212"/>
      <c r="K534" s="212"/>
      <c r="L534" s="212"/>
      <c r="M534" s="212"/>
    </row>
    <row r="535" spans="1:13" ht="12.75" customHeight="1">
      <c r="A535" s="212"/>
      <c r="B535" s="212"/>
      <c r="C535" s="212"/>
      <c r="D535" s="212"/>
      <c r="E535" s="212"/>
      <c r="F535" s="212"/>
      <c r="G535" s="212"/>
      <c r="J535" s="212"/>
      <c r="K535" s="212"/>
      <c r="L535" s="212"/>
      <c r="M535" s="212"/>
    </row>
    <row r="536" spans="1:13" ht="12.75" customHeight="1">
      <c r="A536" s="212"/>
      <c r="B536" s="212"/>
      <c r="C536" s="212"/>
      <c r="D536" s="212"/>
      <c r="E536" s="212"/>
      <c r="F536" s="212"/>
      <c r="G536" s="212"/>
      <c r="J536" s="212"/>
      <c r="K536" s="212"/>
      <c r="L536" s="212"/>
      <c r="M536" s="212"/>
    </row>
    <row r="537" spans="1:13" ht="12.75" customHeight="1">
      <c r="A537" s="212"/>
      <c r="B537" s="212"/>
      <c r="C537" s="212"/>
      <c r="D537" s="212"/>
      <c r="E537" s="212"/>
      <c r="F537" s="212"/>
      <c r="G537" s="212"/>
      <c r="J537" s="212"/>
      <c r="K537" s="212"/>
      <c r="L537" s="212"/>
      <c r="M537" s="212"/>
    </row>
    <row r="538" spans="1:13" ht="12.75" customHeight="1">
      <c r="A538" s="212"/>
      <c r="B538" s="212"/>
      <c r="C538" s="212"/>
      <c r="D538" s="212"/>
      <c r="E538" s="212"/>
      <c r="F538" s="212"/>
      <c r="G538" s="212"/>
      <c r="J538" s="212"/>
      <c r="K538" s="212"/>
      <c r="L538" s="212"/>
      <c r="M538" s="212"/>
    </row>
    <row r="539" spans="1:13" ht="12.75" customHeight="1">
      <c r="A539" s="212"/>
      <c r="B539" s="212"/>
      <c r="C539" s="212"/>
      <c r="D539" s="212"/>
      <c r="E539" s="212"/>
      <c r="F539" s="212"/>
      <c r="G539" s="212"/>
      <c r="J539" s="212"/>
      <c r="K539" s="212"/>
      <c r="L539" s="212"/>
      <c r="M539" s="212"/>
    </row>
    <row r="540" spans="1:13" ht="12.75" customHeight="1">
      <c r="A540" s="212"/>
      <c r="B540" s="212"/>
      <c r="C540" s="212"/>
      <c r="D540" s="212"/>
      <c r="E540" s="212"/>
      <c r="F540" s="212"/>
      <c r="G540" s="212"/>
      <c r="J540" s="212"/>
      <c r="K540" s="212"/>
      <c r="L540" s="212"/>
      <c r="M540" s="212"/>
    </row>
    <row r="541" spans="1:13" ht="12.75" customHeight="1">
      <c r="A541" s="212"/>
      <c r="B541" s="212"/>
      <c r="C541" s="212"/>
      <c r="D541" s="212"/>
      <c r="E541" s="212"/>
      <c r="F541" s="212"/>
      <c r="G541" s="212"/>
      <c r="J541" s="212"/>
      <c r="K541" s="212"/>
      <c r="L541" s="212"/>
      <c r="M541" s="212"/>
    </row>
    <row r="542" spans="1:13" ht="12.75" customHeight="1">
      <c r="A542" s="212"/>
      <c r="B542" s="212"/>
      <c r="C542" s="212"/>
      <c r="D542" s="212"/>
      <c r="E542" s="212"/>
      <c r="F542" s="212"/>
      <c r="G542" s="212"/>
      <c r="J542" s="212"/>
      <c r="K542" s="212"/>
      <c r="L542" s="212"/>
      <c r="M542" s="212"/>
    </row>
    <row r="543" spans="1:13" ht="12.75" customHeight="1">
      <c r="A543" s="212"/>
      <c r="B543" s="212"/>
      <c r="C543" s="212"/>
      <c r="D543" s="212"/>
      <c r="E543" s="212"/>
      <c r="F543" s="212"/>
      <c r="G543" s="212"/>
      <c r="J543" s="212"/>
      <c r="K543" s="212"/>
      <c r="L543" s="212"/>
      <c r="M543" s="212"/>
    </row>
    <row r="544" spans="1:13" ht="12.75" customHeight="1">
      <c r="A544" s="212"/>
      <c r="B544" s="212"/>
      <c r="C544" s="212"/>
      <c r="D544" s="212"/>
      <c r="E544" s="212"/>
      <c r="F544" s="212"/>
      <c r="G544" s="212"/>
      <c r="J544" s="212"/>
      <c r="K544" s="212"/>
      <c r="L544" s="212"/>
      <c r="M544" s="212"/>
    </row>
    <row r="545" spans="1:13" ht="12.75" customHeight="1">
      <c r="A545" s="212"/>
      <c r="B545" s="212"/>
      <c r="C545" s="212"/>
      <c r="D545" s="212"/>
      <c r="E545" s="212"/>
      <c r="F545" s="212"/>
      <c r="G545" s="212"/>
      <c r="J545" s="212"/>
      <c r="K545" s="212"/>
      <c r="L545" s="212"/>
      <c r="M545" s="212"/>
    </row>
    <row r="546" spans="1:13" ht="12.75" customHeight="1">
      <c r="A546" s="212"/>
      <c r="B546" s="212"/>
      <c r="C546" s="212"/>
      <c r="D546" s="212"/>
      <c r="E546" s="212"/>
      <c r="F546" s="212"/>
      <c r="G546" s="212"/>
      <c r="J546" s="212"/>
      <c r="K546" s="212"/>
      <c r="L546" s="212"/>
      <c r="M546" s="212"/>
    </row>
    <row r="547" spans="1:13" ht="12.75" customHeight="1">
      <c r="A547" s="212"/>
      <c r="B547" s="212"/>
      <c r="C547" s="212"/>
      <c r="D547" s="212"/>
      <c r="E547" s="212"/>
      <c r="F547" s="212"/>
      <c r="G547" s="212"/>
      <c r="J547" s="212"/>
      <c r="K547" s="212"/>
      <c r="L547" s="212"/>
      <c r="M547" s="212"/>
    </row>
    <row r="548" spans="1:13" ht="12.75" customHeight="1">
      <c r="A548" s="212"/>
      <c r="B548" s="212"/>
      <c r="C548" s="212"/>
      <c r="D548" s="212"/>
      <c r="E548" s="212"/>
      <c r="F548" s="212"/>
      <c r="G548" s="212"/>
      <c r="J548" s="212"/>
      <c r="K548" s="212"/>
      <c r="L548" s="212"/>
      <c r="M548" s="212"/>
    </row>
    <row r="549" spans="1:13" ht="12.75" customHeight="1">
      <c r="A549" s="212"/>
      <c r="B549" s="212"/>
      <c r="C549" s="212"/>
      <c r="D549" s="212"/>
      <c r="E549" s="212"/>
      <c r="F549" s="212"/>
      <c r="G549" s="212"/>
      <c r="J549" s="212"/>
      <c r="K549" s="212"/>
      <c r="L549" s="212"/>
      <c r="M549" s="212"/>
    </row>
    <row r="550" spans="1:13" ht="12.75" customHeight="1">
      <c r="A550" s="212"/>
      <c r="B550" s="212"/>
      <c r="C550" s="212"/>
      <c r="D550" s="212"/>
      <c r="E550" s="212"/>
      <c r="F550" s="212"/>
      <c r="G550" s="212"/>
      <c r="J550" s="212"/>
      <c r="K550" s="212"/>
      <c r="L550" s="212"/>
      <c r="M550" s="212"/>
    </row>
    <row r="551" spans="1:13" ht="12.75" customHeight="1">
      <c r="A551" s="212"/>
      <c r="B551" s="212"/>
      <c r="C551" s="212"/>
      <c r="D551" s="212"/>
      <c r="E551" s="212"/>
      <c r="F551" s="212"/>
      <c r="G551" s="212"/>
      <c r="J551" s="212"/>
      <c r="K551" s="212"/>
      <c r="L551" s="212"/>
      <c r="M551" s="212"/>
    </row>
    <row r="552" spans="1:13" ht="12.75" customHeight="1">
      <c r="A552" s="212"/>
      <c r="B552" s="212"/>
      <c r="C552" s="212"/>
      <c r="D552" s="212"/>
      <c r="E552" s="212"/>
      <c r="F552" s="212"/>
      <c r="G552" s="212"/>
      <c r="J552" s="212"/>
      <c r="K552" s="212"/>
      <c r="L552" s="212"/>
      <c r="M552" s="212"/>
    </row>
    <row r="553" spans="1:13" ht="12.75" customHeight="1">
      <c r="A553" s="212"/>
      <c r="B553" s="212"/>
      <c r="C553" s="212"/>
      <c r="D553" s="212"/>
      <c r="E553" s="212"/>
      <c r="F553" s="212"/>
      <c r="G553" s="212"/>
      <c r="J553" s="212"/>
      <c r="K553" s="212"/>
      <c r="L553" s="212"/>
      <c r="M553" s="212"/>
    </row>
    <row r="554" spans="1:13" ht="12.75" customHeight="1">
      <c r="A554" s="212"/>
      <c r="B554" s="212"/>
      <c r="C554" s="212"/>
      <c r="D554" s="212"/>
      <c r="E554" s="212"/>
      <c r="F554" s="212"/>
      <c r="G554" s="212"/>
      <c r="J554" s="212"/>
      <c r="K554" s="212"/>
      <c r="L554" s="212"/>
      <c r="M554" s="212"/>
    </row>
    <row r="555" spans="1:13" ht="12.75" customHeight="1">
      <c r="A555" s="212"/>
      <c r="B555" s="212"/>
      <c r="C555" s="212"/>
      <c r="D555" s="212"/>
      <c r="E555" s="212"/>
      <c r="F555" s="212"/>
      <c r="G555" s="212"/>
      <c r="J555" s="212"/>
      <c r="K555" s="212"/>
      <c r="L555" s="212"/>
      <c r="M555" s="212"/>
    </row>
    <row r="556" spans="1:13" ht="12.75" customHeight="1">
      <c r="A556" s="212"/>
      <c r="B556" s="212"/>
      <c r="C556" s="212"/>
      <c r="D556" s="212"/>
      <c r="E556" s="212"/>
      <c r="F556" s="212"/>
      <c r="G556" s="212"/>
      <c r="J556" s="212"/>
      <c r="K556" s="212"/>
      <c r="L556" s="212"/>
      <c r="M556" s="212"/>
    </row>
    <row r="557" spans="1:13" ht="12.75" customHeight="1">
      <c r="A557" s="212"/>
      <c r="B557" s="212"/>
      <c r="C557" s="212"/>
      <c r="D557" s="212"/>
      <c r="E557" s="212"/>
      <c r="F557" s="212"/>
      <c r="G557" s="212"/>
      <c r="J557" s="212"/>
      <c r="K557" s="212"/>
      <c r="L557" s="212"/>
      <c r="M557" s="212"/>
    </row>
    <row r="558" spans="1:13" ht="12.75" customHeight="1">
      <c r="A558" s="212"/>
      <c r="B558" s="212"/>
      <c r="C558" s="212"/>
      <c r="D558" s="212"/>
      <c r="E558" s="212"/>
      <c r="F558" s="212"/>
      <c r="G558" s="212"/>
      <c r="J558" s="212"/>
      <c r="K558" s="212"/>
      <c r="L558" s="212"/>
      <c r="M558" s="212"/>
    </row>
    <row r="559" spans="1:13" ht="12.75" customHeight="1">
      <c r="A559" s="212"/>
      <c r="B559" s="212"/>
      <c r="C559" s="212"/>
      <c r="D559" s="212"/>
      <c r="E559" s="212"/>
      <c r="F559" s="212"/>
      <c r="G559" s="212"/>
      <c r="J559" s="212"/>
      <c r="K559" s="212"/>
      <c r="L559" s="212"/>
      <c r="M559" s="212"/>
    </row>
    <row r="560" spans="1:13" ht="12.75" customHeight="1">
      <c r="A560" s="212"/>
      <c r="B560" s="212"/>
      <c r="C560" s="212"/>
      <c r="D560" s="212"/>
      <c r="E560" s="212"/>
      <c r="F560" s="212"/>
      <c r="G560" s="212"/>
      <c r="J560" s="212"/>
      <c r="K560" s="212"/>
      <c r="L560" s="212"/>
      <c r="M560" s="212"/>
    </row>
    <row r="561" spans="1:13" ht="12.75" customHeight="1">
      <c r="A561" s="212"/>
      <c r="B561" s="212"/>
      <c r="C561" s="212"/>
      <c r="D561" s="212"/>
      <c r="E561" s="212"/>
      <c r="F561" s="212"/>
      <c r="G561" s="212"/>
      <c r="J561" s="212"/>
      <c r="K561" s="212"/>
      <c r="L561" s="212"/>
      <c r="M561" s="212"/>
    </row>
    <row r="562" spans="1:13" ht="12.75" customHeight="1">
      <c r="A562" s="212"/>
      <c r="B562" s="212"/>
      <c r="C562" s="212"/>
      <c r="D562" s="212"/>
      <c r="E562" s="212"/>
      <c r="F562" s="212"/>
      <c r="G562" s="212"/>
      <c r="J562" s="212"/>
      <c r="K562" s="212"/>
      <c r="L562" s="212"/>
      <c r="M562" s="212"/>
    </row>
    <row r="563" spans="1:13" ht="12.75" customHeight="1">
      <c r="A563" s="212"/>
      <c r="B563" s="212"/>
      <c r="C563" s="212"/>
      <c r="D563" s="212"/>
      <c r="E563" s="212"/>
      <c r="F563" s="212"/>
      <c r="G563" s="212"/>
      <c r="J563" s="212"/>
      <c r="K563" s="212"/>
      <c r="L563" s="212"/>
      <c r="M563" s="212"/>
    </row>
    <row r="564" spans="1:13" ht="12.75" customHeight="1">
      <c r="A564" s="212"/>
      <c r="B564" s="212"/>
      <c r="C564" s="212"/>
      <c r="D564" s="212"/>
      <c r="E564" s="212"/>
      <c r="F564" s="212"/>
      <c r="G564" s="212"/>
      <c r="J564" s="212"/>
      <c r="K564" s="212"/>
      <c r="L564" s="212"/>
      <c r="M564" s="212"/>
    </row>
    <row r="565" spans="1:13" ht="12.75" customHeight="1">
      <c r="A565" s="212"/>
      <c r="B565" s="212"/>
      <c r="C565" s="212"/>
      <c r="D565" s="212"/>
      <c r="E565" s="212"/>
      <c r="F565" s="212"/>
      <c r="G565" s="212"/>
      <c r="J565" s="212"/>
      <c r="K565" s="212"/>
      <c r="L565" s="212"/>
      <c r="M565" s="212"/>
    </row>
    <row r="566" spans="1:13" ht="12.75" customHeight="1">
      <c r="A566" s="212"/>
      <c r="B566" s="212"/>
      <c r="C566" s="212"/>
      <c r="D566" s="212"/>
      <c r="E566" s="212"/>
      <c r="F566" s="212"/>
      <c r="G566" s="212"/>
      <c r="J566" s="212"/>
      <c r="K566" s="212"/>
      <c r="L566" s="212"/>
      <c r="M566" s="212"/>
    </row>
    <row r="567" spans="1:13" ht="12.75" customHeight="1">
      <c r="A567" s="212"/>
      <c r="B567" s="212"/>
      <c r="C567" s="212"/>
      <c r="D567" s="212"/>
      <c r="E567" s="212"/>
      <c r="F567" s="212"/>
      <c r="G567" s="212"/>
      <c r="J567" s="212"/>
      <c r="K567" s="212"/>
      <c r="L567" s="212"/>
      <c r="M567" s="212"/>
    </row>
    <row r="568" spans="1:13" ht="12.75" customHeight="1">
      <c r="A568" s="212"/>
      <c r="B568" s="212"/>
      <c r="C568" s="212"/>
      <c r="D568" s="212"/>
      <c r="E568" s="212"/>
      <c r="F568" s="212"/>
      <c r="G568" s="212"/>
      <c r="J568" s="212"/>
      <c r="K568" s="212"/>
      <c r="L568" s="212"/>
      <c r="M568" s="212"/>
    </row>
    <row r="569" spans="1:13" ht="12.75" customHeight="1">
      <c r="A569" s="212"/>
      <c r="B569" s="212"/>
      <c r="C569" s="212"/>
      <c r="D569" s="212"/>
      <c r="E569" s="212"/>
      <c r="F569" s="212"/>
      <c r="G569" s="212"/>
      <c r="J569" s="212"/>
      <c r="K569" s="212"/>
      <c r="L569" s="212"/>
      <c r="M569" s="212"/>
    </row>
    <row r="570" spans="1:13" ht="12.75" customHeight="1">
      <c r="A570" s="212"/>
      <c r="B570" s="212"/>
      <c r="C570" s="212"/>
      <c r="D570" s="212"/>
      <c r="E570" s="212"/>
      <c r="F570" s="212"/>
      <c r="G570" s="212"/>
      <c r="J570" s="212"/>
      <c r="K570" s="212"/>
      <c r="L570" s="212"/>
      <c r="M570" s="212"/>
    </row>
    <row r="571" spans="1:13" ht="12.75" customHeight="1">
      <c r="A571" s="212"/>
      <c r="B571" s="212"/>
      <c r="C571" s="212"/>
      <c r="D571" s="212"/>
      <c r="E571" s="212"/>
      <c r="F571" s="212"/>
      <c r="G571" s="212"/>
      <c r="J571" s="212"/>
      <c r="K571" s="212"/>
      <c r="L571" s="212"/>
      <c r="M571" s="212"/>
    </row>
    <row r="572" spans="1:13" ht="12.75" customHeight="1">
      <c r="A572" s="212"/>
      <c r="B572" s="212"/>
      <c r="C572" s="212"/>
      <c r="D572" s="212"/>
      <c r="E572" s="212"/>
      <c r="F572" s="212"/>
      <c r="G572" s="212"/>
      <c r="J572" s="212"/>
      <c r="K572" s="212"/>
      <c r="L572" s="212"/>
      <c r="M572" s="212"/>
    </row>
    <row r="573" spans="1:13" ht="12.75" customHeight="1">
      <c r="A573" s="212"/>
      <c r="B573" s="212"/>
      <c r="C573" s="212"/>
      <c r="D573" s="212"/>
      <c r="E573" s="212"/>
      <c r="F573" s="212"/>
      <c r="G573" s="212"/>
      <c r="J573" s="212"/>
      <c r="K573" s="212"/>
      <c r="L573" s="212"/>
      <c r="M573" s="212"/>
    </row>
    <row r="574" spans="1:13" ht="12.75" customHeight="1">
      <c r="A574" s="212"/>
      <c r="B574" s="212"/>
      <c r="C574" s="212"/>
      <c r="D574" s="212"/>
      <c r="E574" s="212"/>
      <c r="F574" s="212"/>
      <c r="G574" s="212"/>
      <c r="J574" s="212"/>
      <c r="K574" s="212"/>
      <c r="L574" s="212"/>
      <c r="M574" s="212"/>
    </row>
    <row r="575" spans="1:13" ht="12.75" customHeight="1">
      <c r="A575" s="212"/>
      <c r="B575" s="212"/>
      <c r="C575" s="212"/>
      <c r="D575" s="212"/>
      <c r="E575" s="212"/>
      <c r="F575" s="212"/>
      <c r="G575" s="212"/>
      <c r="J575" s="212"/>
      <c r="K575" s="212"/>
      <c r="L575" s="212"/>
      <c r="M575" s="212"/>
    </row>
    <row r="576" spans="1:13" ht="12.75" customHeight="1">
      <c r="A576" s="212"/>
      <c r="B576" s="212"/>
      <c r="C576" s="212"/>
      <c r="D576" s="212"/>
      <c r="E576" s="212"/>
      <c r="F576" s="212"/>
      <c r="G576" s="212"/>
      <c r="J576" s="212"/>
      <c r="K576" s="212"/>
      <c r="L576" s="212"/>
      <c r="M576" s="212"/>
    </row>
    <row r="577" spans="1:13" ht="12.75" customHeight="1">
      <c r="A577" s="212"/>
      <c r="B577" s="212"/>
      <c r="C577" s="212"/>
      <c r="D577" s="212"/>
      <c r="E577" s="212"/>
      <c r="F577" s="212"/>
      <c r="G577" s="212"/>
      <c r="J577" s="212"/>
      <c r="K577" s="212"/>
      <c r="L577" s="212"/>
      <c r="M577" s="212"/>
    </row>
    <row r="578" spans="1:13" ht="12.75" customHeight="1">
      <c r="A578" s="212"/>
      <c r="B578" s="212"/>
      <c r="C578" s="212"/>
      <c r="D578" s="212"/>
      <c r="E578" s="212"/>
      <c r="F578" s="212"/>
      <c r="G578" s="212"/>
      <c r="J578" s="212"/>
      <c r="K578" s="212"/>
      <c r="L578" s="212"/>
      <c r="M578" s="212"/>
    </row>
    <row r="579" spans="1:13" ht="12.75" customHeight="1">
      <c r="A579" s="212"/>
      <c r="B579" s="212"/>
      <c r="C579" s="212"/>
      <c r="D579" s="212"/>
      <c r="E579" s="212"/>
      <c r="F579" s="212"/>
      <c r="G579" s="212"/>
      <c r="J579" s="212"/>
      <c r="K579" s="212"/>
      <c r="L579" s="212"/>
      <c r="M579" s="212"/>
    </row>
    <row r="580" spans="1:13" ht="12.75" customHeight="1">
      <c r="A580" s="212"/>
      <c r="B580" s="212"/>
      <c r="C580" s="212"/>
      <c r="D580" s="212"/>
      <c r="E580" s="212"/>
      <c r="F580" s="212"/>
      <c r="G580" s="212"/>
      <c r="J580" s="212"/>
      <c r="K580" s="212"/>
      <c r="L580" s="212"/>
      <c r="M580" s="212"/>
    </row>
    <row r="581" spans="1:13" ht="12.75" customHeight="1">
      <c r="A581" s="212"/>
      <c r="B581" s="212"/>
      <c r="C581" s="212"/>
      <c r="D581" s="212"/>
      <c r="E581" s="212"/>
      <c r="F581" s="212"/>
      <c r="G581" s="212"/>
      <c r="J581" s="212"/>
      <c r="K581" s="212"/>
      <c r="L581" s="212"/>
      <c r="M581" s="212"/>
    </row>
    <row r="582" spans="1:13" ht="12.75" customHeight="1">
      <c r="A582" s="212"/>
      <c r="B582" s="212"/>
      <c r="C582" s="212"/>
      <c r="D582" s="212"/>
      <c r="E582" s="212"/>
      <c r="F582" s="212"/>
      <c r="G582" s="212"/>
      <c r="J582" s="212"/>
      <c r="K582" s="212"/>
      <c r="L582" s="212"/>
      <c r="M582" s="212"/>
    </row>
    <row r="583" spans="1:13" ht="12.75" customHeight="1">
      <c r="A583" s="212"/>
      <c r="B583" s="212"/>
      <c r="C583" s="212"/>
      <c r="D583" s="212"/>
      <c r="E583" s="212"/>
      <c r="F583" s="212"/>
      <c r="G583" s="212"/>
      <c r="J583" s="212"/>
      <c r="K583" s="212"/>
      <c r="L583" s="212"/>
      <c r="M583" s="212"/>
    </row>
    <row r="584" spans="1:13" ht="12.75" customHeight="1">
      <c r="A584" s="212"/>
      <c r="B584" s="212"/>
      <c r="C584" s="212"/>
      <c r="D584" s="212"/>
      <c r="E584" s="212"/>
      <c r="F584" s="212"/>
      <c r="G584" s="212"/>
      <c r="J584" s="212"/>
      <c r="K584" s="212"/>
      <c r="L584" s="212"/>
      <c r="M584" s="212"/>
    </row>
    <row r="585" spans="1:13" ht="12.75" customHeight="1">
      <c r="A585" s="212"/>
      <c r="B585" s="212"/>
      <c r="C585" s="212"/>
      <c r="D585" s="212"/>
      <c r="E585" s="212"/>
      <c r="F585" s="212"/>
      <c r="G585" s="212"/>
      <c r="J585" s="212"/>
      <c r="K585" s="212"/>
      <c r="L585" s="212"/>
      <c r="M585" s="212"/>
    </row>
    <row r="586" spans="1:13" ht="12.75" customHeight="1">
      <c r="A586" s="212"/>
      <c r="B586" s="212"/>
      <c r="C586" s="212"/>
      <c r="D586" s="212"/>
      <c r="E586" s="212"/>
      <c r="F586" s="212"/>
      <c r="G586" s="212"/>
      <c r="J586" s="212"/>
      <c r="K586" s="212"/>
      <c r="L586" s="212"/>
      <c r="M586" s="212"/>
    </row>
    <row r="587" spans="1:13" ht="12.75" customHeight="1">
      <c r="A587" s="212"/>
      <c r="B587" s="212"/>
      <c r="C587" s="212"/>
      <c r="D587" s="212"/>
      <c r="E587" s="212"/>
      <c r="F587" s="212"/>
      <c r="G587" s="212"/>
      <c r="J587" s="212"/>
      <c r="K587" s="212"/>
      <c r="L587" s="212"/>
      <c r="M587" s="212"/>
    </row>
    <row r="588" spans="1:13" ht="12.75" customHeight="1">
      <c r="A588" s="212"/>
      <c r="B588" s="212"/>
      <c r="C588" s="212"/>
      <c r="D588" s="212"/>
      <c r="E588" s="212"/>
      <c r="F588" s="212"/>
      <c r="G588" s="212"/>
      <c r="J588" s="212"/>
      <c r="K588" s="212"/>
      <c r="L588" s="212"/>
      <c r="M588" s="212"/>
    </row>
    <row r="589" spans="1:13" ht="12.75" customHeight="1">
      <c r="A589" s="212"/>
      <c r="B589" s="212"/>
      <c r="C589" s="212"/>
      <c r="D589" s="212"/>
      <c r="E589" s="212"/>
      <c r="F589" s="212"/>
      <c r="G589" s="212"/>
      <c r="J589" s="212"/>
      <c r="K589" s="212"/>
      <c r="L589" s="212"/>
      <c r="M589" s="212"/>
    </row>
    <row r="590" spans="1:13" ht="12.75" customHeight="1">
      <c r="A590" s="212"/>
      <c r="B590" s="212"/>
      <c r="C590" s="212"/>
      <c r="D590" s="212"/>
      <c r="E590" s="212"/>
      <c r="F590" s="212"/>
      <c r="G590" s="212"/>
      <c r="J590" s="212"/>
      <c r="K590" s="212"/>
      <c r="L590" s="212"/>
      <c r="M590" s="212"/>
    </row>
    <row r="591" spans="1:13" ht="12.75" customHeight="1">
      <c r="A591" s="212"/>
      <c r="B591" s="212"/>
      <c r="C591" s="212"/>
      <c r="D591" s="212"/>
      <c r="E591" s="212"/>
      <c r="F591" s="212"/>
      <c r="G591" s="212"/>
      <c r="J591" s="212"/>
      <c r="K591" s="212"/>
      <c r="L591" s="212"/>
      <c r="M591" s="212"/>
    </row>
    <row r="592" spans="1:13" ht="12.75" customHeight="1">
      <c r="A592" s="212"/>
      <c r="B592" s="212"/>
      <c r="C592" s="212"/>
      <c r="D592" s="212"/>
      <c r="E592" s="212"/>
      <c r="F592" s="212"/>
      <c r="G592" s="212"/>
      <c r="J592" s="212"/>
      <c r="K592" s="212"/>
      <c r="L592" s="212"/>
      <c r="M592" s="212"/>
    </row>
    <row r="593" spans="1:13" ht="12.75" customHeight="1">
      <c r="A593" s="212"/>
      <c r="B593" s="212"/>
      <c r="C593" s="212"/>
      <c r="D593" s="212"/>
      <c r="E593" s="212"/>
      <c r="F593" s="212"/>
      <c r="G593" s="212"/>
      <c r="J593" s="212"/>
      <c r="K593" s="212"/>
      <c r="L593" s="212"/>
      <c r="M593" s="212"/>
    </row>
    <row r="594" spans="1:13" ht="12.75" customHeight="1">
      <c r="A594" s="212"/>
      <c r="B594" s="212"/>
      <c r="C594" s="212"/>
      <c r="D594" s="212"/>
      <c r="E594" s="212"/>
      <c r="F594" s="212"/>
      <c r="G594" s="212"/>
      <c r="J594" s="212"/>
      <c r="K594" s="212"/>
      <c r="L594" s="212"/>
      <c r="M594" s="212"/>
    </row>
    <row r="595" spans="1:13" ht="12.75" customHeight="1">
      <c r="A595" s="212"/>
      <c r="B595" s="212"/>
      <c r="C595" s="212"/>
      <c r="D595" s="212"/>
      <c r="E595" s="212"/>
      <c r="F595" s="212"/>
      <c r="G595" s="212"/>
      <c r="J595" s="212"/>
      <c r="K595" s="212"/>
      <c r="L595" s="212"/>
      <c r="M595" s="212"/>
    </row>
    <row r="596" spans="1:13" ht="12.75" customHeight="1">
      <c r="A596" s="212"/>
      <c r="B596" s="212"/>
      <c r="C596" s="212"/>
      <c r="D596" s="212"/>
      <c r="E596" s="212"/>
      <c r="F596" s="212"/>
      <c r="G596" s="212"/>
      <c r="J596" s="212"/>
      <c r="K596" s="212"/>
      <c r="L596" s="212"/>
      <c r="M596" s="212"/>
    </row>
    <row r="597" spans="1:13" ht="12.75" customHeight="1">
      <c r="A597" s="212"/>
      <c r="B597" s="212"/>
      <c r="C597" s="212"/>
      <c r="D597" s="212"/>
      <c r="E597" s="212"/>
      <c r="F597" s="212"/>
      <c r="G597" s="212"/>
      <c r="J597" s="212"/>
      <c r="K597" s="212"/>
      <c r="L597" s="212"/>
      <c r="M597" s="212"/>
    </row>
    <row r="598" spans="1:13" ht="12.75" customHeight="1">
      <c r="A598" s="212"/>
      <c r="B598" s="212"/>
      <c r="C598" s="212"/>
      <c r="D598" s="212"/>
      <c r="E598" s="212"/>
      <c r="F598" s="212"/>
      <c r="G598" s="212"/>
      <c r="J598" s="212"/>
      <c r="K598" s="212"/>
      <c r="L598" s="212"/>
      <c r="M598" s="212"/>
    </row>
    <row r="599" spans="1:13" ht="12.75" customHeight="1">
      <c r="A599" s="212"/>
      <c r="B599" s="212"/>
      <c r="C599" s="212"/>
      <c r="D599" s="212"/>
      <c r="E599" s="212"/>
      <c r="F599" s="212"/>
      <c r="G599" s="212"/>
      <c r="J599" s="212"/>
      <c r="K599" s="212"/>
      <c r="L599" s="212"/>
      <c r="M599" s="212"/>
    </row>
    <row r="600" spans="1:13" ht="12.75" customHeight="1">
      <c r="A600" s="212"/>
      <c r="B600" s="212"/>
      <c r="C600" s="212"/>
      <c r="D600" s="212"/>
      <c r="E600" s="212"/>
      <c r="F600" s="212"/>
      <c r="G600" s="212"/>
      <c r="J600" s="212"/>
      <c r="K600" s="212"/>
      <c r="L600" s="212"/>
      <c r="M600" s="212"/>
    </row>
    <row r="601" spans="1:13" ht="12.75" customHeight="1">
      <c r="A601" s="212"/>
      <c r="B601" s="212"/>
      <c r="C601" s="212"/>
      <c r="D601" s="212"/>
      <c r="E601" s="212"/>
      <c r="F601" s="212"/>
      <c r="G601" s="212"/>
      <c r="J601" s="212"/>
      <c r="K601" s="212"/>
      <c r="L601" s="212"/>
      <c r="M601" s="212"/>
    </row>
    <row r="602" spans="1:13" ht="12.75" customHeight="1">
      <c r="A602" s="212"/>
      <c r="B602" s="212"/>
      <c r="C602" s="212"/>
      <c r="D602" s="212"/>
      <c r="E602" s="212"/>
      <c r="F602" s="212"/>
      <c r="G602" s="212"/>
      <c r="J602" s="212"/>
      <c r="K602" s="212"/>
      <c r="L602" s="212"/>
      <c r="M602" s="212"/>
    </row>
    <row r="603" spans="1:13" ht="12.75" customHeight="1">
      <c r="A603" s="212"/>
      <c r="B603" s="212"/>
      <c r="C603" s="212"/>
      <c r="D603" s="212"/>
      <c r="E603" s="212"/>
      <c r="F603" s="212"/>
      <c r="G603" s="212"/>
      <c r="J603" s="212"/>
      <c r="K603" s="212"/>
      <c r="L603" s="212"/>
      <c r="M603" s="212"/>
    </row>
    <row r="604" spans="1:13" ht="12.75" customHeight="1">
      <c r="A604" s="212"/>
      <c r="B604" s="212"/>
      <c r="C604" s="212"/>
      <c r="D604" s="212"/>
      <c r="E604" s="212"/>
      <c r="F604" s="212"/>
      <c r="G604" s="212"/>
      <c r="J604" s="212"/>
      <c r="K604" s="212"/>
      <c r="L604" s="212"/>
      <c r="M604" s="212"/>
    </row>
    <row r="605" spans="1:13" ht="12.75" customHeight="1">
      <c r="A605" s="212"/>
      <c r="B605" s="212"/>
      <c r="C605" s="212"/>
      <c r="D605" s="212"/>
      <c r="E605" s="212"/>
      <c r="F605" s="212"/>
      <c r="G605" s="212"/>
      <c r="J605" s="212"/>
      <c r="K605" s="212"/>
      <c r="L605" s="212"/>
      <c r="M605" s="212"/>
    </row>
    <row r="606" spans="1:13" ht="12.75" customHeight="1">
      <c r="A606" s="212"/>
      <c r="B606" s="212"/>
      <c r="C606" s="212"/>
      <c r="D606" s="212"/>
      <c r="E606" s="212"/>
      <c r="F606" s="212"/>
      <c r="G606" s="212"/>
      <c r="J606" s="212"/>
      <c r="K606" s="212"/>
      <c r="L606" s="212"/>
      <c r="M606" s="212"/>
    </row>
    <row r="607" spans="1:13" ht="12.75" customHeight="1">
      <c r="A607" s="212"/>
      <c r="B607" s="212"/>
      <c r="C607" s="212"/>
      <c r="D607" s="212"/>
      <c r="E607" s="212"/>
      <c r="F607" s="212"/>
      <c r="G607" s="212"/>
      <c r="J607" s="212"/>
      <c r="K607" s="212"/>
      <c r="L607" s="212"/>
      <c r="M607" s="212"/>
    </row>
    <row r="608" spans="1:13" ht="12.75" customHeight="1">
      <c r="A608" s="212"/>
      <c r="B608" s="212"/>
      <c r="C608" s="212"/>
      <c r="D608" s="212"/>
      <c r="E608" s="212"/>
      <c r="F608" s="212"/>
      <c r="G608" s="212"/>
      <c r="J608" s="212"/>
      <c r="K608" s="212"/>
      <c r="L608" s="212"/>
      <c r="M608" s="212"/>
    </row>
    <row r="609" spans="1:13" ht="12.75" customHeight="1">
      <c r="A609" s="212"/>
      <c r="B609" s="212"/>
      <c r="C609" s="212"/>
      <c r="D609" s="212"/>
      <c r="E609" s="212"/>
      <c r="F609" s="212"/>
      <c r="G609" s="212"/>
      <c r="J609" s="212"/>
      <c r="K609" s="212"/>
      <c r="L609" s="212"/>
      <c r="M609" s="212"/>
    </row>
    <row r="610" spans="1:13" ht="12.75" customHeight="1">
      <c r="A610" s="212"/>
      <c r="B610" s="212"/>
      <c r="C610" s="212"/>
      <c r="D610" s="212"/>
      <c r="E610" s="212"/>
      <c r="F610" s="212"/>
      <c r="G610" s="212"/>
      <c r="J610" s="212"/>
      <c r="K610" s="212"/>
      <c r="L610" s="212"/>
      <c r="M610" s="212"/>
    </row>
    <row r="611" spans="1:13" ht="12.75" customHeight="1">
      <c r="A611" s="212"/>
      <c r="B611" s="212"/>
      <c r="C611" s="212"/>
      <c r="D611" s="212"/>
      <c r="E611" s="212"/>
      <c r="F611" s="212"/>
      <c r="G611" s="212"/>
      <c r="J611" s="212"/>
      <c r="K611" s="212"/>
      <c r="L611" s="212"/>
      <c r="M611" s="212"/>
    </row>
    <row r="612" spans="1:13" ht="12.75" customHeight="1">
      <c r="A612" s="212"/>
      <c r="B612" s="212"/>
      <c r="C612" s="212"/>
      <c r="D612" s="212"/>
      <c r="E612" s="212"/>
      <c r="F612" s="212"/>
      <c r="G612" s="212"/>
      <c r="J612" s="212"/>
      <c r="K612" s="212"/>
      <c r="L612" s="212"/>
      <c r="M612" s="212"/>
    </row>
    <row r="613" spans="1:13" ht="12.75" customHeight="1">
      <c r="A613" s="212"/>
      <c r="B613" s="212"/>
      <c r="C613" s="212"/>
      <c r="D613" s="212"/>
      <c r="E613" s="212"/>
      <c r="F613" s="212"/>
      <c r="G613" s="212"/>
      <c r="J613" s="212"/>
      <c r="K613" s="212"/>
      <c r="L613" s="212"/>
      <c r="M613" s="212"/>
    </row>
    <row r="614" spans="1:13" ht="12.75" customHeight="1">
      <c r="A614" s="212"/>
      <c r="B614" s="212"/>
      <c r="C614" s="212"/>
      <c r="D614" s="212"/>
      <c r="E614" s="212"/>
      <c r="F614" s="212"/>
      <c r="G614" s="212"/>
      <c r="J614" s="212"/>
      <c r="K614" s="212"/>
      <c r="L614" s="212"/>
      <c r="M614" s="212"/>
    </row>
    <row r="615" spans="1:13" ht="12.75" customHeight="1">
      <c r="A615" s="212"/>
      <c r="B615" s="212"/>
      <c r="C615" s="212"/>
      <c r="D615" s="212"/>
      <c r="E615" s="212"/>
      <c r="F615" s="212"/>
      <c r="G615" s="212"/>
      <c r="J615" s="212"/>
      <c r="K615" s="212"/>
      <c r="L615" s="212"/>
      <c r="M615" s="212"/>
    </row>
    <row r="616" spans="1:13" ht="12.75" customHeight="1">
      <c r="A616" s="212"/>
      <c r="B616" s="212"/>
      <c r="C616" s="212"/>
      <c r="D616" s="212"/>
      <c r="E616" s="212"/>
      <c r="F616" s="212"/>
      <c r="G616" s="212"/>
      <c r="J616" s="212"/>
      <c r="K616" s="212"/>
      <c r="L616" s="212"/>
      <c r="M616" s="212"/>
    </row>
    <row r="617" spans="1:13" ht="12.75" customHeight="1">
      <c r="A617" s="212"/>
      <c r="B617" s="212"/>
      <c r="C617" s="212"/>
      <c r="D617" s="212"/>
      <c r="E617" s="212"/>
      <c r="F617" s="212"/>
      <c r="G617" s="212"/>
      <c r="J617" s="212"/>
      <c r="K617" s="212"/>
      <c r="L617" s="212"/>
      <c r="M617" s="212"/>
    </row>
    <row r="618" spans="1:13" ht="12.75" customHeight="1">
      <c r="A618" s="212"/>
      <c r="B618" s="212"/>
      <c r="C618" s="212"/>
      <c r="D618" s="212"/>
      <c r="E618" s="212"/>
      <c r="F618" s="212"/>
      <c r="G618" s="212"/>
      <c r="J618" s="212"/>
      <c r="K618" s="212"/>
      <c r="L618" s="212"/>
      <c r="M618" s="212"/>
    </row>
    <row r="619" spans="1:13" ht="12.75" customHeight="1">
      <c r="A619" s="212"/>
      <c r="B619" s="212"/>
      <c r="C619" s="212"/>
      <c r="D619" s="212"/>
      <c r="E619" s="212"/>
      <c r="F619" s="212"/>
      <c r="G619" s="212"/>
      <c r="J619" s="212"/>
      <c r="K619" s="212"/>
      <c r="L619" s="212"/>
      <c r="M619" s="212"/>
    </row>
    <row r="620" spans="1:13" ht="12.75" customHeight="1">
      <c r="A620" s="212"/>
      <c r="B620" s="212"/>
      <c r="C620" s="212"/>
      <c r="D620" s="212"/>
      <c r="E620" s="212"/>
      <c r="F620" s="212"/>
      <c r="G620" s="212"/>
      <c r="J620" s="212"/>
      <c r="K620" s="212"/>
      <c r="L620" s="212"/>
      <c r="M620" s="212"/>
    </row>
    <row r="621" spans="1:13" ht="12.75" customHeight="1">
      <c r="A621" s="212"/>
      <c r="B621" s="212"/>
      <c r="C621" s="212"/>
      <c r="D621" s="212"/>
      <c r="E621" s="212"/>
      <c r="F621" s="212"/>
      <c r="G621" s="212"/>
      <c r="J621" s="212"/>
      <c r="K621" s="212"/>
      <c r="L621" s="212"/>
      <c r="M621" s="212"/>
    </row>
    <row r="622" spans="1:13" ht="12.75" customHeight="1">
      <c r="A622" s="212"/>
      <c r="B622" s="212"/>
      <c r="C622" s="212"/>
      <c r="D622" s="212"/>
      <c r="E622" s="212"/>
      <c r="F622" s="212"/>
      <c r="G622" s="212"/>
      <c r="J622" s="212"/>
      <c r="K622" s="212"/>
      <c r="L622" s="212"/>
      <c r="M622" s="212"/>
    </row>
    <row r="623" spans="1:13" ht="12.75" customHeight="1">
      <c r="A623" s="212"/>
      <c r="B623" s="212"/>
      <c r="C623" s="212"/>
      <c r="D623" s="212"/>
      <c r="E623" s="212"/>
      <c r="F623" s="212"/>
      <c r="G623" s="212"/>
      <c r="J623" s="212"/>
      <c r="K623" s="212"/>
      <c r="L623" s="212"/>
      <c r="M623" s="212"/>
    </row>
    <row r="624" spans="1:13" ht="12.75" customHeight="1">
      <c r="A624" s="212"/>
      <c r="B624" s="212"/>
      <c r="C624" s="212"/>
      <c r="D624" s="212"/>
      <c r="E624" s="212"/>
      <c r="F624" s="212"/>
      <c r="G624" s="212"/>
      <c r="J624" s="212"/>
      <c r="K624" s="212"/>
      <c r="L624" s="212"/>
      <c r="M624" s="212"/>
    </row>
    <row r="625" spans="1:13" ht="12.75" customHeight="1">
      <c r="A625" s="212"/>
      <c r="B625" s="212"/>
      <c r="C625" s="212"/>
      <c r="D625" s="212"/>
      <c r="E625" s="212"/>
      <c r="F625" s="212"/>
      <c r="G625" s="212"/>
      <c r="J625" s="212"/>
      <c r="K625" s="212"/>
      <c r="L625" s="212"/>
      <c r="M625" s="212"/>
    </row>
    <row r="626" spans="1:13" ht="12.75" customHeight="1">
      <c r="A626" s="212"/>
      <c r="B626" s="212"/>
      <c r="C626" s="212"/>
      <c r="D626" s="212"/>
      <c r="E626" s="212"/>
      <c r="F626" s="212"/>
      <c r="G626" s="212"/>
      <c r="J626" s="212"/>
      <c r="K626" s="212"/>
      <c r="L626" s="212"/>
      <c r="M626" s="212"/>
    </row>
    <row r="627" spans="1:13" ht="12.75" customHeight="1">
      <c r="A627" s="212"/>
      <c r="B627" s="212"/>
      <c r="C627" s="212"/>
      <c r="D627" s="212"/>
      <c r="E627" s="212"/>
      <c r="F627" s="212"/>
      <c r="G627" s="212"/>
      <c r="J627" s="212"/>
      <c r="K627" s="212"/>
      <c r="L627" s="212"/>
      <c r="M627" s="212"/>
    </row>
    <row r="628" spans="1:13" ht="12.75" customHeight="1">
      <c r="A628" s="212"/>
      <c r="B628" s="212"/>
      <c r="C628" s="212"/>
      <c r="D628" s="212"/>
      <c r="E628" s="212"/>
      <c r="F628" s="212"/>
      <c r="G628" s="212"/>
      <c r="J628" s="212"/>
      <c r="K628" s="212"/>
      <c r="L628" s="212"/>
      <c r="M628" s="212"/>
    </row>
    <row r="629" spans="1:13" ht="12.75" customHeight="1">
      <c r="A629" s="212"/>
      <c r="B629" s="212"/>
      <c r="C629" s="212"/>
      <c r="D629" s="212"/>
      <c r="E629" s="212"/>
      <c r="F629" s="212"/>
      <c r="G629" s="212"/>
      <c r="J629" s="212"/>
      <c r="K629" s="212"/>
      <c r="L629" s="212"/>
      <c r="M629" s="212"/>
    </row>
    <row r="630" spans="1:13" ht="12.75" customHeight="1">
      <c r="A630" s="212"/>
      <c r="B630" s="212"/>
      <c r="C630" s="212"/>
      <c r="D630" s="212"/>
      <c r="E630" s="212"/>
      <c r="F630" s="212"/>
      <c r="G630" s="212"/>
      <c r="J630" s="212"/>
      <c r="K630" s="212"/>
      <c r="L630" s="212"/>
      <c r="M630" s="212"/>
    </row>
    <row r="631" spans="1:13" ht="12.75" customHeight="1">
      <c r="A631" s="212"/>
      <c r="B631" s="212"/>
      <c r="C631" s="212"/>
      <c r="D631" s="212"/>
      <c r="E631" s="212"/>
      <c r="F631" s="212"/>
      <c r="G631" s="212"/>
      <c r="J631" s="212"/>
      <c r="K631" s="212"/>
      <c r="L631" s="212"/>
      <c r="M631" s="212"/>
    </row>
    <row r="632" spans="1:13" ht="12.75" customHeight="1">
      <c r="A632" s="212"/>
      <c r="B632" s="212"/>
      <c r="C632" s="212"/>
      <c r="D632" s="212"/>
      <c r="E632" s="212"/>
      <c r="F632" s="212"/>
      <c r="G632" s="212"/>
      <c r="J632" s="212"/>
      <c r="K632" s="212"/>
      <c r="L632" s="212"/>
      <c r="M632" s="212"/>
    </row>
    <row r="633" spans="1:13" ht="12.75" customHeight="1">
      <c r="A633" s="212"/>
      <c r="B633" s="212"/>
      <c r="C633" s="212"/>
      <c r="D633" s="212"/>
      <c r="E633" s="212"/>
      <c r="F633" s="212"/>
      <c r="G633" s="212"/>
      <c r="J633" s="212"/>
      <c r="K633" s="212"/>
      <c r="L633" s="212"/>
      <c r="M633" s="212"/>
    </row>
    <row r="634" spans="1:13" ht="12.75" customHeight="1">
      <c r="A634" s="212"/>
      <c r="B634" s="212"/>
      <c r="C634" s="212"/>
      <c r="D634" s="212"/>
      <c r="E634" s="212"/>
      <c r="F634" s="212"/>
      <c r="G634" s="212"/>
      <c r="J634" s="212"/>
      <c r="K634" s="212"/>
      <c r="L634" s="212"/>
      <c r="M634" s="212"/>
    </row>
    <row r="635" spans="1:13" ht="12.75" customHeight="1">
      <c r="A635" s="212"/>
      <c r="B635" s="212"/>
      <c r="C635" s="212"/>
      <c r="D635" s="212"/>
      <c r="E635" s="212"/>
      <c r="F635" s="212"/>
      <c r="G635" s="212"/>
      <c r="J635" s="212"/>
      <c r="K635" s="212"/>
      <c r="L635" s="212"/>
      <c r="M635" s="212"/>
    </row>
    <row r="636" spans="1:13" ht="12.75" customHeight="1">
      <c r="A636" s="212"/>
      <c r="B636" s="212"/>
      <c r="C636" s="212"/>
      <c r="D636" s="212"/>
      <c r="E636" s="212"/>
      <c r="F636" s="212"/>
      <c r="G636" s="212"/>
      <c r="J636" s="212"/>
      <c r="K636" s="212"/>
      <c r="L636" s="212"/>
      <c r="M636" s="212"/>
    </row>
    <row r="637" spans="1:13" ht="12.75" customHeight="1">
      <c r="A637" s="212"/>
      <c r="B637" s="212"/>
      <c r="C637" s="212"/>
      <c r="D637" s="212"/>
      <c r="E637" s="212"/>
      <c r="F637" s="212"/>
      <c r="G637" s="212"/>
      <c r="J637" s="212"/>
      <c r="K637" s="212"/>
      <c r="L637" s="212"/>
      <c r="M637" s="212"/>
    </row>
    <row r="638" spans="1:13" ht="12.75" customHeight="1">
      <c r="A638" s="212"/>
      <c r="B638" s="212"/>
      <c r="C638" s="212"/>
      <c r="D638" s="212"/>
      <c r="E638" s="212"/>
      <c r="F638" s="212"/>
      <c r="G638" s="212"/>
      <c r="J638" s="212"/>
      <c r="K638" s="212"/>
      <c r="L638" s="212"/>
      <c r="M638" s="212"/>
    </row>
    <row r="639" spans="1:13" ht="12.75" customHeight="1">
      <c r="A639" s="212"/>
      <c r="B639" s="212"/>
      <c r="C639" s="212"/>
      <c r="D639" s="212"/>
      <c r="E639" s="212"/>
      <c r="F639" s="212"/>
      <c r="G639" s="212"/>
      <c r="J639" s="212"/>
      <c r="K639" s="212"/>
      <c r="L639" s="212"/>
      <c r="M639" s="212"/>
    </row>
    <row r="640" spans="1:13" ht="12.75" customHeight="1">
      <c r="A640" s="212"/>
      <c r="B640" s="212"/>
      <c r="C640" s="212"/>
      <c r="D640" s="212"/>
      <c r="E640" s="212"/>
      <c r="F640" s="212"/>
      <c r="G640" s="212"/>
      <c r="J640" s="212"/>
      <c r="K640" s="212"/>
      <c r="L640" s="212"/>
      <c r="M640" s="212"/>
    </row>
    <row r="641" spans="1:13" ht="12.75" customHeight="1">
      <c r="A641" s="212"/>
      <c r="B641" s="212"/>
      <c r="C641" s="212"/>
      <c r="D641" s="212"/>
      <c r="E641" s="212"/>
      <c r="F641" s="212"/>
      <c r="G641" s="212"/>
      <c r="J641" s="212"/>
      <c r="K641" s="212"/>
      <c r="L641" s="212"/>
      <c r="M641" s="212"/>
    </row>
    <row r="642" spans="1:13" ht="12.75" customHeight="1">
      <c r="A642" s="212"/>
      <c r="B642" s="212"/>
      <c r="C642" s="212"/>
      <c r="D642" s="212"/>
      <c r="E642" s="212"/>
      <c r="F642" s="212"/>
      <c r="G642" s="212"/>
      <c r="J642" s="212"/>
      <c r="K642" s="212"/>
      <c r="L642" s="212"/>
      <c r="M642" s="212"/>
    </row>
    <row r="643" spans="1:13" ht="12.75" customHeight="1">
      <c r="A643" s="212"/>
      <c r="B643" s="212"/>
      <c r="C643" s="212"/>
      <c r="D643" s="212"/>
      <c r="E643" s="212"/>
      <c r="F643" s="212"/>
      <c r="G643" s="212"/>
      <c r="J643" s="212"/>
      <c r="K643" s="212"/>
      <c r="L643" s="212"/>
      <c r="M643" s="212"/>
    </row>
    <row r="644" spans="1:13" ht="12.75" customHeight="1">
      <c r="A644" s="212"/>
      <c r="B644" s="212"/>
      <c r="C644" s="212"/>
      <c r="D644" s="212"/>
      <c r="E644" s="212"/>
      <c r="F644" s="212"/>
      <c r="G644" s="212"/>
      <c r="J644" s="212"/>
      <c r="K644" s="212"/>
      <c r="L644" s="212"/>
      <c r="M644" s="212"/>
    </row>
    <row r="645" spans="1:13" ht="12.75" customHeight="1">
      <c r="A645" s="212"/>
      <c r="B645" s="212"/>
      <c r="C645" s="212"/>
      <c r="D645" s="212"/>
      <c r="E645" s="212"/>
      <c r="F645" s="212"/>
      <c r="G645" s="212"/>
      <c r="J645" s="212"/>
      <c r="K645" s="212"/>
      <c r="L645" s="212"/>
      <c r="M645" s="212"/>
    </row>
    <row r="646" spans="1:13" ht="12.75" customHeight="1">
      <c r="A646" s="212"/>
      <c r="B646" s="212"/>
      <c r="C646" s="212"/>
      <c r="D646" s="212"/>
      <c r="E646" s="212"/>
      <c r="F646" s="212"/>
      <c r="G646" s="212"/>
      <c r="J646" s="212"/>
      <c r="K646" s="212"/>
      <c r="L646" s="212"/>
      <c r="M646" s="212"/>
    </row>
    <row r="647" spans="1:13" ht="12.75" customHeight="1">
      <c r="A647" s="212"/>
      <c r="B647" s="212"/>
      <c r="C647" s="212"/>
      <c r="D647" s="212"/>
      <c r="E647" s="212"/>
      <c r="F647" s="212"/>
      <c r="G647" s="212"/>
      <c r="J647" s="212"/>
      <c r="K647" s="212"/>
      <c r="L647" s="212"/>
      <c r="M647" s="212"/>
    </row>
    <row r="648" spans="1:13" ht="12.75" customHeight="1">
      <c r="A648" s="212"/>
      <c r="B648" s="212"/>
      <c r="C648" s="212"/>
      <c r="D648" s="212"/>
      <c r="E648" s="212"/>
      <c r="F648" s="212"/>
      <c r="G648" s="212"/>
      <c r="J648" s="212"/>
      <c r="K648" s="212"/>
      <c r="L648" s="212"/>
      <c r="M648" s="212"/>
    </row>
    <row r="649" spans="1:13" ht="12.75" customHeight="1">
      <c r="A649" s="212"/>
      <c r="B649" s="212"/>
      <c r="C649" s="212"/>
      <c r="D649" s="212"/>
      <c r="E649" s="212"/>
      <c r="F649" s="212"/>
      <c r="G649" s="212"/>
      <c r="J649" s="212"/>
      <c r="K649" s="212"/>
      <c r="L649" s="212"/>
      <c r="M649" s="212"/>
    </row>
    <row r="650" spans="1:13" ht="12.75" customHeight="1">
      <c r="A650" s="212"/>
      <c r="B650" s="212"/>
      <c r="C650" s="212"/>
      <c r="D650" s="212"/>
      <c r="E650" s="212"/>
      <c r="F650" s="212"/>
      <c r="G650" s="212"/>
      <c r="J650" s="212"/>
      <c r="K650" s="212"/>
      <c r="L650" s="212"/>
      <c r="M650" s="212"/>
    </row>
    <row r="651" spans="1:13" ht="12.75" customHeight="1">
      <c r="A651" s="212"/>
      <c r="B651" s="212"/>
      <c r="C651" s="212"/>
      <c r="D651" s="212"/>
      <c r="E651" s="212"/>
      <c r="F651" s="212"/>
      <c r="G651" s="212"/>
      <c r="J651" s="212"/>
      <c r="K651" s="212"/>
      <c r="L651" s="212"/>
      <c r="M651" s="212"/>
    </row>
    <row r="652" spans="1:13" ht="12.75" customHeight="1">
      <c r="A652" s="212"/>
      <c r="B652" s="212"/>
      <c r="C652" s="212"/>
      <c r="D652" s="212"/>
      <c r="E652" s="212"/>
      <c r="F652" s="212"/>
      <c r="G652" s="212"/>
      <c r="J652" s="212"/>
      <c r="K652" s="212"/>
      <c r="L652" s="212"/>
      <c r="M652" s="212"/>
    </row>
    <row r="653" spans="1:13" ht="12.75" customHeight="1">
      <c r="A653" s="212"/>
      <c r="B653" s="212"/>
      <c r="C653" s="212"/>
      <c r="D653" s="212"/>
      <c r="E653" s="212"/>
      <c r="F653" s="212"/>
      <c r="G653" s="212"/>
      <c r="J653" s="212"/>
      <c r="K653" s="212"/>
      <c r="L653" s="212"/>
      <c r="M653" s="212"/>
    </row>
    <row r="654" spans="1:13" ht="12.75" customHeight="1">
      <c r="A654" s="212"/>
      <c r="B654" s="212"/>
      <c r="C654" s="212"/>
      <c r="D654" s="212"/>
      <c r="E654" s="212"/>
      <c r="F654" s="212"/>
      <c r="G654" s="212"/>
      <c r="J654" s="212"/>
      <c r="K654" s="212"/>
      <c r="L654" s="212"/>
      <c r="M654" s="212"/>
    </row>
    <row r="655" spans="1:13" ht="12.75" customHeight="1">
      <c r="A655" s="212"/>
      <c r="B655" s="212"/>
      <c r="C655" s="212"/>
      <c r="D655" s="212"/>
      <c r="E655" s="212"/>
      <c r="F655" s="212"/>
      <c r="G655" s="212"/>
      <c r="J655" s="212"/>
      <c r="K655" s="212"/>
      <c r="L655" s="212"/>
      <c r="M655" s="212"/>
    </row>
    <row r="656" spans="1:13" ht="12.75" customHeight="1">
      <c r="A656" s="212"/>
      <c r="B656" s="212"/>
      <c r="C656" s="212"/>
      <c r="D656" s="212"/>
      <c r="E656" s="212"/>
      <c r="F656" s="212"/>
      <c r="G656" s="212"/>
      <c r="J656" s="212"/>
      <c r="K656" s="212"/>
      <c r="L656" s="212"/>
      <c r="M656" s="212"/>
    </row>
    <row r="657" spans="1:13" ht="12.75" customHeight="1">
      <c r="A657" s="212"/>
      <c r="B657" s="212"/>
      <c r="C657" s="212"/>
      <c r="D657" s="212"/>
      <c r="E657" s="212"/>
      <c r="F657" s="212"/>
      <c r="G657" s="212"/>
      <c r="J657" s="212"/>
      <c r="K657" s="212"/>
      <c r="L657" s="212"/>
      <c r="M657" s="212"/>
    </row>
    <row r="658" spans="1:13" ht="12.75" customHeight="1">
      <c r="A658" s="212"/>
      <c r="B658" s="212"/>
      <c r="C658" s="212"/>
      <c r="D658" s="212"/>
      <c r="E658" s="212"/>
      <c r="F658" s="212"/>
      <c r="G658" s="212"/>
      <c r="J658" s="212"/>
      <c r="K658" s="212"/>
      <c r="L658" s="212"/>
      <c r="M658" s="212"/>
    </row>
    <row r="659" spans="1:13" ht="12.75" customHeight="1">
      <c r="A659" s="212"/>
      <c r="B659" s="212"/>
      <c r="C659" s="212"/>
      <c r="D659" s="212"/>
      <c r="E659" s="212"/>
      <c r="F659" s="212"/>
      <c r="G659" s="212"/>
      <c r="J659" s="212"/>
      <c r="K659" s="212"/>
      <c r="L659" s="212"/>
      <c r="M659" s="212"/>
    </row>
    <row r="660" spans="1:13" ht="12.75" customHeight="1">
      <c r="A660" s="212"/>
      <c r="B660" s="212"/>
      <c r="C660" s="212"/>
      <c r="D660" s="212"/>
      <c r="E660" s="212"/>
      <c r="F660" s="212"/>
      <c r="G660" s="212"/>
      <c r="J660" s="212"/>
      <c r="K660" s="212"/>
      <c r="L660" s="212"/>
      <c r="M660" s="212"/>
    </row>
    <row r="661" spans="1:13" ht="12.75" customHeight="1">
      <c r="A661" s="212"/>
      <c r="B661" s="212"/>
      <c r="C661" s="212"/>
      <c r="D661" s="212"/>
      <c r="E661" s="212"/>
      <c r="F661" s="212"/>
      <c r="G661" s="212"/>
      <c r="J661" s="212"/>
      <c r="K661" s="212"/>
      <c r="L661" s="212"/>
      <c r="M661" s="212"/>
    </row>
    <row r="662" spans="1:13" ht="12.75" customHeight="1">
      <c r="A662" s="212"/>
      <c r="B662" s="212"/>
      <c r="C662" s="212"/>
      <c r="D662" s="212"/>
      <c r="E662" s="212"/>
      <c r="F662" s="212"/>
      <c r="G662" s="212"/>
      <c r="J662" s="212"/>
      <c r="K662" s="212"/>
      <c r="L662" s="212"/>
      <c r="M662" s="212"/>
    </row>
    <row r="663" spans="1:13" ht="12.75" customHeight="1">
      <c r="A663" s="212"/>
      <c r="B663" s="212"/>
      <c r="C663" s="212"/>
      <c r="D663" s="212"/>
      <c r="E663" s="212"/>
      <c r="F663" s="212"/>
      <c r="G663" s="212"/>
      <c r="J663" s="212"/>
      <c r="K663" s="212"/>
      <c r="L663" s="212"/>
      <c r="M663" s="212"/>
    </row>
    <row r="664" spans="1:13" ht="12.75" customHeight="1">
      <c r="A664" s="212"/>
      <c r="B664" s="212"/>
      <c r="C664" s="212"/>
      <c r="D664" s="212"/>
      <c r="E664" s="212"/>
      <c r="F664" s="212"/>
      <c r="G664" s="212"/>
      <c r="J664" s="212"/>
      <c r="K664" s="212"/>
      <c r="L664" s="212"/>
      <c r="M664" s="212"/>
    </row>
    <row r="665" spans="1:13" ht="12.75" customHeight="1">
      <c r="A665" s="212"/>
      <c r="B665" s="212"/>
      <c r="C665" s="212"/>
      <c r="D665" s="212"/>
      <c r="E665" s="212"/>
      <c r="F665" s="212"/>
      <c r="G665" s="212"/>
      <c r="J665" s="212"/>
      <c r="K665" s="212"/>
      <c r="L665" s="212"/>
      <c r="M665" s="212"/>
    </row>
    <row r="666" spans="1:13" ht="12.75" customHeight="1">
      <c r="A666" s="212"/>
      <c r="B666" s="212"/>
      <c r="C666" s="212"/>
      <c r="D666" s="212"/>
      <c r="E666" s="212"/>
      <c r="F666" s="212"/>
      <c r="G666" s="212"/>
      <c r="J666" s="212"/>
      <c r="K666" s="212"/>
      <c r="L666" s="212"/>
      <c r="M666" s="212"/>
    </row>
    <row r="667" spans="1:13" ht="12.75" customHeight="1">
      <c r="A667" s="212"/>
      <c r="B667" s="212"/>
      <c r="C667" s="212"/>
      <c r="D667" s="212"/>
      <c r="E667" s="212"/>
      <c r="F667" s="212"/>
      <c r="G667" s="212"/>
      <c r="J667" s="212"/>
      <c r="K667" s="212"/>
      <c r="L667" s="212"/>
      <c r="M667" s="212"/>
    </row>
    <row r="668" spans="1:13" ht="12.75" customHeight="1">
      <c r="A668" s="212"/>
      <c r="B668" s="212"/>
      <c r="C668" s="212"/>
      <c r="D668" s="212"/>
      <c r="E668" s="212"/>
      <c r="F668" s="212"/>
      <c r="G668" s="212"/>
      <c r="J668" s="212"/>
      <c r="K668" s="212"/>
      <c r="L668" s="212"/>
      <c r="M668" s="212"/>
    </row>
    <row r="669" spans="1:13" ht="12.75" customHeight="1">
      <c r="A669" s="212"/>
      <c r="B669" s="212"/>
      <c r="C669" s="212"/>
      <c r="D669" s="212"/>
      <c r="E669" s="212"/>
      <c r="F669" s="212"/>
      <c r="G669" s="212"/>
      <c r="J669" s="212"/>
      <c r="K669" s="212"/>
      <c r="L669" s="212"/>
      <c r="M669" s="212"/>
    </row>
    <row r="670" spans="1:13" ht="12.75" customHeight="1">
      <c r="A670" s="212"/>
      <c r="B670" s="212"/>
      <c r="C670" s="212"/>
      <c r="D670" s="212"/>
      <c r="E670" s="212"/>
      <c r="F670" s="212"/>
      <c r="G670" s="212"/>
      <c r="J670" s="212"/>
      <c r="K670" s="212"/>
      <c r="L670" s="212"/>
      <c r="M670" s="212"/>
    </row>
    <row r="671" spans="1:13" ht="12.75" customHeight="1">
      <c r="A671" s="212"/>
      <c r="B671" s="212"/>
      <c r="C671" s="212"/>
      <c r="D671" s="212"/>
      <c r="E671" s="212"/>
      <c r="F671" s="212"/>
      <c r="G671" s="212"/>
      <c r="J671" s="212"/>
      <c r="K671" s="212"/>
      <c r="L671" s="212"/>
      <c r="M671" s="212"/>
    </row>
    <row r="672" spans="1:13" ht="12.75" customHeight="1">
      <c r="A672" s="212"/>
      <c r="B672" s="212"/>
      <c r="C672" s="212"/>
      <c r="D672" s="212"/>
      <c r="E672" s="212"/>
      <c r="F672" s="212"/>
      <c r="G672" s="212"/>
      <c r="J672" s="212"/>
      <c r="K672" s="212"/>
      <c r="L672" s="212"/>
      <c r="M672" s="212"/>
    </row>
    <row r="673" spans="1:13" ht="12.75" customHeight="1">
      <c r="A673" s="212"/>
      <c r="B673" s="212"/>
      <c r="C673" s="212"/>
      <c r="D673" s="212"/>
      <c r="E673" s="212"/>
      <c r="F673" s="212"/>
      <c r="G673" s="212"/>
      <c r="J673" s="212"/>
      <c r="K673" s="212"/>
      <c r="L673" s="212"/>
      <c r="M673" s="212"/>
    </row>
    <row r="674" spans="1:13" ht="12.75" customHeight="1">
      <c r="A674" s="212"/>
      <c r="B674" s="212"/>
      <c r="C674" s="212"/>
      <c r="D674" s="212"/>
      <c r="E674" s="212"/>
      <c r="F674" s="212"/>
      <c r="G674" s="212"/>
      <c r="J674" s="212"/>
      <c r="K674" s="212"/>
      <c r="L674" s="212"/>
      <c r="M674" s="212"/>
    </row>
    <row r="675" spans="1:13" ht="12.75" customHeight="1">
      <c r="A675" s="212"/>
      <c r="B675" s="212"/>
      <c r="C675" s="212"/>
      <c r="D675" s="212"/>
      <c r="E675" s="212"/>
      <c r="F675" s="212"/>
      <c r="G675" s="212"/>
      <c r="J675" s="212"/>
      <c r="K675" s="212"/>
      <c r="L675" s="212"/>
      <c r="M675" s="212"/>
    </row>
    <row r="676" spans="1:13" ht="12.75" customHeight="1">
      <c r="A676" s="212"/>
      <c r="B676" s="212"/>
      <c r="C676" s="212"/>
      <c r="D676" s="212"/>
      <c r="E676" s="212"/>
      <c r="F676" s="212"/>
      <c r="G676" s="212"/>
      <c r="J676" s="212"/>
      <c r="K676" s="212"/>
      <c r="L676" s="212"/>
      <c r="M676" s="212"/>
    </row>
    <row r="677" spans="1:13" ht="12.75" customHeight="1">
      <c r="A677" s="212"/>
      <c r="B677" s="212"/>
      <c r="C677" s="212"/>
      <c r="D677" s="212"/>
      <c r="E677" s="212"/>
      <c r="F677" s="212"/>
      <c r="G677" s="212"/>
      <c r="J677" s="212"/>
      <c r="K677" s="212"/>
      <c r="L677" s="212"/>
      <c r="M677" s="212"/>
    </row>
    <row r="678" spans="1:13" ht="12.75" customHeight="1">
      <c r="A678" s="212"/>
      <c r="B678" s="212"/>
      <c r="C678" s="212"/>
      <c r="D678" s="212"/>
      <c r="E678" s="212"/>
      <c r="F678" s="212"/>
      <c r="G678" s="212"/>
      <c r="J678" s="212"/>
      <c r="K678" s="212"/>
      <c r="L678" s="212"/>
      <c r="M678" s="212"/>
    </row>
    <row r="679" spans="1:13" ht="12.75" customHeight="1">
      <c r="A679" s="212"/>
      <c r="B679" s="212"/>
      <c r="C679" s="212"/>
      <c r="D679" s="212"/>
      <c r="E679" s="212"/>
      <c r="F679" s="212"/>
      <c r="G679" s="212"/>
      <c r="J679" s="212"/>
      <c r="K679" s="212"/>
      <c r="L679" s="212"/>
      <c r="M679" s="212"/>
    </row>
    <row r="680" spans="1:13" ht="12.75" customHeight="1">
      <c r="A680" s="212"/>
      <c r="B680" s="212"/>
      <c r="C680" s="212"/>
      <c r="D680" s="212"/>
      <c r="E680" s="212"/>
      <c r="F680" s="212"/>
      <c r="G680" s="212"/>
      <c r="J680" s="212"/>
      <c r="K680" s="212"/>
      <c r="L680" s="212"/>
      <c r="M680" s="212"/>
    </row>
    <row r="681" spans="1:13" ht="12.75" customHeight="1">
      <c r="A681" s="212"/>
      <c r="B681" s="212"/>
      <c r="C681" s="212"/>
      <c r="D681" s="212"/>
      <c r="E681" s="212"/>
      <c r="F681" s="212"/>
      <c r="G681" s="212"/>
      <c r="J681" s="212"/>
      <c r="K681" s="212"/>
      <c r="L681" s="212"/>
      <c r="M681" s="212"/>
    </row>
    <row r="682" spans="1:13" ht="12.75" customHeight="1">
      <c r="A682" s="212"/>
      <c r="B682" s="212"/>
      <c r="C682" s="212"/>
      <c r="D682" s="212"/>
      <c r="E682" s="212"/>
      <c r="F682" s="212"/>
      <c r="G682" s="212"/>
      <c r="J682" s="212"/>
      <c r="K682" s="212"/>
      <c r="L682" s="212"/>
      <c r="M682" s="212"/>
    </row>
    <row r="683" spans="1:13" ht="12.75" customHeight="1">
      <c r="A683" s="212"/>
      <c r="B683" s="212"/>
      <c r="C683" s="212"/>
      <c r="D683" s="212"/>
      <c r="E683" s="212"/>
      <c r="F683" s="212"/>
      <c r="G683" s="212"/>
      <c r="J683" s="212"/>
      <c r="K683" s="212"/>
      <c r="L683" s="212"/>
      <c r="M683" s="212"/>
    </row>
    <row r="684" spans="1:13" ht="12.75" customHeight="1">
      <c r="A684" s="212"/>
      <c r="B684" s="212"/>
      <c r="C684" s="212"/>
      <c r="D684" s="212"/>
      <c r="E684" s="212"/>
      <c r="F684" s="212"/>
      <c r="G684" s="212"/>
      <c r="J684" s="212"/>
      <c r="K684" s="212"/>
      <c r="L684" s="212"/>
      <c r="M684" s="212"/>
    </row>
    <row r="685" spans="1:13" ht="12.75" customHeight="1">
      <c r="A685" s="212"/>
      <c r="B685" s="212"/>
      <c r="C685" s="212"/>
      <c r="D685" s="212"/>
      <c r="E685" s="212"/>
      <c r="F685" s="212"/>
      <c r="G685" s="212"/>
      <c r="J685" s="212"/>
      <c r="K685" s="212"/>
      <c r="L685" s="212"/>
      <c r="M685" s="212"/>
    </row>
    <row r="686" spans="1:13" ht="12.75" customHeight="1">
      <c r="A686" s="212"/>
      <c r="B686" s="212"/>
      <c r="C686" s="212"/>
      <c r="D686" s="212"/>
      <c r="E686" s="212"/>
      <c r="F686" s="212"/>
      <c r="G686" s="212"/>
      <c r="J686" s="212"/>
      <c r="K686" s="212"/>
      <c r="L686" s="212"/>
      <c r="M686" s="212"/>
    </row>
    <row r="687" spans="1:13" ht="12.75" customHeight="1">
      <c r="A687" s="212"/>
      <c r="B687" s="212"/>
      <c r="C687" s="212"/>
      <c r="D687" s="212"/>
      <c r="E687" s="212"/>
      <c r="F687" s="212"/>
      <c r="G687" s="212"/>
      <c r="J687" s="212"/>
      <c r="K687" s="212"/>
      <c r="L687" s="212"/>
      <c r="M687" s="212"/>
    </row>
    <row r="688" spans="1:13" ht="12.75" customHeight="1">
      <c r="A688" s="212"/>
      <c r="B688" s="212"/>
      <c r="C688" s="212"/>
      <c r="D688" s="212"/>
      <c r="E688" s="212"/>
      <c r="F688" s="212"/>
      <c r="G688" s="212"/>
      <c r="J688" s="212"/>
      <c r="K688" s="212"/>
      <c r="L688" s="212"/>
      <c r="M688" s="212"/>
    </row>
    <row r="689" spans="1:13" ht="12.75" customHeight="1">
      <c r="A689" s="212"/>
      <c r="B689" s="212"/>
      <c r="C689" s="212"/>
      <c r="D689" s="212"/>
      <c r="E689" s="212"/>
      <c r="F689" s="212"/>
      <c r="G689" s="212"/>
      <c r="J689" s="212"/>
      <c r="K689" s="212"/>
      <c r="L689" s="212"/>
      <c r="M689" s="212"/>
    </row>
    <row r="690" spans="1:13" ht="12.75" customHeight="1">
      <c r="A690" s="212"/>
      <c r="B690" s="212"/>
      <c r="C690" s="212"/>
      <c r="D690" s="212"/>
      <c r="E690" s="212"/>
      <c r="F690" s="212"/>
      <c r="G690" s="212"/>
      <c r="J690" s="212"/>
      <c r="K690" s="212"/>
      <c r="L690" s="212"/>
      <c r="M690" s="212"/>
    </row>
    <row r="691" spans="1:13" ht="12.75" customHeight="1">
      <c r="A691" s="212"/>
      <c r="B691" s="212"/>
      <c r="C691" s="212"/>
      <c r="D691" s="212"/>
      <c r="E691" s="212"/>
      <c r="F691" s="212"/>
      <c r="G691" s="212"/>
      <c r="J691" s="212"/>
      <c r="K691" s="212"/>
      <c r="L691" s="212"/>
      <c r="M691" s="212"/>
    </row>
    <row r="692" spans="1:13" ht="12.75" customHeight="1">
      <c r="A692" s="212"/>
      <c r="B692" s="212"/>
      <c r="C692" s="212"/>
      <c r="D692" s="212"/>
      <c r="E692" s="212"/>
      <c r="F692" s="212"/>
      <c r="G692" s="212"/>
      <c r="J692" s="212"/>
      <c r="K692" s="212"/>
      <c r="L692" s="212"/>
      <c r="M692" s="212"/>
    </row>
    <row r="693" spans="1:13" ht="12.75" customHeight="1">
      <c r="A693" s="212"/>
      <c r="B693" s="212"/>
      <c r="C693" s="212"/>
      <c r="D693" s="212"/>
      <c r="E693" s="212"/>
      <c r="F693" s="212"/>
      <c r="G693" s="212"/>
      <c r="J693" s="212"/>
      <c r="K693" s="212"/>
      <c r="L693" s="212"/>
      <c r="M693" s="212"/>
    </row>
    <row r="694" spans="1:13" ht="12.75" customHeight="1">
      <c r="A694" s="212"/>
      <c r="B694" s="212"/>
      <c r="C694" s="212"/>
      <c r="D694" s="212"/>
      <c r="E694" s="212"/>
      <c r="F694" s="212"/>
      <c r="G694" s="212"/>
      <c r="J694" s="212"/>
      <c r="K694" s="212"/>
      <c r="L694" s="212"/>
      <c r="M694" s="212"/>
    </row>
    <row r="695" spans="1:13" ht="12.75" customHeight="1">
      <c r="A695" s="212"/>
      <c r="B695" s="212"/>
      <c r="C695" s="212"/>
      <c r="D695" s="212"/>
      <c r="E695" s="212"/>
      <c r="F695" s="212"/>
      <c r="G695" s="212"/>
      <c r="J695" s="212"/>
      <c r="K695" s="212"/>
      <c r="L695" s="212"/>
      <c r="M695" s="212"/>
    </row>
    <row r="696" spans="1:13" ht="12.75" customHeight="1">
      <c r="A696" s="212"/>
      <c r="B696" s="212"/>
      <c r="C696" s="212"/>
      <c r="D696" s="212"/>
      <c r="E696" s="212"/>
      <c r="F696" s="212"/>
      <c r="G696" s="212"/>
      <c r="J696" s="212"/>
      <c r="K696" s="212"/>
      <c r="L696" s="212"/>
      <c r="M696" s="212"/>
    </row>
    <row r="697" spans="1:13" ht="12.75" customHeight="1">
      <c r="A697" s="212"/>
      <c r="B697" s="212"/>
      <c r="C697" s="212"/>
      <c r="D697" s="212"/>
      <c r="E697" s="212"/>
      <c r="F697" s="212"/>
      <c r="G697" s="212"/>
      <c r="J697" s="212"/>
      <c r="K697" s="212"/>
      <c r="L697" s="212"/>
      <c r="M697" s="212"/>
    </row>
    <row r="698" spans="1:13" ht="12.75" customHeight="1">
      <c r="A698" s="212"/>
      <c r="B698" s="212"/>
      <c r="C698" s="212"/>
      <c r="D698" s="212"/>
      <c r="E698" s="212"/>
      <c r="F698" s="212"/>
      <c r="G698" s="212"/>
      <c r="J698" s="212"/>
      <c r="K698" s="212"/>
      <c r="L698" s="212"/>
      <c r="M698" s="212"/>
    </row>
    <row r="699" spans="1:13" ht="12.75" customHeight="1">
      <c r="A699" s="212"/>
      <c r="B699" s="212"/>
      <c r="C699" s="212"/>
      <c r="D699" s="212"/>
      <c r="E699" s="212"/>
      <c r="F699" s="212"/>
      <c r="G699" s="212"/>
      <c r="J699" s="212"/>
      <c r="K699" s="212"/>
      <c r="L699" s="212"/>
      <c r="M699" s="212"/>
    </row>
    <row r="700" spans="1:13" ht="12.75" customHeight="1">
      <c r="A700" s="212"/>
      <c r="B700" s="212"/>
      <c r="C700" s="212"/>
      <c r="D700" s="212"/>
      <c r="E700" s="212"/>
      <c r="F700" s="212"/>
      <c r="G700" s="212"/>
      <c r="J700" s="212"/>
      <c r="K700" s="212"/>
      <c r="L700" s="212"/>
      <c r="M700" s="212"/>
    </row>
    <row r="701" spans="1:13" ht="12.75" customHeight="1">
      <c r="A701" s="212"/>
      <c r="B701" s="212"/>
      <c r="C701" s="212"/>
      <c r="D701" s="212"/>
      <c r="E701" s="212"/>
      <c r="F701" s="212"/>
      <c r="G701" s="212"/>
      <c r="J701" s="212"/>
      <c r="K701" s="212"/>
      <c r="L701" s="212"/>
      <c r="M701" s="212"/>
    </row>
    <row r="702" spans="1:13" ht="12.75" customHeight="1">
      <c r="A702" s="212"/>
      <c r="B702" s="212"/>
      <c r="C702" s="212"/>
      <c r="D702" s="212"/>
      <c r="E702" s="212"/>
      <c r="F702" s="212"/>
      <c r="G702" s="212"/>
      <c r="J702" s="212"/>
      <c r="K702" s="212"/>
      <c r="L702" s="212"/>
      <c r="M702" s="212"/>
    </row>
    <row r="703" spans="1:13" ht="12.75" customHeight="1">
      <c r="A703" s="212"/>
      <c r="B703" s="212"/>
      <c r="C703" s="212"/>
      <c r="D703" s="212"/>
      <c r="E703" s="212"/>
      <c r="F703" s="212"/>
      <c r="G703" s="212"/>
      <c r="J703" s="212"/>
      <c r="K703" s="212"/>
      <c r="L703" s="212"/>
      <c r="M703" s="212"/>
    </row>
    <row r="704" spans="1:13" ht="12.75" customHeight="1">
      <c r="A704" s="212"/>
      <c r="B704" s="212"/>
      <c r="C704" s="212"/>
      <c r="D704" s="212"/>
      <c r="E704" s="212"/>
      <c r="F704" s="212"/>
      <c r="G704" s="212"/>
      <c r="J704" s="212"/>
      <c r="K704" s="212"/>
      <c r="L704" s="212"/>
      <c r="M704" s="212"/>
    </row>
    <row r="705" spans="1:13" ht="12.75" customHeight="1">
      <c r="A705" s="212"/>
      <c r="B705" s="212"/>
      <c r="C705" s="212"/>
      <c r="D705" s="212"/>
      <c r="E705" s="212"/>
      <c r="F705" s="212"/>
      <c r="G705" s="212"/>
      <c r="J705" s="212"/>
      <c r="K705" s="212"/>
      <c r="L705" s="212"/>
      <c r="M705" s="212"/>
    </row>
    <row r="706" spans="1:13" ht="12.75" customHeight="1">
      <c r="A706" s="212"/>
      <c r="B706" s="212"/>
      <c r="C706" s="212"/>
      <c r="D706" s="212"/>
      <c r="E706" s="212"/>
      <c r="F706" s="212"/>
      <c r="G706" s="212"/>
      <c r="J706" s="212"/>
      <c r="K706" s="212"/>
      <c r="L706" s="212"/>
      <c r="M706" s="212"/>
    </row>
    <row r="707" spans="1:13" ht="12.75" customHeight="1">
      <c r="A707" s="212"/>
      <c r="B707" s="212"/>
      <c r="C707" s="212"/>
      <c r="D707" s="212"/>
      <c r="E707" s="212"/>
      <c r="F707" s="212"/>
      <c r="G707" s="212"/>
      <c r="J707" s="212"/>
      <c r="K707" s="212"/>
      <c r="L707" s="212"/>
      <c r="M707" s="212"/>
    </row>
    <row r="708" spans="1:13" ht="12.75" customHeight="1">
      <c r="A708" s="212"/>
      <c r="B708" s="212"/>
      <c r="C708" s="212"/>
      <c r="D708" s="212"/>
      <c r="E708" s="212"/>
      <c r="F708" s="212"/>
      <c r="G708" s="212"/>
      <c r="J708" s="212"/>
      <c r="K708" s="212"/>
      <c r="L708" s="212"/>
      <c r="M708" s="212"/>
    </row>
    <row r="709" spans="1:13" ht="12.75" customHeight="1">
      <c r="A709" s="212"/>
      <c r="B709" s="212"/>
      <c r="C709" s="212"/>
      <c r="D709" s="212"/>
      <c r="E709" s="212"/>
      <c r="F709" s="212"/>
      <c r="G709" s="212"/>
      <c r="J709" s="212"/>
      <c r="K709" s="212"/>
      <c r="L709" s="212"/>
      <c r="M709" s="212"/>
    </row>
    <row r="710" spans="1:13" ht="12.75" customHeight="1">
      <c r="A710" s="212"/>
      <c r="B710" s="212"/>
      <c r="C710" s="212"/>
      <c r="D710" s="212"/>
      <c r="E710" s="212"/>
      <c r="F710" s="212"/>
      <c r="G710" s="212"/>
      <c r="J710" s="212"/>
      <c r="K710" s="212"/>
      <c r="L710" s="212"/>
      <c r="M710" s="212"/>
    </row>
    <row r="711" spans="1:13" ht="12.75" customHeight="1">
      <c r="A711" s="212"/>
      <c r="B711" s="212"/>
      <c r="C711" s="212"/>
      <c r="D711" s="212"/>
      <c r="E711" s="212"/>
      <c r="F711" s="212"/>
      <c r="G711" s="212"/>
      <c r="J711" s="212"/>
      <c r="K711" s="212"/>
      <c r="L711" s="212"/>
      <c r="M711" s="212"/>
    </row>
    <row r="712" spans="1:13" ht="12.75" customHeight="1">
      <c r="A712" s="212"/>
      <c r="B712" s="212"/>
      <c r="C712" s="212"/>
      <c r="D712" s="212"/>
      <c r="E712" s="212"/>
      <c r="F712" s="212"/>
      <c r="G712" s="212"/>
      <c r="J712" s="212"/>
      <c r="K712" s="212"/>
      <c r="L712" s="212"/>
      <c r="M712" s="212"/>
    </row>
    <row r="713" spans="1:13" ht="12.75" customHeight="1">
      <c r="A713" s="212"/>
      <c r="B713" s="212"/>
      <c r="C713" s="212"/>
      <c r="D713" s="212"/>
      <c r="E713" s="212"/>
      <c r="F713" s="212"/>
      <c r="G713" s="212"/>
      <c r="J713" s="212"/>
      <c r="K713" s="212"/>
      <c r="L713" s="212"/>
      <c r="M713" s="212"/>
    </row>
    <row r="714" spans="1:13" ht="12.75" customHeight="1">
      <c r="A714" s="212"/>
      <c r="B714" s="212"/>
      <c r="C714" s="212"/>
      <c r="D714" s="212"/>
      <c r="E714" s="212"/>
      <c r="F714" s="212"/>
      <c r="G714" s="212"/>
      <c r="J714" s="212"/>
      <c r="K714" s="212"/>
      <c r="L714" s="212"/>
      <c r="M714" s="212"/>
    </row>
    <row r="715" spans="1:13" ht="12.75" customHeight="1">
      <c r="A715" s="212"/>
      <c r="B715" s="212"/>
      <c r="C715" s="212"/>
      <c r="D715" s="212"/>
      <c r="E715" s="212"/>
      <c r="F715" s="212"/>
      <c r="G715" s="212"/>
      <c r="J715" s="212"/>
      <c r="K715" s="212"/>
      <c r="L715" s="212"/>
      <c r="M715" s="212"/>
    </row>
    <row r="716" spans="1:13" ht="12.75" customHeight="1">
      <c r="A716" s="212"/>
      <c r="B716" s="212"/>
      <c r="C716" s="212"/>
      <c r="D716" s="212"/>
      <c r="E716" s="212"/>
      <c r="F716" s="212"/>
      <c r="G716" s="212"/>
      <c r="J716" s="212"/>
      <c r="K716" s="212"/>
      <c r="L716" s="212"/>
      <c r="M716" s="212"/>
    </row>
    <row r="717" spans="1:13" ht="12.75" customHeight="1">
      <c r="A717" s="212"/>
      <c r="B717" s="212"/>
      <c r="C717" s="212"/>
      <c r="D717" s="212"/>
      <c r="E717" s="212"/>
      <c r="F717" s="212"/>
      <c r="G717" s="212"/>
      <c r="J717" s="212"/>
      <c r="K717" s="212"/>
      <c r="L717" s="212"/>
      <c r="M717" s="212"/>
    </row>
    <row r="718" spans="1:13" ht="12.75" customHeight="1">
      <c r="A718" s="212"/>
      <c r="B718" s="212"/>
      <c r="C718" s="212"/>
      <c r="D718" s="212"/>
      <c r="E718" s="212"/>
      <c r="F718" s="212"/>
      <c r="G718" s="212"/>
      <c r="J718" s="212"/>
      <c r="K718" s="212"/>
      <c r="L718" s="212"/>
      <c r="M718" s="212"/>
    </row>
    <row r="719" spans="1:13" ht="12.75" customHeight="1">
      <c r="A719" s="212"/>
      <c r="B719" s="212"/>
      <c r="C719" s="212"/>
      <c r="D719" s="212"/>
      <c r="E719" s="212"/>
      <c r="F719" s="212"/>
      <c r="G719" s="212"/>
      <c r="J719" s="212"/>
      <c r="K719" s="212"/>
      <c r="L719" s="212"/>
      <c r="M719" s="212"/>
    </row>
    <row r="720" spans="1:13" ht="12.75" customHeight="1">
      <c r="A720" s="212"/>
      <c r="B720" s="212"/>
      <c r="C720" s="212"/>
      <c r="D720" s="212"/>
      <c r="E720" s="212"/>
      <c r="F720" s="212"/>
      <c r="G720" s="212"/>
      <c r="J720" s="212"/>
      <c r="K720" s="212"/>
      <c r="L720" s="212"/>
      <c r="M720" s="212"/>
    </row>
    <row r="721" spans="1:13" ht="12.75" customHeight="1">
      <c r="A721" s="212"/>
      <c r="B721" s="212"/>
      <c r="C721" s="212"/>
      <c r="D721" s="212"/>
      <c r="E721" s="212"/>
      <c r="F721" s="212"/>
      <c r="G721" s="212"/>
      <c r="J721" s="212"/>
      <c r="K721" s="212"/>
      <c r="L721" s="212"/>
      <c r="M721" s="212"/>
    </row>
    <row r="722" spans="1:13" ht="12.75" customHeight="1">
      <c r="A722" s="212"/>
      <c r="B722" s="212"/>
      <c r="C722" s="212"/>
      <c r="D722" s="212"/>
      <c r="E722" s="212"/>
      <c r="F722" s="212"/>
      <c r="G722" s="212"/>
      <c r="J722" s="212"/>
      <c r="K722" s="212"/>
      <c r="L722" s="212"/>
      <c r="M722" s="212"/>
    </row>
    <row r="723" spans="1:13" ht="12.75" customHeight="1">
      <c r="A723" s="212"/>
      <c r="B723" s="212"/>
      <c r="C723" s="212"/>
      <c r="D723" s="212"/>
      <c r="E723" s="212"/>
      <c r="F723" s="212"/>
      <c r="G723" s="212"/>
      <c r="J723" s="212"/>
      <c r="K723" s="212"/>
      <c r="L723" s="212"/>
      <c r="M723" s="212"/>
    </row>
    <row r="724" spans="1:13" ht="12.75" customHeight="1">
      <c r="A724" s="212"/>
      <c r="B724" s="212"/>
      <c r="C724" s="212"/>
      <c r="D724" s="212"/>
      <c r="E724" s="212"/>
      <c r="F724" s="212"/>
      <c r="G724" s="212"/>
      <c r="J724" s="212"/>
      <c r="K724" s="212"/>
      <c r="L724" s="212"/>
      <c r="M724" s="212"/>
    </row>
    <row r="725" spans="1:13" ht="12.75" customHeight="1">
      <c r="A725" s="212"/>
      <c r="B725" s="212"/>
      <c r="C725" s="212"/>
      <c r="D725" s="212"/>
      <c r="E725" s="212"/>
      <c r="F725" s="212"/>
      <c r="G725" s="212"/>
      <c r="J725" s="212"/>
      <c r="K725" s="212"/>
      <c r="L725" s="212"/>
      <c r="M725" s="212"/>
    </row>
    <row r="726" spans="1:13" ht="12.75" customHeight="1">
      <c r="A726" s="212"/>
      <c r="B726" s="212"/>
      <c r="C726" s="212"/>
      <c r="D726" s="212"/>
      <c r="E726" s="212"/>
      <c r="F726" s="212"/>
      <c r="G726" s="212"/>
      <c r="J726" s="212"/>
      <c r="K726" s="212"/>
      <c r="L726" s="212"/>
      <c r="M726" s="212"/>
    </row>
    <row r="727" spans="1:13" ht="12.75" customHeight="1">
      <c r="A727" s="212"/>
      <c r="B727" s="212"/>
      <c r="C727" s="212"/>
      <c r="D727" s="212"/>
      <c r="E727" s="212"/>
      <c r="F727" s="212"/>
      <c r="G727" s="212"/>
      <c r="J727" s="212"/>
      <c r="K727" s="212"/>
      <c r="L727" s="212"/>
      <c r="M727" s="212"/>
    </row>
    <row r="728" spans="1:13" ht="12.75" customHeight="1">
      <c r="A728" s="212"/>
      <c r="B728" s="212"/>
      <c r="C728" s="212"/>
      <c r="D728" s="212"/>
      <c r="E728" s="212"/>
      <c r="F728" s="212"/>
      <c r="G728" s="212"/>
      <c r="J728" s="212"/>
      <c r="K728" s="212"/>
      <c r="L728" s="212"/>
      <c r="M728" s="212"/>
    </row>
    <row r="729" spans="1:13" ht="12.75" customHeight="1">
      <c r="A729" s="212"/>
      <c r="B729" s="212"/>
      <c r="C729" s="212"/>
      <c r="D729" s="212"/>
      <c r="E729" s="212"/>
      <c r="F729" s="212"/>
      <c r="G729" s="212"/>
      <c r="J729" s="212"/>
      <c r="K729" s="212"/>
      <c r="L729" s="212"/>
      <c r="M729" s="212"/>
    </row>
    <row r="730" spans="1:13" ht="12.75" customHeight="1">
      <c r="A730" s="212"/>
      <c r="B730" s="212"/>
      <c r="C730" s="212"/>
      <c r="D730" s="212"/>
      <c r="E730" s="212"/>
      <c r="F730" s="212"/>
      <c r="G730" s="212"/>
      <c r="J730" s="212"/>
      <c r="K730" s="212"/>
      <c r="L730" s="212"/>
      <c r="M730" s="212"/>
    </row>
    <row r="731" spans="1:13" ht="12.75" customHeight="1">
      <c r="A731" s="212"/>
      <c r="B731" s="212"/>
      <c r="C731" s="212"/>
      <c r="D731" s="212"/>
      <c r="E731" s="212"/>
      <c r="F731" s="212"/>
      <c r="G731" s="212"/>
      <c r="J731" s="212"/>
      <c r="K731" s="212"/>
      <c r="L731" s="212"/>
      <c r="M731" s="212"/>
    </row>
    <row r="732" spans="1:13" ht="12.75" customHeight="1">
      <c r="A732" s="212"/>
      <c r="B732" s="212"/>
      <c r="C732" s="212"/>
      <c r="D732" s="212"/>
      <c r="E732" s="212"/>
      <c r="F732" s="212"/>
      <c r="G732" s="212"/>
      <c r="J732" s="212"/>
      <c r="K732" s="212"/>
      <c r="L732" s="212"/>
      <c r="M732" s="212"/>
    </row>
    <row r="733" spans="1:13" ht="12.75" customHeight="1">
      <c r="A733" s="212"/>
      <c r="B733" s="212"/>
      <c r="C733" s="212"/>
      <c r="D733" s="212"/>
      <c r="E733" s="212"/>
      <c r="F733" s="212"/>
      <c r="G733" s="212"/>
      <c r="J733" s="212"/>
      <c r="K733" s="212"/>
      <c r="L733" s="212"/>
      <c r="M733" s="212"/>
    </row>
    <row r="734" spans="1:13" ht="12.75" customHeight="1">
      <c r="A734" s="212"/>
      <c r="B734" s="212"/>
      <c r="C734" s="212"/>
      <c r="D734" s="212"/>
      <c r="E734" s="212"/>
      <c r="F734" s="212"/>
      <c r="G734" s="212"/>
      <c r="J734" s="212"/>
      <c r="K734" s="212"/>
      <c r="L734" s="212"/>
      <c r="M734" s="212"/>
    </row>
    <row r="735" spans="1:13" ht="12.75" customHeight="1">
      <c r="A735" s="212"/>
      <c r="B735" s="212"/>
      <c r="C735" s="212"/>
      <c r="D735" s="212"/>
      <c r="E735" s="212"/>
      <c r="F735" s="212"/>
      <c r="G735" s="212"/>
      <c r="J735" s="212"/>
      <c r="K735" s="212"/>
      <c r="L735" s="212"/>
      <c r="M735" s="212"/>
    </row>
    <row r="736" spans="1:13" ht="12.75" customHeight="1">
      <c r="A736" s="212"/>
      <c r="B736" s="212"/>
      <c r="C736" s="212"/>
      <c r="D736" s="212"/>
      <c r="E736" s="212"/>
      <c r="F736" s="212"/>
      <c r="G736" s="212"/>
      <c r="J736" s="212"/>
      <c r="K736" s="212"/>
      <c r="L736" s="212"/>
      <c r="M736" s="212"/>
    </row>
    <row r="737" spans="1:13" ht="12.75" customHeight="1">
      <c r="A737" s="212"/>
      <c r="B737" s="212"/>
      <c r="C737" s="212"/>
      <c r="D737" s="212"/>
      <c r="E737" s="212"/>
      <c r="F737" s="212"/>
      <c r="G737" s="212"/>
      <c r="J737" s="212"/>
      <c r="K737" s="212"/>
      <c r="L737" s="212"/>
      <c r="M737" s="212"/>
    </row>
    <row r="738" spans="1:13" ht="12.75" customHeight="1">
      <c r="A738" s="212"/>
      <c r="B738" s="212"/>
      <c r="C738" s="212"/>
      <c r="D738" s="212"/>
      <c r="E738" s="212"/>
      <c r="F738" s="212"/>
      <c r="G738" s="212"/>
      <c r="J738" s="212"/>
      <c r="K738" s="212"/>
      <c r="L738" s="212"/>
      <c r="M738" s="212"/>
    </row>
    <row r="739" spans="1:13" ht="12.75" customHeight="1">
      <c r="A739" s="212"/>
      <c r="B739" s="212"/>
      <c r="C739" s="212"/>
      <c r="D739" s="212"/>
      <c r="E739" s="212"/>
      <c r="F739" s="212"/>
      <c r="G739" s="212"/>
      <c r="J739" s="212"/>
      <c r="K739" s="212"/>
      <c r="L739" s="212"/>
      <c r="M739" s="212"/>
    </row>
    <row r="740" spans="1:13" ht="12.75" customHeight="1">
      <c r="A740" s="212"/>
      <c r="B740" s="212"/>
      <c r="C740" s="212"/>
      <c r="D740" s="212"/>
      <c r="E740" s="212"/>
      <c r="F740" s="212"/>
      <c r="G740" s="212"/>
      <c r="J740" s="212"/>
      <c r="K740" s="212"/>
      <c r="L740" s="212"/>
      <c r="M740" s="212"/>
    </row>
    <row r="741" spans="1:13" ht="12.75" customHeight="1">
      <c r="A741" s="212"/>
      <c r="B741" s="212"/>
      <c r="C741" s="212"/>
      <c r="D741" s="212"/>
      <c r="E741" s="212"/>
      <c r="F741" s="212"/>
      <c r="G741" s="212"/>
      <c r="J741" s="212"/>
      <c r="K741" s="212"/>
      <c r="L741" s="212"/>
      <c r="M741" s="212"/>
    </row>
    <row r="742" spans="1:13" ht="12.75" customHeight="1">
      <c r="A742" s="212"/>
      <c r="B742" s="212"/>
      <c r="C742" s="212"/>
      <c r="D742" s="212"/>
      <c r="E742" s="212"/>
      <c r="F742" s="212"/>
      <c r="G742" s="212"/>
      <c r="J742" s="212"/>
      <c r="K742" s="212"/>
      <c r="L742" s="212"/>
      <c r="M742" s="212"/>
    </row>
    <row r="743" spans="1:13" ht="12.75" customHeight="1">
      <c r="A743" s="212"/>
      <c r="B743" s="212"/>
      <c r="C743" s="212"/>
      <c r="D743" s="212"/>
      <c r="E743" s="212"/>
      <c r="F743" s="212"/>
      <c r="G743" s="212"/>
      <c r="J743" s="212"/>
      <c r="K743" s="212"/>
      <c r="L743" s="212"/>
      <c r="M743" s="212"/>
    </row>
    <row r="744" spans="1:13" ht="12.75" customHeight="1">
      <c r="A744" s="212"/>
      <c r="B744" s="212"/>
      <c r="C744" s="212"/>
      <c r="D744" s="212"/>
      <c r="E744" s="212"/>
      <c r="F744" s="212"/>
      <c r="G744" s="212"/>
      <c r="J744" s="212"/>
      <c r="K744" s="212"/>
      <c r="L744" s="212"/>
      <c r="M744" s="212"/>
    </row>
    <row r="745" spans="1:13" ht="12.75" customHeight="1">
      <c r="A745" s="212"/>
      <c r="B745" s="212"/>
      <c r="C745" s="212"/>
      <c r="D745" s="212"/>
      <c r="E745" s="212"/>
      <c r="F745" s="212"/>
      <c r="G745" s="212"/>
      <c r="J745" s="212"/>
      <c r="K745" s="212"/>
      <c r="L745" s="212"/>
      <c r="M745" s="212"/>
    </row>
    <row r="746" spans="1:13" ht="12.75" customHeight="1">
      <c r="A746" s="212"/>
      <c r="B746" s="212"/>
      <c r="C746" s="212"/>
      <c r="D746" s="212"/>
      <c r="E746" s="212"/>
      <c r="F746" s="212"/>
      <c r="G746" s="212"/>
      <c r="J746" s="212"/>
      <c r="K746" s="212"/>
      <c r="L746" s="212"/>
      <c r="M746" s="212"/>
    </row>
    <row r="747" spans="1:13" ht="12.75" customHeight="1">
      <c r="A747" s="212"/>
      <c r="B747" s="212"/>
      <c r="C747" s="212"/>
      <c r="D747" s="212"/>
      <c r="E747" s="212"/>
      <c r="F747" s="212"/>
      <c r="G747" s="212"/>
      <c r="J747" s="212"/>
      <c r="K747" s="212"/>
      <c r="L747" s="212"/>
      <c r="M747" s="212"/>
    </row>
    <row r="748" spans="1:13" ht="12.75" customHeight="1">
      <c r="A748" s="212"/>
      <c r="B748" s="212"/>
      <c r="C748" s="212"/>
      <c r="D748" s="212"/>
      <c r="E748" s="212"/>
      <c r="F748" s="212"/>
      <c r="G748" s="212"/>
      <c r="J748" s="212"/>
      <c r="K748" s="212"/>
      <c r="L748" s="212"/>
      <c r="M748" s="212"/>
    </row>
    <row r="749" spans="1:13" ht="12.75" customHeight="1">
      <c r="A749" s="212"/>
      <c r="B749" s="212"/>
      <c r="C749" s="212"/>
      <c r="D749" s="212"/>
      <c r="E749" s="212"/>
      <c r="F749" s="212"/>
      <c r="G749" s="212"/>
      <c r="J749" s="212"/>
      <c r="K749" s="212"/>
      <c r="L749" s="212"/>
      <c r="M749" s="212"/>
    </row>
    <row r="750" spans="1:13" ht="12.75" customHeight="1">
      <c r="A750" s="212"/>
      <c r="B750" s="212"/>
      <c r="C750" s="212"/>
      <c r="D750" s="212"/>
      <c r="E750" s="212"/>
      <c r="F750" s="212"/>
      <c r="G750" s="212"/>
      <c r="J750" s="212"/>
      <c r="K750" s="212"/>
      <c r="L750" s="212"/>
      <c r="M750" s="212"/>
    </row>
    <row r="751" spans="1:13" ht="12.75" customHeight="1">
      <c r="A751" s="212"/>
      <c r="B751" s="212"/>
      <c r="C751" s="212"/>
      <c r="D751" s="212"/>
      <c r="E751" s="212"/>
      <c r="F751" s="212"/>
      <c r="G751" s="212"/>
      <c r="J751" s="212"/>
      <c r="K751" s="212"/>
      <c r="L751" s="212"/>
      <c r="M751" s="212"/>
    </row>
    <row r="752" spans="1:13" ht="12.75" customHeight="1">
      <c r="A752" s="212"/>
      <c r="B752" s="212"/>
      <c r="C752" s="212"/>
      <c r="D752" s="212"/>
      <c r="E752" s="212"/>
      <c r="F752" s="212"/>
      <c r="G752" s="212"/>
      <c r="J752" s="212"/>
      <c r="K752" s="212"/>
      <c r="L752" s="212"/>
      <c r="M752" s="212"/>
    </row>
    <row r="753" spans="1:13" ht="12.75" customHeight="1">
      <c r="A753" s="212"/>
      <c r="B753" s="212"/>
      <c r="C753" s="212"/>
      <c r="D753" s="212"/>
      <c r="E753" s="212"/>
      <c r="F753" s="212"/>
      <c r="G753" s="212"/>
      <c r="J753" s="212"/>
      <c r="K753" s="212"/>
      <c r="L753" s="212"/>
      <c r="M753" s="212"/>
    </row>
    <row r="754" spans="1:13" ht="12.75" customHeight="1">
      <c r="A754" s="212"/>
      <c r="B754" s="212"/>
      <c r="C754" s="212"/>
      <c r="D754" s="212"/>
      <c r="E754" s="212"/>
      <c r="F754" s="212"/>
      <c r="G754" s="212"/>
      <c r="J754" s="212"/>
      <c r="K754" s="212"/>
      <c r="L754" s="212"/>
      <c r="M754" s="212"/>
    </row>
    <row r="755" spans="1:13" ht="12.75" customHeight="1">
      <c r="A755" s="212"/>
      <c r="B755" s="212"/>
      <c r="C755" s="212"/>
      <c r="D755" s="212"/>
      <c r="E755" s="212"/>
      <c r="F755" s="212"/>
      <c r="G755" s="212"/>
      <c r="J755" s="212"/>
      <c r="K755" s="212"/>
      <c r="L755" s="212"/>
      <c r="M755" s="212"/>
    </row>
    <row r="756" spans="1:13" ht="12.75" customHeight="1">
      <c r="A756" s="212"/>
      <c r="B756" s="212"/>
      <c r="C756" s="212"/>
      <c r="D756" s="212"/>
      <c r="E756" s="212"/>
      <c r="F756" s="212"/>
      <c r="G756" s="212"/>
      <c r="J756" s="212"/>
      <c r="K756" s="212"/>
      <c r="L756" s="212"/>
      <c r="M756" s="212"/>
    </row>
    <row r="757" spans="1:13" ht="12.75" customHeight="1">
      <c r="A757" s="212"/>
      <c r="B757" s="212"/>
      <c r="C757" s="212"/>
      <c r="D757" s="212"/>
      <c r="E757" s="212"/>
      <c r="F757" s="212"/>
      <c r="G757" s="212"/>
      <c r="J757" s="212"/>
      <c r="K757" s="212"/>
      <c r="L757" s="212"/>
      <c r="M757" s="212"/>
    </row>
    <row r="758" spans="1:13" ht="12.75" customHeight="1">
      <c r="A758" s="212"/>
      <c r="B758" s="212"/>
      <c r="C758" s="212"/>
      <c r="D758" s="212"/>
      <c r="E758" s="212"/>
      <c r="F758" s="212"/>
      <c r="G758" s="212"/>
      <c r="J758" s="212"/>
      <c r="K758" s="212"/>
      <c r="L758" s="212"/>
      <c r="M758" s="212"/>
    </row>
    <row r="759" spans="1:13" ht="12.75" customHeight="1">
      <c r="A759" s="212"/>
      <c r="B759" s="212"/>
      <c r="C759" s="212"/>
      <c r="D759" s="212"/>
      <c r="E759" s="212"/>
      <c r="F759" s="212"/>
      <c r="G759" s="212"/>
      <c r="J759" s="212"/>
      <c r="K759" s="212"/>
      <c r="L759" s="212"/>
      <c r="M759" s="212"/>
    </row>
    <row r="760" spans="1:13" ht="12.75" customHeight="1">
      <c r="A760" s="212"/>
      <c r="B760" s="212"/>
      <c r="C760" s="212"/>
      <c r="D760" s="212"/>
      <c r="E760" s="212"/>
      <c r="F760" s="212"/>
      <c r="G760" s="212"/>
      <c r="J760" s="212"/>
      <c r="K760" s="212"/>
      <c r="L760" s="212"/>
      <c r="M760" s="212"/>
    </row>
    <row r="761" spans="1:13" ht="12.75" customHeight="1">
      <c r="A761" s="212"/>
      <c r="B761" s="212"/>
      <c r="C761" s="212"/>
      <c r="D761" s="212"/>
      <c r="E761" s="212"/>
      <c r="F761" s="212"/>
      <c r="G761" s="212"/>
      <c r="J761" s="212"/>
      <c r="K761" s="212"/>
      <c r="L761" s="212"/>
      <c r="M761" s="212"/>
    </row>
    <row r="762" spans="1:13" ht="12.75" customHeight="1">
      <c r="A762" s="212"/>
      <c r="B762" s="212"/>
      <c r="C762" s="212"/>
      <c r="D762" s="212"/>
      <c r="E762" s="212"/>
      <c r="F762" s="212"/>
      <c r="G762" s="212"/>
      <c r="J762" s="212"/>
      <c r="K762" s="212"/>
      <c r="L762" s="212"/>
      <c r="M762" s="212"/>
    </row>
    <row r="763" spans="1:13" ht="12.75" customHeight="1">
      <c r="A763" s="212"/>
      <c r="B763" s="212"/>
      <c r="C763" s="212"/>
      <c r="D763" s="212"/>
      <c r="E763" s="212"/>
      <c r="F763" s="212"/>
      <c r="G763" s="212"/>
      <c r="J763" s="212"/>
      <c r="K763" s="212"/>
      <c r="L763" s="212"/>
      <c r="M763" s="212"/>
    </row>
    <row r="764" spans="1:13" ht="12.75" customHeight="1">
      <c r="A764" s="212"/>
      <c r="B764" s="212"/>
      <c r="C764" s="212"/>
      <c r="D764" s="212"/>
      <c r="E764" s="212"/>
      <c r="F764" s="212"/>
      <c r="G764" s="212"/>
      <c r="J764" s="212"/>
      <c r="K764" s="212"/>
      <c r="L764" s="212"/>
      <c r="M764" s="212"/>
    </row>
    <row r="765" spans="1:13" ht="12.75" customHeight="1">
      <c r="A765" s="212"/>
      <c r="B765" s="212"/>
      <c r="C765" s="212"/>
      <c r="D765" s="212"/>
      <c r="E765" s="212"/>
      <c r="F765" s="212"/>
      <c r="G765" s="212"/>
      <c r="J765" s="212"/>
      <c r="K765" s="212"/>
      <c r="L765" s="212"/>
      <c r="M765" s="212"/>
    </row>
    <row r="766" spans="1:13" ht="12.75" customHeight="1">
      <c r="A766" s="212"/>
      <c r="B766" s="212"/>
      <c r="C766" s="212"/>
      <c r="D766" s="212"/>
      <c r="E766" s="212"/>
      <c r="F766" s="212"/>
      <c r="G766" s="212"/>
      <c r="J766" s="212"/>
      <c r="K766" s="212"/>
      <c r="L766" s="212"/>
      <c r="M766" s="212"/>
    </row>
    <row r="767" spans="1:13" ht="12.75" customHeight="1">
      <c r="A767" s="212"/>
      <c r="B767" s="212"/>
      <c r="C767" s="212"/>
      <c r="D767" s="212"/>
      <c r="E767" s="212"/>
      <c r="F767" s="212"/>
      <c r="G767" s="212"/>
      <c r="J767" s="212"/>
      <c r="K767" s="212"/>
      <c r="L767" s="212"/>
      <c r="M767" s="212"/>
    </row>
    <row r="768" spans="1:13" ht="12.75" customHeight="1">
      <c r="A768" s="212"/>
      <c r="B768" s="212"/>
      <c r="C768" s="212"/>
      <c r="D768" s="212"/>
      <c r="E768" s="212"/>
      <c r="F768" s="212"/>
      <c r="G768" s="212"/>
      <c r="J768" s="212"/>
      <c r="K768" s="212"/>
      <c r="L768" s="212"/>
      <c r="M768" s="212"/>
    </row>
    <row r="769" spans="1:13" ht="12.75" customHeight="1">
      <c r="A769" s="212"/>
      <c r="B769" s="212"/>
      <c r="C769" s="212"/>
      <c r="D769" s="212"/>
      <c r="E769" s="212"/>
      <c r="F769" s="212"/>
      <c r="G769" s="212"/>
      <c r="J769" s="212"/>
      <c r="K769" s="212"/>
      <c r="L769" s="212"/>
      <c r="M769" s="212"/>
    </row>
    <row r="770" spans="1:13" ht="12.75" customHeight="1">
      <c r="A770" s="212"/>
      <c r="B770" s="212"/>
      <c r="C770" s="212"/>
      <c r="D770" s="212"/>
      <c r="E770" s="212"/>
      <c r="F770" s="212"/>
      <c r="G770" s="212"/>
      <c r="J770" s="212"/>
      <c r="K770" s="212"/>
      <c r="L770" s="212"/>
      <c r="M770" s="212"/>
    </row>
    <row r="771" spans="1:13" ht="12.75" customHeight="1">
      <c r="A771" s="212"/>
      <c r="B771" s="212"/>
      <c r="C771" s="212"/>
      <c r="D771" s="212"/>
      <c r="E771" s="212"/>
      <c r="F771" s="212"/>
      <c r="G771" s="212"/>
      <c r="J771" s="212"/>
      <c r="K771" s="212"/>
      <c r="L771" s="212"/>
      <c r="M771" s="212"/>
    </row>
    <row r="772" spans="1:13" ht="12.75" customHeight="1">
      <c r="A772" s="212"/>
      <c r="B772" s="212"/>
      <c r="C772" s="212"/>
      <c r="D772" s="212"/>
      <c r="E772" s="212"/>
      <c r="F772" s="212"/>
      <c r="G772" s="212"/>
      <c r="J772" s="212"/>
      <c r="K772" s="212"/>
      <c r="L772" s="212"/>
      <c r="M772" s="212"/>
    </row>
    <row r="773" spans="1:13" ht="12.75" customHeight="1">
      <c r="A773" s="212"/>
      <c r="B773" s="212"/>
      <c r="C773" s="212"/>
      <c r="D773" s="212"/>
      <c r="E773" s="212"/>
      <c r="F773" s="212"/>
      <c r="G773" s="212"/>
      <c r="J773" s="212"/>
      <c r="K773" s="212"/>
      <c r="L773" s="212"/>
      <c r="M773" s="212"/>
    </row>
    <row r="774" spans="1:13" ht="12.75" customHeight="1">
      <c r="A774" s="212"/>
      <c r="B774" s="212"/>
      <c r="C774" s="212"/>
      <c r="D774" s="212"/>
      <c r="E774" s="212"/>
      <c r="F774" s="212"/>
      <c r="G774" s="212"/>
      <c r="J774" s="212"/>
      <c r="K774" s="212"/>
      <c r="L774" s="212"/>
      <c r="M774" s="212"/>
    </row>
    <row r="775" spans="1:13" ht="12.75" customHeight="1">
      <c r="A775" s="212"/>
      <c r="B775" s="212"/>
      <c r="C775" s="212"/>
      <c r="D775" s="212"/>
      <c r="E775" s="212"/>
      <c r="F775" s="212"/>
      <c r="G775" s="212"/>
      <c r="J775" s="212"/>
      <c r="K775" s="212"/>
      <c r="L775" s="212"/>
      <c r="M775" s="212"/>
    </row>
    <row r="776" spans="1:13" ht="12.75" customHeight="1">
      <c r="A776" s="212"/>
      <c r="B776" s="212"/>
      <c r="C776" s="212"/>
      <c r="D776" s="212"/>
      <c r="E776" s="212"/>
      <c r="F776" s="212"/>
      <c r="G776" s="212"/>
      <c r="J776" s="212"/>
      <c r="K776" s="212"/>
      <c r="L776" s="212"/>
      <c r="M776" s="212"/>
    </row>
    <row r="777" spans="1:13" ht="12.75" customHeight="1">
      <c r="A777" s="212"/>
      <c r="B777" s="212"/>
      <c r="C777" s="212"/>
      <c r="D777" s="212"/>
      <c r="E777" s="212"/>
      <c r="F777" s="212"/>
      <c r="G777" s="212"/>
      <c r="J777" s="212"/>
      <c r="K777" s="212"/>
      <c r="L777" s="212"/>
      <c r="M777" s="212"/>
    </row>
    <row r="778" spans="1:13" ht="12.75" customHeight="1">
      <c r="A778" s="212"/>
      <c r="B778" s="212"/>
      <c r="C778" s="212"/>
      <c r="D778" s="212"/>
      <c r="E778" s="212"/>
      <c r="F778" s="212"/>
      <c r="G778" s="212"/>
      <c r="J778" s="212"/>
      <c r="K778" s="212"/>
      <c r="L778" s="212"/>
      <c r="M778" s="212"/>
    </row>
    <row r="779" spans="1:13" ht="12.75" customHeight="1">
      <c r="A779" s="212"/>
      <c r="B779" s="212"/>
      <c r="C779" s="212"/>
      <c r="D779" s="212"/>
      <c r="E779" s="212"/>
      <c r="F779" s="212"/>
      <c r="G779" s="212"/>
      <c r="J779" s="212"/>
      <c r="K779" s="212"/>
      <c r="L779" s="212"/>
      <c r="M779" s="212"/>
    </row>
    <row r="780" spans="1:13" ht="12.75" customHeight="1">
      <c r="A780" s="212"/>
      <c r="B780" s="212"/>
      <c r="C780" s="212"/>
      <c r="D780" s="212"/>
      <c r="E780" s="212"/>
      <c r="F780" s="212"/>
      <c r="G780" s="212"/>
      <c r="J780" s="212"/>
      <c r="K780" s="212"/>
      <c r="L780" s="212"/>
      <c r="M780" s="212"/>
    </row>
    <row r="781" spans="1:13" ht="12.75" customHeight="1">
      <c r="A781" s="212"/>
      <c r="B781" s="212"/>
      <c r="C781" s="212"/>
      <c r="D781" s="212"/>
      <c r="E781" s="212"/>
      <c r="F781" s="212"/>
      <c r="G781" s="212"/>
      <c r="J781" s="212"/>
      <c r="K781" s="212"/>
      <c r="L781" s="212"/>
      <c r="M781" s="212"/>
    </row>
    <row r="782" spans="1:13" ht="12.75" customHeight="1">
      <c r="A782" s="212"/>
      <c r="B782" s="212"/>
      <c r="C782" s="212"/>
      <c r="D782" s="212"/>
      <c r="E782" s="212"/>
      <c r="F782" s="212"/>
      <c r="G782" s="212"/>
      <c r="J782" s="212"/>
      <c r="K782" s="212"/>
      <c r="L782" s="212"/>
      <c r="M782" s="212"/>
    </row>
    <row r="783" spans="1:13" ht="12.75" customHeight="1">
      <c r="A783" s="212"/>
      <c r="B783" s="212"/>
      <c r="C783" s="212"/>
      <c r="D783" s="212"/>
      <c r="E783" s="212"/>
      <c r="F783" s="212"/>
      <c r="G783" s="212"/>
      <c r="J783" s="212"/>
      <c r="K783" s="212"/>
      <c r="L783" s="212"/>
      <c r="M783" s="212"/>
    </row>
    <row r="784" spans="1:13" ht="12.75" customHeight="1">
      <c r="A784" s="212"/>
      <c r="B784" s="212"/>
      <c r="C784" s="212"/>
      <c r="D784" s="212"/>
      <c r="E784" s="212"/>
      <c r="F784" s="212"/>
      <c r="G784" s="212"/>
      <c r="J784" s="212"/>
      <c r="K784" s="212"/>
      <c r="L784" s="212"/>
      <c r="M784" s="212"/>
    </row>
    <row r="785" spans="1:13" ht="12.75" customHeight="1">
      <c r="A785" s="212"/>
      <c r="B785" s="212"/>
      <c r="C785" s="212"/>
      <c r="D785" s="212"/>
      <c r="E785" s="212"/>
      <c r="F785" s="212"/>
      <c r="G785" s="212"/>
      <c r="J785" s="212"/>
      <c r="K785" s="212"/>
      <c r="L785" s="212"/>
      <c r="M785" s="212"/>
    </row>
    <row r="786" spans="1:13" ht="12.75" customHeight="1">
      <c r="A786" s="212"/>
      <c r="B786" s="212"/>
      <c r="C786" s="212"/>
      <c r="D786" s="212"/>
      <c r="E786" s="212"/>
      <c r="F786" s="212"/>
      <c r="G786" s="212"/>
      <c r="J786" s="212"/>
      <c r="K786" s="212"/>
      <c r="L786" s="212"/>
      <c r="M786" s="212"/>
    </row>
    <row r="787" spans="1:13" ht="12.75" customHeight="1">
      <c r="A787" s="212"/>
      <c r="B787" s="212"/>
      <c r="C787" s="212"/>
      <c r="D787" s="212"/>
      <c r="E787" s="212"/>
      <c r="F787" s="212"/>
      <c r="G787" s="212"/>
      <c r="J787" s="212"/>
      <c r="K787" s="212"/>
      <c r="L787" s="212"/>
      <c r="M787" s="212"/>
    </row>
    <row r="788" spans="1:13" ht="12.75" customHeight="1">
      <c r="A788" s="212"/>
      <c r="B788" s="212"/>
      <c r="C788" s="212"/>
      <c r="D788" s="212"/>
      <c r="E788" s="212"/>
      <c r="F788" s="212"/>
      <c r="G788" s="212"/>
      <c r="J788" s="212"/>
      <c r="K788" s="212"/>
      <c r="L788" s="212"/>
      <c r="M788" s="212"/>
    </row>
    <row r="789" spans="1:13" ht="12.75" customHeight="1">
      <c r="A789" s="212"/>
      <c r="B789" s="212"/>
      <c r="C789" s="212"/>
      <c r="D789" s="212"/>
      <c r="E789" s="212"/>
      <c r="F789" s="212"/>
      <c r="G789" s="212"/>
      <c r="J789" s="212"/>
      <c r="K789" s="212"/>
      <c r="L789" s="212"/>
      <c r="M789" s="212"/>
    </row>
    <row r="790" spans="1:13" ht="12.75" customHeight="1">
      <c r="A790" s="212"/>
      <c r="B790" s="212"/>
      <c r="C790" s="212"/>
      <c r="D790" s="212"/>
      <c r="E790" s="212"/>
      <c r="F790" s="212"/>
      <c r="G790" s="212"/>
      <c r="J790" s="212"/>
      <c r="K790" s="212"/>
      <c r="L790" s="212"/>
      <c r="M790" s="212"/>
    </row>
    <row r="791" spans="1:13" ht="12.75" customHeight="1">
      <c r="A791" s="212"/>
      <c r="B791" s="212"/>
      <c r="C791" s="212"/>
      <c r="D791" s="212"/>
      <c r="E791" s="212"/>
      <c r="F791" s="212"/>
      <c r="G791" s="212"/>
      <c r="J791" s="212"/>
      <c r="K791" s="212"/>
      <c r="L791" s="212"/>
      <c r="M791" s="212"/>
    </row>
    <row r="792" spans="1:13" ht="12.75" customHeight="1">
      <c r="A792" s="212"/>
      <c r="B792" s="212"/>
      <c r="C792" s="212"/>
      <c r="D792" s="212"/>
      <c r="E792" s="212"/>
      <c r="F792" s="212"/>
      <c r="G792" s="212"/>
      <c r="J792" s="212"/>
      <c r="K792" s="212"/>
      <c r="L792" s="212"/>
      <c r="M792" s="212"/>
    </row>
    <row r="793" spans="1:13" ht="12.75" customHeight="1">
      <c r="A793" s="212"/>
      <c r="B793" s="212"/>
      <c r="C793" s="212"/>
      <c r="D793" s="212"/>
      <c r="E793" s="212"/>
      <c r="F793" s="212"/>
      <c r="G793" s="212"/>
      <c r="J793" s="212"/>
      <c r="K793" s="212"/>
      <c r="L793" s="212"/>
      <c r="M793" s="212"/>
    </row>
    <row r="794" spans="1:13" ht="12.75" customHeight="1">
      <c r="A794" s="212"/>
      <c r="B794" s="212"/>
      <c r="C794" s="212"/>
      <c r="D794" s="212"/>
      <c r="E794" s="212"/>
      <c r="F794" s="212"/>
      <c r="G794" s="212"/>
      <c r="J794" s="212"/>
      <c r="K794" s="212"/>
      <c r="L794" s="212"/>
      <c r="M794" s="212"/>
    </row>
    <row r="795" spans="1:13" ht="12.75" customHeight="1">
      <c r="A795" s="212"/>
      <c r="B795" s="212"/>
      <c r="C795" s="212"/>
      <c r="D795" s="212"/>
      <c r="E795" s="212"/>
      <c r="F795" s="212"/>
      <c r="G795" s="212"/>
      <c r="J795" s="212"/>
      <c r="K795" s="212"/>
      <c r="L795" s="212"/>
      <c r="M795" s="212"/>
    </row>
    <row r="796" spans="1:13" ht="12.75" customHeight="1">
      <c r="A796" s="212"/>
      <c r="B796" s="212"/>
      <c r="C796" s="212"/>
      <c r="D796" s="212"/>
      <c r="E796" s="212"/>
      <c r="F796" s="212"/>
      <c r="G796" s="212"/>
      <c r="J796" s="212"/>
      <c r="K796" s="212"/>
      <c r="L796" s="212"/>
      <c r="M796" s="212"/>
    </row>
    <row r="797" spans="1:13" ht="12.75" customHeight="1">
      <c r="A797" s="212"/>
      <c r="B797" s="212"/>
      <c r="C797" s="212"/>
      <c r="D797" s="212"/>
      <c r="E797" s="212"/>
      <c r="F797" s="212"/>
      <c r="G797" s="212"/>
      <c r="J797" s="212"/>
      <c r="K797" s="212"/>
      <c r="L797" s="212"/>
      <c r="M797" s="212"/>
    </row>
    <row r="798" spans="1:13" ht="12.75" customHeight="1">
      <c r="A798" s="212"/>
      <c r="B798" s="212"/>
      <c r="C798" s="212"/>
      <c r="D798" s="212"/>
      <c r="E798" s="212"/>
      <c r="F798" s="212"/>
      <c r="G798" s="212"/>
      <c r="J798" s="212"/>
      <c r="K798" s="212"/>
      <c r="L798" s="212"/>
      <c r="M798" s="212"/>
    </row>
    <row r="799" spans="1:13" ht="12.75" customHeight="1">
      <c r="A799" s="212"/>
      <c r="B799" s="212"/>
      <c r="C799" s="212"/>
      <c r="D799" s="212"/>
      <c r="E799" s="212"/>
      <c r="F799" s="212"/>
      <c r="G799" s="212"/>
      <c r="J799" s="212"/>
      <c r="K799" s="212"/>
      <c r="L799" s="212"/>
      <c r="M799" s="212"/>
    </row>
    <row r="800" spans="1:13" ht="12.75" customHeight="1">
      <c r="A800" s="212"/>
      <c r="B800" s="212"/>
      <c r="C800" s="212"/>
      <c r="D800" s="212"/>
      <c r="E800" s="212"/>
      <c r="F800" s="212"/>
      <c r="G800" s="212"/>
      <c r="J800" s="212"/>
      <c r="K800" s="212"/>
      <c r="L800" s="212"/>
      <c r="M800" s="212"/>
    </row>
    <row r="801" spans="1:13" ht="12.75" customHeight="1">
      <c r="A801" s="212"/>
      <c r="B801" s="212"/>
      <c r="C801" s="212"/>
      <c r="D801" s="212"/>
      <c r="E801" s="212"/>
      <c r="F801" s="212"/>
      <c r="G801" s="212"/>
      <c r="J801" s="212"/>
      <c r="K801" s="212"/>
      <c r="L801" s="212"/>
      <c r="M801" s="212"/>
    </row>
    <row r="802" spans="1:13" ht="12.75" customHeight="1">
      <c r="A802" s="212"/>
      <c r="B802" s="212"/>
      <c r="C802" s="212"/>
      <c r="D802" s="212"/>
      <c r="E802" s="212"/>
      <c r="F802" s="212"/>
      <c r="G802" s="212"/>
      <c r="J802" s="212"/>
      <c r="K802" s="212"/>
      <c r="L802" s="212"/>
      <c r="M802" s="212"/>
    </row>
    <row r="803" spans="1:13" ht="12.75" customHeight="1">
      <c r="A803" s="212"/>
      <c r="B803" s="212"/>
      <c r="C803" s="212"/>
      <c r="D803" s="212"/>
      <c r="E803" s="212"/>
      <c r="F803" s="212"/>
      <c r="G803" s="212"/>
      <c r="J803" s="212"/>
      <c r="K803" s="212"/>
      <c r="L803" s="212"/>
      <c r="M803" s="212"/>
    </row>
    <row r="804" spans="1:13" ht="12.75" customHeight="1">
      <c r="A804" s="212"/>
      <c r="B804" s="212"/>
      <c r="C804" s="212"/>
      <c r="D804" s="212"/>
      <c r="E804" s="212"/>
      <c r="F804" s="212"/>
      <c r="G804" s="212"/>
      <c r="J804" s="212"/>
      <c r="K804" s="212"/>
      <c r="L804" s="212"/>
      <c r="M804" s="212"/>
    </row>
    <row r="805" spans="1:13" ht="12.75" customHeight="1">
      <c r="A805" s="212"/>
      <c r="B805" s="212"/>
      <c r="C805" s="212"/>
      <c r="D805" s="212"/>
      <c r="E805" s="212"/>
      <c r="F805" s="212"/>
      <c r="G805" s="212"/>
      <c r="J805" s="212"/>
      <c r="K805" s="212"/>
      <c r="L805" s="212"/>
      <c r="M805" s="212"/>
    </row>
    <row r="806" spans="1:13" ht="12.75" customHeight="1">
      <c r="A806" s="212"/>
      <c r="B806" s="212"/>
      <c r="C806" s="212"/>
      <c r="D806" s="212"/>
      <c r="E806" s="212"/>
      <c r="F806" s="212"/>
      <c r="G806" s="212"/>
      <c r="J806" s="212"/>
      <c r="K806" s="212"/>
      <c r="L806" s="212"/>
      <c r="M806" s="212"/>
    </row>
    <row r="807" spans="1:13" ht="12.75" customHeight="1">
      <c r="A807" s="212"/>
      <c r="B807" s="212"/>
      <c r="C807" s="212"/>
      <c r="D807" s="212"/>
      <c r="E807" s="212"/>
      <c r="F807" s="212"/>
      <c r="G807" s="212"/>
      <c r="J807" s="212"/>
      <c r="K807" s="212"/>
      <c r="L807" s="212"/>
      <c r="M807" s="212"/>
    </row>
    <row r="808" spans="1:13" ht="12.75" customHeight="1">
      <c r="A808" s="212"/>
      <c r="B808" s="212"/>
      <c r="C808" s="212"/>
      <c r="D808" s="212"/>
      <c r="E808" s="212"/>
      <c r="F808" s="212"/>
      <c r="G808" s="212"/>
      <c r="J808" s="212"/>
      <c r="K808" s="212"/>
      <c r="L808" s="212"/>
      <c r="M808" s="212"/>
    </row>
    <row r="809" spans="1:13" ht="12.75" customHeight="1">
      <c r="A809" s="212"/>
      <c r="B809" s="212"/>
      <c r="C809" s="212"/>
      <c r="D809" s="212"/>
      <c r="E809" s="212"/>
      <c r="F809" s="212"/>
      <c r="G809" s="212"/>
      <c r="J809" s="212"/>
      <c r="K809" s="212"/>
      <c r="L809" s="212"/>
      <c r="M809" s="212"/>
    </row>
    <row r="810" spans="1:13" ht="12.75" customHeight="1">
      <c r="A810" s="212"/>
      <c r="B810" s="212"/>
      <c r="C810" s="212"/>
      <c r="D810" s="212"/>
      <c r="E810" s="212"/>
      <c r="F810" s="212"/>
      <c r="G810" s="212"/>
      <c r="J810" s="212"/>
      <c r="K810" s="212"/>
      <c r="L810" s="212"/>
      <c r="M810" s="212"/>
    </row>
    <row r="811" spans="1:13" ht="12.75" customHeight="1">
      <c r="A811" s="212"/>
      <c r="B811" s="212"/>
      <c r="C811" s="212"/>
      <c r="D811" s="212"/>
      <c r="E811" s="212"/>
      <c r="F811" s="212"/>
      <c r="G811" s="212"/>
      <c r="J811" s="212"/>
      <c r="K811" s="212"/>
      <c r="L811" s="212"/>
      <c r="M811" s="212"/>
    </row>
    <row r="812" spans="1:13" ht="12.75" customHeight="1">
      <c r="A812" s="212"/>
      <c r="B812" s="212"/>
      <c r="C812" s="212"/>
      <c r="D812" s="212"/>
      <c r="E812" s="212"/>
      <c r="F812" s="212"/>
      <c r="G812" s="212"/>
      <c r="J812" s="212"/>
      <c r="K812" s="212"/>
      <c r="L812" s="212"/>
      <c r="M812" s="212"/>
    </row>
    <row r="813" spans="1:13" ht="12.75" customHeight="1">
      <c r="A813" s="212"/>
      <c r="B813" s="212"/>
      <c r="C813" s="212"/>
      <c r="D813" s="212"/>
      <c r="E813" s="212"/>
      <c r="F813" s="212"/>
      <c r="G813" s="212"/>
      <c r="J813" s="212"/>
      <c r="K813" s="212"/>
      <c r="L813" s="212"/>
      <c r="M813" s="212"/>
    </row>
    <row r="814" spans="1:13" ht="12.75" customHeight="1">
      <c r="A814" s="212"/>
      <c r="B814" s="212"/>
      <c r="C814" s="212"/>
      <c r="D814" s="212"/>
      <c r="E814" s="212"/>
      <c r="F814" s="212"/>
      <c r="G814" s="212"/>
      <c r="J814" s="212"/>
      <c r="K814" s="212"/>
      <c r="L814" s="212"/>
      <c r="M814" s="212"/>
    </row>
    <row r="815" spans="1:13" ht="12.75" customHeight="1">
      <c r="A815" s="212"/>
      <c r="B815" s="212"/>
      <c r="C815" s="212"/>
      <c r="D815" s="212"/>
      <c r="E815" s="212"/>
      <c r="F815" s="212"/>
      <c r="G815" s="212"/>
      <c r="J815" s="212"/>
      <c r="K815" s="212"/>
      <c r="L815" s="212"/>
      <c r="M815" s="212"/>
    </row>
    <row r="816" spans="1:13" ht="12.75" customHeight="1">
      <c r="A816" s="212"/>
      <c r="B816" s="212"/>
      <c r="C816" s="212"/>
      <c r="D816" s="212"/>
      <c r="E816" s="212"/>
      <c r="F816" s="212"/>
      <c r="G816" s="212"/>
      <c r="J816" s="212"/>
      <c r="K816" s="212"/>
      <c r="L816" s="212"/>
      <c r="M816" s="212"/>
    </row>
    <row r="817" spans="1:13" ht="12.75" customHeight="1">
      <c r="A817" s="212"/>
      <c r="B817" s="212"/>
      <c r="C817" s="212"/>
      <c r="D817" s="212"/>
      <c r="E817" s="212"/>
      <c r="F817" s="212"/>
      <c r="G817" s="212"/>
      <c r="J817" s="212"/>
      <c r="K817" s="212"/>
      <c r="L817" s="212"/>
      <c r="M817" s="212"/>
    </row>
    <row r="818" spans="1:13" ht="12.75" customHeight="1">
      <c r="A818" s="212"/>
      <c r="B818" s="212"/>
      <c r="C818" s="212"/>
      <c r="D818" s="212"/>
      <c r="E818" s="212"/>
      <c r="F818" s="212"/>
      <c r="G818" s="212"/>
      <c r="J818" s="212"/>
      <c r="K818" s="212"/>
      <c r="L818" s="212"/>
      <c r="M818" s="212"/>
    </row>
    <row r="819" spans="1:13" ht="12.75" customHeight="1">
      <c r="A819" s="212"/>
      <c r="B819" s="212"/>
      <c r="C819" s="212"/>
      <c r="D819" s="212"/>
      <c r="E819" s="212"/>
      <c r="F819" s="212"/>
      <c r="G819" s="212"/>
      <c r="J819" s="212"/>
      <c r="K819" s="212"/>
      <c r="L819" s="212"/>
      <c r="M819" s="212"/>
    </row>
    <row r="820" spans="1:13" ht="12.75" customHeight="1">
      <c r="A820" s="212"/>
      <c r="B820" s="212"/>
      <c r="C820" s="212"/>
      <c r="D820" s="212"/>
      <c r="E820" s="212"/>
      <c r="F820" s="212"/>
      <c r="G820" s="212"/>
      <c r="J820" s="212"/>
      <c r="K820" s="212"/>
      <c r="L820" s="212"/>
      <c r="M820" s="212"/>
    </row>
    <row r="821" spans="1:13" ht="12.75" customHeight="1">
      <c r="A821" s="212"/>
      <c r="B821" s="212"/>
      <c r="C821" s="212"/>
      <c r="D821" s="212"/>
      <c r="E821" s="212"/>
      <c r="F821" s="212"/>
      <c r="G821" s="212"/>
      <c r="J821" s="212"/>
      <c r="K821" s="212"/>
      <c r="L821" s="212"/>
      <c r="M821" s="212"/>
    </row>
    <row r="822" spans="1:13" ht="12.75" customHeight="1">
      <c r="A822" s="212"/>
      <c r="B822" s="212"/>
      <c r="C822" s="212"/>
      <c r="D822" s="212"/>
      <c r="E822" s="212"/>
      <c r="F822" s="212"/>
      <c r="G822" s="212"/>
      <c r="J822" s="212"/>
      <c r="K822" s="212"/>
      <c r="L822" s="212"/>
      <c r="M822" s="212"/>
    </row>
    <row r="823" spans="1:13" ht="12.75" customHeight="1">
      <c r="A823" s="212"/>
      <c r="B823" s="212"/>
      <c r="C823" s="212"/>
      <c r="D823" s="212"/>
      <c r="E823" s="212"/>
      <c r="F823" s="212"/>
      <c r="G823" s="212"/>
      <c r="J823" s="212"/>
      <c r="K823" s="212"/>
      <c r="L823" s="212"/>
      <c r="M823" s="212"/>
    </row>
    <row r="824" spans="1:13" ht="12.75" customHeight="1">
      <c r="A824" s="212"/>
      <c r="B824" s="212"/>
      <c r="C824" s="212"/>
      <c r="D824" s="212"/>
      <c r="E824" s="212"/>
      <c r="F824" s="212"/>
      <c r="G824" s="212"/>
      <c r="J824" s="212"/>
      <c r="K824" s="212"/>
      <c r="L824" s="212"/>
      <c r="M824" s="212"/>
    </row>
    <row r="825" spans="1:13" ht="12.75" customHeight="1">
      <c r="A825" s="212"/>
      <c r="B825" s="212"/>
      <c r="C825" s="212"/>
      <c r="D825" s="212"/>
      <c r="E825" s="212"/>
      <c r="F825" s="212"/>
      <c r="G825" s="212"/>
      <c r="J825" s="212"/>
      <c r="K825" s="212"/>
      <c r="L825" s="212"/>
      <c r="M825" s="212"/>
    </row>
    <row r="826" spans="1:13" ht="12.75" customHeight="1">
      <c r="A826" s="212"/>
      <c r="B826" s="212"/>
      <c r="C826" s="212"/>
      <c r="D826" s="212"/>
      <c r="E826" s="212"/>
      <c r="F826" s="212"/>
      <c r="G826" s="212"/>
      <c r="J826" s="212"/>
      <c r="K826" s="212"/>
      <c r="L826" s="212"/>
      <c r="M826" s="212"/>
    </row>
    <row r="827" spans="1:13" ht="12.75" customHeight="1">
      <c r="A827" s="212"/>
      <c r="B827" s="212"/>
      <c r="C827" s="212"/>
      <c r="D827" s="212"/>
      <c r="E827" s="212"/>
      <c r="F827" s="212"/>
      <c r="G827" s="212"/>
      <c r="J827" s="212"/>
      <c r="K827" s="212"/>
      <c r="L827" s="212"/>
      <c r="M827" s="212"/>
    </row>
    <row r="828" spans="1:13" ht="12.75" customHeight="1">
      <c r="A828" s="212"/>
      <c r="B828" s="212"/>
      <c r="C828" s="212"/>
      <c r="D828" s="212"/>
      <c r="E828" s="212"/>
      <c r="F828" s="212"/>
      <c r="G828" s="212"/>
      <c r="J828" s="212"/>
      <c r="K828" s="212"/>
      <c r="L828" s="212"/>
      <c r="M828" s="212"/>
    </row>
    <row r="829" spans="1:13" ht="12.75" customHeight="1">
      <c r="A829" s="212"/>
      <c r="B829" s="212"/>
      <c r="C829" s="212"/>
      <c r="D829" s="212"/>
      <c r="E829" s="212"/>
      <c r="F829" s="212"/>
      <c r="G829" s="212"/>
      <c r="J829" s="212"/>
      <c r="K829" s="212"/>
      <c r="L829" s="212"/>
      <c r="M829" s="212"/>
    </row>
    <row r="830" spans="1:13" ht="12.75" customHeight="1">
      <c r="A830" s="212"/>
      <c r="B830" s="212"/>
      <c r="C830" s="212"/>
      <c r="D830" s="212"/>
      <c r="E830" s="212"/>
      <c r="F830" s="212"/>
      <c r="G830" s="212"/>
      <c r="J830" s="212"/>
      <c r="K830" s="212"/>
      <c r="L830" s="212"/>
      <c r="M830" s="212"/>
    </row>
    <row r="831" spans="1:13" ht="12.75" customHeight="1">
      <c r="A831" s="212"/>
      <c r="B831" s="212"/>
      <c r="C831" s="212"/>
      <c r="D831" s="212"/>
      <c r="E831" s="212"/>
      <c r="F831" s="212"/>
      <c r="G831" s="212"/>
      <c r="J831" s="212"/>
      <c r="K831" s="212"/>
      <c r="L831" s="212"/>
      <c r="M831" s="212"/>
    </row>
    <row r="832" spans="1:13" ht="12.75" customHeight="1">
      <c r="A832" s="212"/>
      <c r="B832" s="212"/>
      <c r="C832" s="212"/>
      <c r="D832" s="212"/>
      <c r="E832" s="212"/>
      <c r="F832" s="212"/>
      <c r="G832" s="212"/>
      <c r="J832" s="212"/>
      <c r="K832" s="212"/>
      <c r="L832" s="212"/>
      <c r="M832" s="212"/>
    </row>
    <row r="833" spans="1:13" ht="12.75" customHeight="1">
      <c r="A833" s="212"/>
      <c r="B833" s="212"/>
      <c r="C833" s="212"/>
      <c r="D833" s="212"/>
      <c r="E833" s="212"/>
      <c r="F833" s="212"/>
      <c r="G833" s="212"/>
      <c r="J833" s="212"/>
      <c r="K833" s="212"/>
      <c r="L833" s="212"/>
      <c r="M833" s="212"/>
    </row>
    <row r="834" spans="1:13" ht="12.75" customHeight="1">
      <c r="A834" s="212"/>
      <c r="B834" s="212"/>
      <c r="C834" s="212"/>
      <c r="D834" s="212"/>
      <c r="E834" s="212"/>
      <c r="F834" s="212"/>
      <c r="G834" s="212"/>
      <c r="J834" s="212"/>
      <c r="K834" s="212"/>
      <c r="L834" s="212"/>
      <c r="M834" s="212"/>
    </row>
    <row r="835" spans="1:13" ht="12.75" customHeight="1">
      <c r="A835" s="212"/>
      <c r="B835" s="212"/>
      <c r="C835" s="212"/>
      <c r="D835" s="212"/>
      <c r="E835" s="212"/>
      <c r="F835" s="212"/>
      <c r="G835" s="212"/>
      <c r="J835" s="212"/>
      <c r="K835" s="212"/>
      <c r="L835" s="212"/>
      <c r="M835" s="212"/>
    </row>
    <row r="836" spans="1:13" ht="12.75" customHeight="1">
      <c r="A836" s="212"/>
      <c r="B836" s="212"/>
      <c r="C836" s="212"/>
      <c r="D836" s="212"/>
      <c r="E836" s="212"/>
      <c r="F836" s="212"/>
      <c r="G836" s="212"/>
      <c r="J836" s="212"/>
      <c r="K836" s="212"/>
      <c r="L836" s="212"/>
      <c r="M836" s="212"/>
    </row>
    <row r="837" spans="1:13" ht="12.75" customHeight="1">
      <c r="A837" s="212"/>
      <c r="B837" s="212"/>
      <c r="C837" s="212"/>
      <c r="D837" s="212"/>
      <c r="E837" s="212"/>
      <c r="F837" s="212"/>
      <c r="G837" s="212"/>
      <c r="J837" s="212"/>
      <c r="K837" s="212"/>
      <c r="L837" s="212"/>
      <c r="M837" s="212"/>
    </row>
    <row r="838" spans="1:13" ht="12.75" customHeight="1">
      <c r="A838" s="212"/>
      <c r="B838" s="212"/>
      <c r="C838" s="212"/>
      <c r="D838" s="212"/>
      <c r="E838" s="212"/>
      <c r="F838" s="212"/>
      <c r="G838" s="212"/>
      <c r="J838" s="212"/>
      <c r="K838" s="212"/>
      <c r="L838" s="212"/>
      <c r="M838" s="212"/>
    </row>
    <row r="839" spans="1:13" ht="12.75" customHeight="1">
      <c r="A839" s="212"/>
      <c r="B839" s="212"/>
      <c r="C839" s="212"/>
      <c r="D839" s="212"/>
      <c r="E839" s="212"/>
      <c r="F839" s="212"/>
      <c r="G839" s="212"/>
      <c r="J839" s="212"/>
      <c r="K839" s="212"/>
      <c r="L839" s="212"/>
      <c r="M839" s="212"/>
    </row>
    <row r="840" spans="1:13" ht="12.75" customHeight="1">
      <c r="A840" s="212"/>
      <c r="B840" s="212"/>
      <c r="C840" s="212"/>
      <c r="D840" s="212"/>
      <c r="E840" s="212"/>
      <c r="F840" s="212"/>
      <c r="G840" s="212"/>
      <c r="J840" s="212"/>
      <c r="K840" s="212"/>
      <c r="L840" s="212"/>
      <c r="M840" s="212"/>
    </row>
    <row r="841" spans="1:13" ht="12.75" customHeight="1">
      <c r="A841" s="212"/>
      <c r="B841" s="212"/>
      <c r="C841" s="212"/>
      <c r="D841" s="212"/>
      <c r="E841" s="212"/>
      <c r="F841" s="212"/>
      <c r="G841" s="212"/>
      <c r="J841" s="212"/>
      <c r="K841" s="212"/>
      <c r="L841" s="212"/>
      <c r="M841" s="212"/>
    </row>
    <row r="842" spans="1:13" ht="12.75" customHeight="1">
      <c r="A842" s="212"/>
      <c r="B842" s="212"/>
      <c r="C842" s="212"/>
      <c r="D842" s="212"/>
      <c r="E842" s="212"/>
      <c r="F842" s="212"/>
      <c r="G842" s="212"/>
      <c r="J842" s="212"/>
      <c r="K842" s="212"/>
      <c r="L842" s="212"/>
      <c r="M842" s="212"/>
    </row>
    <row r="843" spans="1:13" ht="12.75" customHeight="1">
      <c r="A843" s="212"/>
      <c r="B843" s="212"/>
      <c r="C843" s="212"/>
      <c r="D843" s="212"/>
      <c r="E843" s="212"/>
      <c r="F843" s="212"/>
      <c r="G843" s="212"/>
      <c r="J843" s="212"/>
      <c r="K843" s="212"/>
      <c r="L843" s="212"/>
      <c r="M843" s="212"/>
    </row>
    <row r="844" spans="1:13" ht="12.75" customHeight="1">
      <c r="A844" s="212"/>
      <c r="B844" s="212"/>
      <c r="C844" s="212"/>
      <c r="D844" s="212"/>
      <c r="E844" s="212"/>
      <c r="F844" s="212"/>
      <c r="G844" s="212"/>
      <c r="J844" s="212"/>
      <c r="K844" s="212"/>
      <c r="L844" s="212"/>
      <c r="M844" s="212"/>
    </row>
    <row r="845" spans="1:13" ht="12.75" customHeight="1">
      <c r="A845" s="212"/>
      <c r="B845" s="212"/>
      <c r="C845" s="212"/>
      <c r="D845" s="212"/>
      <c r="E845" s="212"/>
      <c r="F845" s="212"/>
      <c r="G845" s="212"/>
      <c r="J845" s="212"/>
      <c r="K845" s="212"/>
      <c r="L845" s="212"/>
      <c r="M845" s="212"/>
    </row>
    <row r="846" spans="1:13" ht="12.75" customHeight="1">
      <c r="A846" s="212"/>
      <c r="B846" s="212"/>
      <c r="C846" s="212"/>
      <c r="D846" s="212"/>
      <c r="E846" s="212"/>
      <c r="F846" s="212"/>
      <c r="G846" s="212"/>
      <c r="J846" s="212"/>
      <c r="K846" s="212"/>
      <c r="L846" s="212"/>
      <c r="M846" s="212"/>
    </row>
    <row r="847" spans="1:13" ht="12.75" customHeight="1">
      <c r="A847" s="212"/>
      <c r="B847" s="212"/>
      <c r="C847" s="212"/>
      <c r="D847" s="212"/>
      <c r="E847" s="212"/>
      <c r="F847" s="212"/>
      <c r="G847" s="212"/>
      <c r="J847" s="212"/>
      <c r="K847" s="212"/>
      <c r="L847" s="212"/>
      <c r="M847" s="212"/>
    </row>
    <row r="848" spans="1:13" ht="12.75" customHeight="1">
      <c r="A848" s="212"/>
      <c r="B848" s="212"/>
      <c r="C848" s="212"/>
      <c r="D848" s="212"/>
      <c r="E848" s="212"/>
      <c r="F848" s="212"/>
      <c r="G848" s="212"/>
      <c r="J848" s="212"/>
      <c r="K848" s="212"/>
      <c r="L848" s="212"/>
      <c r="M848" s="212"/>
    </row>
    <row r="849" spans="1:13" ht="12.75" customHeight="1">
      <c r="A849" s="212"/>
      <c r="B849" s="212"/>
      <c r="C849" s="212"/>
      <c r="D849" s="212"/>
      <c r="E849" s="212"/>
      <c r="F849" s="212"/>
      <c r="G849" s="212"/>
      <c r="J849" s="212"/>
      <c r="K849" s="212"/>
      <c r="L849" s="212"/>
      <c r="M849" s="212"/>
    </row>
    <row r="850" spans="1:13" ht="12.75" customHeight="1">
      <c r="A850" s="212"/>
      <c r="B850" s="212"/>
      <c r="C850" s="212"/>
      <c r="D850" s="212"/>
      <c r="E850" s="212"/>
      <c r="F850" s="212"/>
      <c r="G850" s="212"/>
      <c r="J850" s="212"/>
      <c r="K850" s="212"/>
      <c r="L850" s="212"/>
      <c r="M850" s="212"/>
    </row>
    <row r="851" spans="1:13" ht="12.75" customHeight="1">
      <c r="A851" s="212"/>
      <c r="B851" s="212"/>
      <c r="C851" s="212"/>
      <c r="D851" s="212"/>
      <c r="E851" s="212"/>
      <c r="F851" s="212"/>
      <c r="G851" s="212"/>
      <c r="J851" s="212"/>
      <c r="K851" s="212"/>
      <c r="L851" s="212"/>
      <c r="M851" s="212"/>
    </row>
    <row r="852" spans="1:13" ht="12.75" customHeight="1">
      <c r="A852" s="212"/>
      <c r="B852" s="212"/>
      <c r="C852" s="212"/>
      <c r="D852" s="212"/>
      <c r="E852" s="212"/>
      <c r="F852" s="212"/>
      <c r="G852" s="212"/>
      <c r="J852" s="212"/>
      <c r="K852" s="212"/>
      <c r="L852" s="212"/>
      <c r="M852" s="212"/>
    </row>
    <row r="853" spans="1:13" ht="12.75" customHeight="1">
      <c r="A853" s="212"/>
      <c r="B853" s="212"/>
      <c r="C853" s="212"/>
      <c r="D853" s="212"/>
      <c r="E853" s="212"/>
      <c r="F853" s="212"/>
      <c r="G853" s="212"/>
      <c r="J853" s="212"/>
      <c r="K853" s="212"/>
      <c r="L853" s="212"/>
      <c r="M853" s="212"/>
    </row>
    <row r="854" spans="1:13" ht="12.75" customHeight="1">
      <c r="A854" s="212"/>
      <c r="B854" s="212"/>
      <c r="C854" s="212"/>
      <c r="D854" s="212"/>
      <c r="E854" s="212"/>
      <c r="F854" s="212"/>
      <c r="G854" s="212"/>
      <c r="J854" s="212"/>
      <c r="K854" s="212"/>
      <c r="L854" s="212"/>
      <c r="M854" s="212"/>
    </row>
    <row r="855" spans="1:13" ht="12.75" customHeight="1">
      <c r="A855" s="212"/>
      <c r="B855" s="212"/>
      <c r="C855" s="212"/>
      <c r="D855" s="212"/>
      <c r="E855" s="212"/>
      <c r="F855" s="212"/>
      <c r="G855" s="212"/>
      <c r="J855" s="212"/>
      <c r="K855" s="212"/>
      <c r="L855" s="212"/>
      <c r="M855" s="212"/>
    </row>
    <row r="856" spans="1:13" ht="12.75" customHeight="1">
      <c r="A856" s="212"/>
      <c r="B856" s="212"/>
      <c r="C856" s="212"/>
      <c r="D856" s="212"/>
      <c r="E856" s="212"/>
      <c r="F856" s="212"/>
      <c r="G856" s="212"/>
      <c r="J856" s="212"/>
      <c r="K856" s="212"/>
      <c r="L856" s="212"/>
      <c r="M856" s="212"/>
    </row>
    <row r="857" spans="1:13" ht="12.75" customHeight="1">
      <c r="A857" s="212"/>
      <c r="B857" s="212"/>
      <c r="C857" s="212"/>
      <c r="D857" s="212"/>
      <c r="E857" s="212"/>
      <c r="F857" s="212"/>
      <c r="G857" s="212"/>
      <c r="J857" s="212"/>
      <c r="K857" s="212"/>
      <c r="L857" s="212"/>
      <c r="M857" s="212"/>
    </row>
    <row r="858" spans="1:13" ht="12.75" customHeight="1">
      <c r="A858" s="212"/>
      <c r="B858" s="212"/>
      <c r="C858" s="212"/>
      <c r="D858" s="212"/>
      <c r="E858" s="212"/>
      <c r="F858" s="212"/>
      <c r="G858" s="212"/>
      <c r="J858" s="212"/>
      <c r="K858" s="212"/>
      <c r="L858" s="212"/>
      <c r="M858" s="212"/>
    </row>
    <row r="859" spans="1:13" ht="12.75" customHeight="1">
      <c r="A859" s="212"/>
      <c r="B859" s="212"/>
      <c r="C859" s="212"/>
      <c r="D859" s="212"/>
      <c r="E859" s="212"/>
      <c r="F859" s="212"/>
      <c r="G859" s="212"/>
      <c r="J859" s="212"/>
      <c r="K859" s="212"/>
      <c r="L859" s="212"/>
      <c r="M859" s="212"/>
    </row>
    <row r="860" spans="1:13" ht="12.75" customHeight="1">
      <c r="A860" s="212"/>
      <c r="B860" s="212"/>
      <c r="C860" s="212"/>
      <c r="D860" s="212"/>
      <c r="E860" s="212"/>
      <c r="F860" s="212"/>
      <c r="G860" s="212"/>
      <c r="J860" s="212"/>
      <c r="K860" s="212"/>
      <c r="L860" s="212"/>
      <c r="M860" s="212"/>
    </row>
    <row r="861" spans="1:13" ht="12.75" customHeight="1">
      <c r="A861" s="212"/>
      <c r="B861" s="212"/>
      <c r="C861" s="212"/>
      <c r="D861" s="212"/>
      <c r="E861" s="212"/>
      <c r="F861" s="212"/>
      <c r="G861" s="212"/>
      <c r="J861" s="212"/>
      <c r="K861" s="212"/>
      <c r="L861" s="212"/>
      <c r="M861" s="212"/>
    </row>
    <row r="862" spans="1:13" ht="12.75" customHeight="1">
      <c r="A862" s="212"/>
      <c r="B862" s="212"/>
      <c r="C862" s="212"/>
      <c r="D862" s="212"/>
      <c r="E862" s="212"/>
      <c r="F862" s="212"/>
      <c r="G862" s="212"/>
      <c r="J862" s="212"/>
      <c r="K862" s="212"/>
      <c r="L862" s="212"/>
      <c r="M862" s="212"/>
    </row>
    <row r="863" spans="1:13" ht="12.75" customHeight="1">
      <c r="A863" s="212"/>
      <c r="B863" s="212"/>
      <c r="C863" s="212"/>
      <c r="D863" s="212"/>
      <c r="E863" s="212"/>
      <c r="F863" s="212"/>
      <c r="G863" s="212"/>
      <c r="J863" s="212"/>
      <c r="K863" s="212"/>
      <c r="L863" s="212"/>
      <c r="M863" s="212"/>
    </row>
    <row r="864" spans="1:13" ht="12.75" customHeight="1">
      <c r="A864" s="212"/>
      <c r="B864" s="212"/>
      <c r="C864" s="212"/>
      <c r="D864" s="212"/>
      <c r="E864" s="212"/>
      <c r="F864" s="212"/>
      <c r="G864" s="212"/>
      <c r="J864" s="212"/>
      <c r="K864" s="212"/>
      <c r="L864" s="212"/>
      <c r="M864" s="212"/>
    </row>
    <row r="865" spans="1:13" ht="12.75" customHeight="1">
      <c r="A865" s="212"/>
      <c r="B865" s="212"/>
      <c r="C865" s="212"/>
      <c r="D865" s="212"/>
      <c r="E865" s="212"/>
      <c r="F865" s="212"/>
      <c r="G865" s="212"/>
      <c r="J865" s="212"/>
      <c r="K865" s="212"/>
      <c r="L865" s="212"/>
      <c r="M865" s="212"/>
    </row>
    <row r="866" spans="1:13" ht="12.75" customHeight="1">
      <c r="A866" s="212"/>
      <c r="B866" s="212"/>
      <c r="C866" s="212"/>
      <c r="D866" s="212"/>
      <c r="E866" s="212"/>
      <c r="F866" s="212"/>
      <c r="G866" s="212"/>
      <c r="J866" s="212"/>
      <c r="K866" s="212"/>
      <c r="L866" s="212"/>
      <c r="M866" s="212"/>
    </row>
    <row r="867" spans="1:13" ht="12.75" customHeight="1">
      <c r="A867" s="212"/>
      <c r="B867" s="212"/>
      <c r="C867" s="212"/>
      <c r="D867" s="212"/>
      <c r="E867" s="212"/>
      <c r="F867" s="212"/>
      <c r="G867" s="212"/>
      <c r="J867" s="212"/>
      <c r="K867" s="212"/>
      <c r="L867" s="212"/>
      <c r="M867" s="212"/>
    </row>
    <row r="868" spans="1:13" ht="12.75" customHeight="1">
      <c r="A868" s="212"/>
      <c r="B868" s="212"/>
      <c r="C868" s="212"/>
      <c r="D868" s="212"/>
      <c r="E868" s="212"/>
      <c r="F868" s="212"/>
      <c r="G868" s="212"/>
      <c r="J868" s="212"/>
      <c r="K868" s="212"/>
      <c r="L868" s="212"/>
      <c r="M868" s="212"/>
    </row>
    <row r="869" spans="1:13" ht="12.75" customHeight="1">
      <c r="A869" s="212"/>
      <c r="B869" s="212"/>
      <c r="C869" s="212"/>
      <c r="D869" s="212"/>
      <c r="E869" s="212"/>
      <c r="F869" s="212"/>
      <c r="G869" s="212"/>
      <c r="J869" s="212"/>
      <c r="K869" s="212"/>
      <c r="L869" s="212"/>
      <c r="M869" s="212"/>
    </row>
    <row r="870" spans="1:13" ht="12.75" customHeight="1">
      <c r="A870" s="212"/>
      <c r="B870" s="212"/>
      <c r="C870" s="212"/>
      <c r="D870" s="212"/>
      <c r="E870" s="212"/>
      <c r="F870" s="212"/>
      <c r="G870" s="212"/>
      <c r="J870" s="212"/>
      <c r="K870" s="212"/>
      <c r="L870" s="212"/>
      <c r="M870" s="212"/>
    </row>
    <row r="871" spans="1:13" ht="12.75" customHeight="1">
      <c r="A871" s="212"/>
      <c r="B871" s="212"/>
      <c r="C871" s="212"/>
      <c r="D871" s="212"/>
      <c r="E871" s="212"/>
      <c r="F871" s="212"/>
      <c r="G871" s="212"/>
      <c r="J871" s="212"/>
      <c r="K871" s="212"/>
      <c r="L871" s="212"/>
      <c r="M871" s="212"/>
    </row>
    <row r="872" spans="1:13" ht="12.75" customHeight="1">
      <c r="A872" s="212"/>
      <c r="B872" s="212"/>
      <c r="C872" s="212"/>
      <c r="D872" s="212"/>
      <c r="E872" s="212"/>
      <c r="F872" s="212"/>
      <c r="G872" s="212"/>
      <c r="J872" s="212"/>
      <c r="K872" s="212"/>
      <c r="L872" s="212"/>
      <c r="M872" s="212"/>
    </row>
    <row r="873" spans="1:13" ht="12.75" customHeight="1">
      <c r="A873" s="212"/>
      <c r="B873" s="212"/>
      <c r="C873" s="212"/>
      <c r="D873" s="212"/>
      <c r="E873" s="212"/>
      <c r="F873" s="212"/>
      <c r="G873" s="212"/>
      <c r="J873" s="212"/>
      <c r="K873" s="212"/>
      <c r="L873" s="212"/>
      <c r="M873" s="212"/>
    </row>
    <row r="874" spans="1:13" ht="12.75" customHeight="1">
      <c r="A874" s="212"/>
      <c r="B874" s="212"/>
      <c r="C874" s="212"/>
      <c r="D874" s="212"/>
      <c r="E874" s="212"/>
      <c r="F874" s="212"/>
      <c r="G874" s="212"/>
      <c r="J874" s="212"/>
      <c r="K874" s="212"/>
      <c r="L874" s="212"/>
      <c r="M874" s="212"/>
    </row>
    <row r="875" spans="1:13" ht="12.75" customHeight="1">
      <c r="A875" s="212"/>
      <c r="B875" s="212"/>
      <c r="C875" s="212"/>
      <c r="D875" s="212"/>
      <c r="E875" s="212"/>
      <c r="F875" s="212"/>
      <c r="G875" s="212"/>
      <c r="J875" s="212"/>
      <c r="K875" s="212"/>
      <c r="L875" s="212"/>
      <c r="M875" s="212"/>
    </row>
    <row r="876" spans="1:13" ht="12.75" customHeight="1">
      <c r="A876" s="212"/>
      <c r="B876" s="212"/>
      <c r="C876" s="212"/>
      <c r="D876" s="212"/>
      <c r="E876" s="212"/>
      <c r="F876" s="212"/>
      <c r="G876" s="212"/>
      <c r="J876" s="212"/>
      <c r="K876" s="212"/>
      <c r="L876" s="212"/>
      <c r="M876" s="212"/>
    </row>
    <row r="877" spans="1:13" ht="12.75" customHeight="1">
      <c r="A877" s="212"/>
      <c r="B877" s="212"/>
      <c r="C877" s="212"/>
      <c r="D877" s="212"/>
      <c r="E877" s="212"/>
      <c r="F877" s="212"/>
      <c r="G877" s="212"/>
      <c r="J877" s="212"/>
      <c r="K877" s="212"/>
      <c r="L877" s="212"/>
      <c r="M877" s="212"/>
    </row>
    <row r="878" spans="1:13" ht="12.75" customHeight="1">
      <c r="A878" s="212"/>
      <c r="B878" s="212"/>
      <c r="C878" s="212"/>
      <c r="D878" s="212"/>
      <c r="E878" s="212"/>
      <c r="F878" s="212"/>
      <c r="G878" s="212"/>
      <c r="J878" s="212"/>
      <c r="K878" s="212"/>
      <c r="L878" s="212"/>
      <c r="M878" s="212"/>
    </row>
    <row r="879" spans="1:13" ht="12.75" customHeight="1">
      <c r="A879" s="212"/>
      <c r="B879" s="212"/>
      <c r="C879" s="212"/>
      <c r="D879" s="212"/>
      <c r="E879" s="212"/>
      <c r="F879" s="212"/>
      <c r="G879" s="212"/>
      <c r="J879" s="212"/>
      <c r="K879" s="212"/>
      <c r="L879" s="212"/>
      <c r="M879" s="212"/>
    </row>
    <row r="880" spans="1:13" ht="12.75" customHeight="1">
      <c r="A880" s="212"/>
      <c r="B880" s="212"/>
      <c r="C880" s="212"/>
      <c r="D880" s="212"/>
      <c r="E880" s="212"/>
      <c r="F880" s="212"/>
      <c r="G880" s="212"/>
      <c r="J880" s="212"/>
      <c r="K880" s="212"/>
      <c r="L880" s="212"/>
      <c r="M880" s="212"/>
    </row>
    <row r="881" spans="1:13" ht="12.75" customHeight="1">
      <c r="A881" s="212"/>
      <c r="B881" s="212"/>
      <c r="C881" s="212"/>
      <c r="D881" s="212"/>
      <c r="E881" s="212"/>
      <c r="F881" s="212"/>
      <c r="G881" s="212"/>
      <c r="J881" s="212"/>
      <c r="K881" s="212"/>
      <c r="L881" s="212"/>
      <c r="M881" s="212"/>
    </row>
    <row r="882" spans="1:13" ht="12.75" customHeight="1">
      <c r="A882" s="212"/>
      <c r="B882" s="212"/>
      <c r="C882" s="212"/>
      <c r="D882" s="212"/>
      <c r="E882" s="212"/>
      <c r="F882" s="212"/>
      <c r="G882" s="212"/>
      <c r="J882" s="212"/>
      <c r="K882" s="212"/>
      <c r="L882" s="212"/>
      <c r="M882" s="212"/>
    </row>
    <row r="883" spans="1:13" ht="12.75" customHeight="1">
      <c r="A883" s="212"/>
      <c r="B883" s="212"/>
      <c r="C883" s="212"/>
      <c r="D883" s="212"/>
      <c r="E883" s="212"/>
      <c r="F883" s="212"/>
      <c r="G883" s="212"/>
      <c r="J883" s="212"/>
      <c r="K883" s="212"/>
      <c r="L883" s="212"/>
      <c r="M883" s="212"/>
    </row>
    <row r="884" spans="1:13" ht="12.75" customHeight="1">
      <c r="A884" s="212"/>
      <c r="B884" s="212"/>
      <c r="C884" s="212"/>
      <c r="D884" s="212"/>
      <c r="E884" s="212"/>
      <c r="F884" s="212"/>
      <c r="G884" s="212"/>
      <c r="J884" s="212"/>
      <c r="K884" s="212"/>
      <c r="L884" s="212"/>
      <c r="M884" s="212"/>
    </row>
    <row r="885" spans="1:13" ht="12.75" customHeight="1">
      <c r="A885" s="212"/>
      <c r="B885" s="212"/>
      <c r="C885" s="212"/>
      <c r="D885" s="212"/>
      <c r="E885" s="212"/>
      <c r="F885" s="212"/>
      <c r="G885" s="212"/>
      <c r="J885" s="212"/>
      <c r="K885" s="212"/>
      <c r="L885" s="212"/>
      <c r="M885" s="212"/>
    </row>
    <row r="886" spans="1:13" ht="12.75" customHeight="1">
      <c r="A886" s="212"/>
      <c r="B886" s="212"/>
      <c r="C886" s="212"/>
      <c r="D886" s="212"/>
      <c r="E886" s="212"/>
      <c r="F886" s="212"/>
      <c r="G886" s="212"/>
      <c r="J886" s="212"/>
      <c r="K886" s="212"/>
      <c r="L886" s="212"/>
      <c r="M886" s="212"/>
    </row>
    <row r="887" spans="1:13" ht="12.75" customHeight="1">
      <c r="A887" s="212"/>
      <c r="B887" s="212"/>
      <c r="C887" s="212"/>
      <c r="D887" s="212"/>
      <c r="E887" s="212"/>
      <c r="F887" s="212"/>
      <c r="G887" s="212"/>
      <c r="J887" s="212"/>
      <c r="K887" s="212"/>
      <c r="L887" s="212"/>
      <c r="M887" s="212"/>
    </row>
    <row r="888" spans="1:13" ht="12.75" customHeight="1">
      <c r="A888" s="212"/>
      <c r="B888" s="212"/>
      <c r="C888" s="212"/>
      <c r="D888" s="212"/>
      <c r="E888" s="212"/>
      <c r="F888" s="212"/>
      <c r="G888" s="212"/>
      <c r="J888" s="212"/>
      <c r="K888" s="212"/>
      <c r="L888" s="212"/>
      <c r="M888" s="212"/>
    </row>
    <row r="889" spans="1:13" ht="12.75" customHeight="1">
      <c r="A889" s="212"/>
      <c r="B889" s="212"/>
      <c r="C889" s="212"/>
      <c r="D889" s="212"/>
      <c r="E889" s="212"/>
      <c r="F889" s="212"/>
      <c r="G889" s="212"/>
      <c r="J889" s="212"/>
      <c r="K889" s="212"/>
      <c r="L889" s="212"/>
      <c r="M889" s="212"/>
    </row>
    <row r="890" spans="1:13" ht="12.75" customHeight="1">
      <c r="A890" s="212"/>
      <c r="B890" s="212"/>
      <c r="C890" s="212"/>
      <c r="D890" s="212"/>
      <c r="E890" s="212"/>
      <c r="F890" s="212"/>
      <c r="G890" s="212"/>
      <c r="J890" s="212"/>
      <c r="K890" s="212"/>
      <c r="L890" s="212"/>
      <c r="M890" s="212"/>
    </row>
    <row r="891" spans="1:13" ht="12.75" customHeight="1">
      <c r="A891" s="212"/>
      <c r="B891" s="212"/>
      <c r="C891" s="212"/>
      <c r="D891" s="212"/>
      <c r="E891" s="212"/>
      <c r="F891" s="212"/>
      <c r="G891" s="212"/>
      <c r="J891" s="212"/>
      <c r="K891" s="212"/>
      <c r="L891" s="212"/>
      <c r="M891" s="212"/>
    </row>
    <row r="892" spans="1:13" ht="12.75" customHeight="1">
      <c r="A892" s="212"/>
      <c r="B892" s="212"/>
      <c r="C892" s="212"/>
      <c r="D892" s="212"/>
      <c r="E892" s="212"/>
      <c r="F892" s="212"/>
      <c r="G892" s="212"/>
      <c r="J892" s="212"/>
      <c r="K892" s="212"/>
      <c r="L892" s="212"/>
      <c r="M892" s="212"/>
    </row>
    <row r="893" spans="1:13" ht="12.75" customHeight="1">
      <c r="A893" s="212"/>
      <c r="B893" s="212"/>
      <c r="C893" s="212"/>
      <c r="D893" s="212"/>
      <c r="E893" s="212"/>
      <c r="F893" s="212"/>
      <c r="G893" s="212"/>
      <c r="J893" s="212"/>
      <c r="K893" s="212"/>
      <c r="L893" s="212"/>
      <c r="M893" s="212"/>
    </row>
    <row r="894" spans="1:13" ht="12.75" customHeight="1">
      <c r="A894" s="212"/>
      <c r="B894" s="212"/>
      <c r="C894" s="212"/>
      <c r="D894" s="212"/>
      <c r="E894" s="212"/>
      <c r="F894" s="212"/>
      <c r="G894" s="212"/>
      <c r="J894" s="212"/>
      <c r="K894" s="212"/>
      <c r="L894" s="212"/>
      <c r="M894" s="212"/>
    </row>
    <row r="895" spans="1:13" ht="12.75" customHeight="1">
      <c r="A895" s="212"/>
      <c r="B895" s="212"/>
      <c r="C895" s="212"/>
      <c r="D895" s="212"/>
      <c r="E895" s="212"/>
      <c r="F895" s="212"/>
      <c r="G895" s="212"/>
      <c r="J895" s="212"/>
      <c r="K895" s="212"/>
      <c r="L895" s="212"/>
      <c r="M895" s="212"/>
    </row>
    <row r="896" spans="1:13" ht="12.75" customHeight="1">
      <c r="A896" s="212"/>
      <c r="B896" s="212"/>
      <c r="C896" s="212"/>
      <c r="D896" s="212"/>
      <c r="E896" s="212"/>
      <c r="F896" s="212"/>
      <c r="G896" s="212"/>
      <c r="J896" s="212"/>
      <c r="K896" s="212"/>
      <c r="L896" s="212"/>
      <c r="M896" s="212"/>
    </row>
    <row r="897" spans="1:13" ht="12.75" customHeight="1">
      <c r="A897" s="212"/>
      <c r="B897" s="212"/>
      <c r="C897" s="212"/>
      <c r="D897" s="212"/>
      <c r="E897" s="212"/>
      <c r="F897" s="212"/>
      <c r="G897" s="212"/>
      <c r="J897" s="212"/>
      <c r="K897" s="212"/>
      <c r="L897" s="212"/>
      <c r="M897" s="212"/>
    </row>
    <row r="898" spans="1:13" ht="12.75" customHeight="1">
      <c r="A898" s="212"/>
      <c r="B898" s="212"/>
      <c r="C898" s="212"/>
      <c r="D898" s="212"/>
      <c r="E898" s="212"/>
      <c r="F898" s="212"/>
      <c r="G898" s="212"/>
      <c r="J898" s="212"/>
      <c r="K898" s="212"/>
      <c r="L898" s="212"/>
      <c r="M898" s="212"/>
    </row>
    <row r="899" spans="1:13" ht="12.75" customHeight="1">
      <c r="A899" s="212"/>
      <c r="B899" s="212"/>
      <c r="C899" s="212"/>
      <c r="D899" s="212"/>
      <c r="E899" s="212"/>
      <c r="F899" s="212"/>
      <c r="G899" s="212"/>
      <c r="J899" s="212"/>
      <c r="K899" s="212"/>
      <c r="L899" s="212"/>
      <c r="M899" s="212"/>
    </row>
    <row r="900" spans="1:13" ht="12.75" customHeight="1">
      <c r="A900" s="212"/>
      <c r="B900" s="212"/>
      <c r="C900" s="212"/>
      <c r="D900" s="212"/>
      <c r="E900" s="212"/>
      <c r="F900" s="212"/>
      <c r="G900" s="212"/>
      <c r="J900" s="212"/>
      <c r="K900" s="212"/>
      <c r="L900" s="212"/>
      <c r="M900" s="212"/>
    </row>
    <row r="901" spans="1:13" ht="12.75" customHeight="1">
      <c r="A901" s="212"/>
      <c r="B901" s="212"/>
      <c r="C901" s="212"/>
      <c r="D901" s="212"/>
      <c r="E901" s="212"/>
      <c r="F901" s="212"/>
      <c r="G901" s="212"/>
      <c r="J901" s="212"/>
      <c r="K901" s="212"/>
      <c r="L901" s="212"/>
      <c r="M901" s="212"/>
    </row>
    <row r="902" spans="1:13" ht="12.75" customHeight="1">
      <c r="A902" s="212"/>
      <c r="B902" s="212"/>
      <c r="C902" s="212"/>
      <c r="D902" s="212"/>
      <c r="E902" s="212"/>
      <c r="F902" s="212"/>
      <c r="G902" s="212"/>
      <c r="J902" s="212"/>
      <c r="K902" s="212"/>
      <c r="L902" s="212"/>
      <c r="M902" s="212"/>
    </row>
    <row r="903" spans="1:13" ht="12.75" customHeight="1">
      <c r="A903" s="212"/>
      <c r="B903" s="212"/>
      <c r="C903" s="212"/>
      <c r="D903" s="212"/>
      <c r="E903" s="212"/>
      <c r="F903" s="212"/>
      <c r="G903" s="212"/>
      <c r="J903" s="212"/>
      <c r="K903" s="212"/>
      <c r="L903" s="212"/>
      <c r="M903" s="212"/>
    </row>
    <row r="904" spans="1:13" ht="12.75" customHeight="1">
      <c r="A904" s="212"/>
      <c r="B904" s="212"/>
      <c r="C904" s="212"/>
      <c r="D904" s="212"/>
      <c r="E904" s="212"/>
      <c r="F904" s="212"/>
      <c r="G904" s="212"/>
      <c r="J904" s="212"/>
      <c r="K904" s="212"/>
      <c r="L904" s="212"/>
      <c r="M904" s="212"/>
    </row>
    <row r="905" spans="1:13" ht="12.75" customHeight="1">
      <c r="A905" s="212"/>
      <c r="B905" s="212"/>
      <c r="C905" s="212"/>
      <c r="D905" s="212"/>
      <c r="E905" s="212"/>
      <c r="F905" s="212"/>
      <c r="G905" s="212"/>
      <c r="J905" s="212"/>
      <c r="K905" s="212"/>
      <c r="L905" s="212"/>
      <c r="M905" s="212"/>
    </row>
    <row r="906" spans="1:13" ht="12.75" customHeight="1">
      <c r="A906" s="212"/>
      <c r="B906" s="212"/>
      <c r="C906" s="212"/>
      <c r="D906" s="212"/>
      <c r="E906" s="212"/>
      <c r="F906" s="212"/>
      <c r="G906" s="212"/>
      <c r="J906" s="212"/>
      <c r="K906" s="212"/>
      <c r="L906" s="212"/>
      <c r="M906" s="212"/>
    </row>
    <row r="907" spans="1:13" ht="12.75" customHeight="1">
      <c r="A907" s="212"/>
      <c r="B907" s="212"/>
      <c r="C907" s="212"/>
      <c r="D907" s="212"/>
      <c r="E907" s="212"/>
      <c r="F907" s="212"/>
      <c r="G907" s="212"/>
      <c r="J907" s="212"/>
      <c r="K907" s="212"/>
      <c r="L907" s="212"/>
      <c r="M907" s="212"/>
    </row>
    <row r="908" spans="1:13" ht="12.75" customHeight="1">
      <c r="A908" s="212"/>
      <c r="B908" s="212"/>
      <c r="C908" s="212"/>
      <c r="D908" s="212"/>
      <c r="E908" s="212"/>
      <c r="F908" s="212"/>
      <c r="G908" s="212"/>
      <c r="J908" s="212"/>
      <c r="K908" s="212"/>
      <c r="L908" s="212"/>
      <c r="M908" s="212"/>
    </row>
    <row r="909" spans="1:13" ht="12.75" customHeight="1">
      <c r="A909" s="212"/>
      <c r="B909" s="212"/>
      <c r="C909" s="212"/>
      <c r="D909" s="212"/>
      <c r="E909" s="212"/>
      <c r="F909" s="212"/>
      <c r="G909" s="212"/>
      <c r="J909" s="212"/>
      <c r="K909" s="212"/>
      <c r="L909" s="212"/>
      <c r="M909" s="212"/>
    </row>
    <row r="910" spans="1:13" ht="12.75" customHeight="1">
      <c r="A910" s="212"/>
      <c r="B910" s="212"/>
      <c r="C910" s="212"/>
      <c r="D910" s="212"/>
      <c r="E910" s="212"/>
      <c r="F910" s="212"/>
      <c r="G910" s="212"/>
      <c r="J910" s="212"/>
      <c r="K910" s="212"/>
      <c r="L910" s="212"/>
      <c r="M910" s="212"/>
    </row>
    <row r="911" spans="1:13" ht="12.75" customHeight="1">
      <c r="A911" s="212"/>
      <c r="B911" s="212"/>
      <c r="C911" s="212"/>
      <c r="D911" s="212"/>
      <c r="E911" s="212"/>
      <c r="F911" s="212"/>
      <c r="G911" s="212"/>
      <c r="J911" s="212"/>
      <c r="K911" s="212"/>
      <c r="L911" s="212"/>
      <c r="M911" s="212"/>
    </row>
    <row r="912" spans="1:13" ht="12.75" customHeight="1">
      <c r="A912" s="212"/>
      <c r="B912" s="212"/>
      <c r="C912" s="212"/>
      <c r="D912" s="212"/>
      <c r="E912" s="212"/>
      <c r="F912" s="212"/>
      <c r="G912" s="212"/>
      <c r="J912" s="212"/>
      <c r="K912" s="212"/>
      <c r="L912" s="212"/>
      <c r="M912" s="212"/>
    </row>
    <row r="913" spans="1:13" ht="12.75" customHeight="1">
      <c r="A913" s="212"/>
      <c r="B913" s="212"/>
      <c r="C913" s="212"/>
      <c r="D913" s="212"/>
      <c r="E913" s="212"/>
      <c r="F913" s="212"/>
      <c r="G913" s="212"/>
      <c r="J913" s="212"/>
      <c r="K913" s="212"/>
      <c r="L913" s="212"/>
      <c r="M913" s="212"/>
    </row>
    <row r="914" spans="1:13" ht="12.75" customHeight="1">
      <c r="A914" s="212"/>
      <c r="B914" s="212"/>
      <c r="C914" s="212"/>
      <c r="D914" s="212"/>
      <c r="E914" s="212"/>
      <c r="F914" s="212"/>
      <c r="G914" s="212"/>
      <c r="J914" s="212"/>
      <c r="K914" s="212"/>
      <c r="L914" s="212"/>
      <c r="M914" s="212"/>
    </row>
    <row r="915" spans="1:13" ht="12.75" customHeight="1">
      <c r="A915" s="212"/>
      <c r="B915" s="212"/>
      <c r="C915" s="212"/>
      <c r="D915" s="212"/>
      <c r="E915" s="212"/>
      <c r="F915" s="212"/>
      <c r="G915" s="212"/>
      <c r="J915" s="212"/>
      <c r="K915" s="212"/>
      <c r="L915" s="212"/>
      <c r="M915" s="212"/>
    </row>
    <row r="916" spans="1:13" ht="12.75" customHeight="1">
      <c r="A916" s="212"/>
      <c r="B916" s="212"/>
      <c r="C916" s="212"/>
      <c r="D916" s="212"/>
      <c r="E916" s="212"/>
      <c r="F916" s="212"/>
      <c r="G916" s="212"/>
      <c r="J916" s="212"/>
      <c r="K916" s="212"/>
      <c r="L916" s="212"/>
      <c r="M916" s="212"/>
    </row>
    <row r="917" spans="1:13" ht="12.75" customHeight="1">
      <c r="A917" s="212"/>
      <c r="B917" s="212"/>
      <c r="C917" s="212"/>
      <c r="D917" s="212"/>
      <c r="E917" s="212"/>
      <c r="F917" s="212"/>
      <c r="G917" s="212"/>
      <c r="J917" s="212"/>
      <c r="K917" s="212"/>
      <c r="L917" s="212"/>
      <c r="M917" s="212"/>
    </row>
    <row r="918" spans="1:13" ht="12.75" customHeight="1">
      <c r="A918" s="212"/>
      <c r="B918" s="212"/>
      <c r="C918" s="212"/>
      <c r="D918" s="212"/>
      <c r="E918" s="212"/>
      <c r="F918" s="212"/>
      <c r="G918" s="212"/>
      <c r="J918" s="212"/>
      <c r="K918" s="212"/>
      <c r="L918" s="212"/>
      <c r="M918" s="212"/>
    </row>
    <row r="919" spans="1:13" ht="12.75" customHeight="1">
      <c r="A919" s="212"/>
      <c r="B919" s="212"/>
      <c r="C919" s="212"/>
      <c r="D919" s="212"/>
      <c r="E919" s="212"/>
      <c r="F919" s="212"/>
      <c r="G919" s="212"/>
      <c r="J919" s="212"/>
      <c r="K919" s="212"/>
      <c r="L919" s="212"/>
      <c r="M919" s="212"/>
    </row>
    <row r="920" spans="1:13" ht="12.75" customHeight="1">
      <c r="A920" s="212"/>
      <c r="B920" s="212"/>
      <c r="C920" s="212"/>
      <c r="D920" s="212"/>
      <c r="E920" s="212"/>
      <c r="F920" s="212"/>
      <c r="G920" s="212"/>
      <c r="J920" s="212"/>
      <c r="K920" s="212"/>
      <c r="L920" s="212"/>
      <c r="M920" s="212"/>
    </row>
    <row r="921" spans="1:13" ht="12.75" customHeight="1">
      <c r="A921" s="212"/>
      <c r="B921" s="212"/>
      <c r="C921" s="212"/>
      <c r="D921" s="212"/>
      <c r="E921" s="212"/>
      <c r="F921" s="212"/>
      <c r="G921" s="212"/>
      <c r="J921" s="212"/>
      <c r="K921" s="212"/>
      <c r="L921" s="212"/>
      <c r="M921" s="212"/>
    </row>
    <row r="922" spans="1:13" ht="12.75" customHeight="1">
      <c r="A922" s="212"/>
      <c r="B922" s="212"/>
      <c r="C922" s="212"/>
      <c r="D922" s="212"/>
      <c r="E922" s="212"/>
      <c r="F922" s="212"/>
      <c r="G922" s="212"/>
      <c r="J922" s="212"/>
      <c r="K922" s="212"/>
      <c r="L922" s="212"/>
      <c r="M922" s="212"/>
    </row>
    <row r="923" spans="1:13" ht="12.75" customHeight="1">
      <c r="A923" s="212"/>
      <c r="B923" s="212"/>
      <c r="C923" s="212"/>
      <c r="D923" s="212"/>
      <c r="E923" s="212"/>
      <c r="F923" s="212"/>
      <c r="G923" s="212"/>
      <c r="J923" s="212"/>
      <c r="K923" s="212"/>
      <c r="L923" s="212"/>
      <c r="M923" s="212"/>
    </row>
    <row r="924" spans="1:13" ht="12.75" customHeight="1">
      <c r="A924" s="212"/>
      <c r="B924" s="212"/>
      <c r="C924" s="212"/>
      <c r="D924" s="212"/>
      <c r="E924" s="212"/>
      <c r="F924" s="212"/>
      <c r="G924" s="212"/>
      <c r="J924" s="212"/>
      <c r="K924" s="212"/>
      <c r="L924" s="212"/>
      <c r="M924" s="212"/>
    </row>
    <row r="925" spans="1:13" ht="12.75" customHeight="1">
      <c r="A925" s="212"/>
      <c r="B925" s="212"/>
      <c r="C925" s="212"/>
      <c r="D925" s="212"/>
      <c r="E925" s="212"/>
      <c r="F925" s="212"/>
      <c r="G925" s="212"/>
      <c r="J925" s="212"/>
      <c r="K925" s="212"/>
      <c r="L925" s="212"/>
      <c r="M925" s="212"/>
    </row>
    <row r="926" spans="1:13" ht="12.75" customHeight="1">
      <c r="A926" s="212"/>
      <c r="B926" s="212"/>
      <c r="C926" s="212"/>
      <c r="D926" s="212"/>
      <c r="E926" s="212"/>
      <c r="F926" s="212"/>
      <c r="G926" s="212"/>
      <c r="J926" s="212"/>
      <c r="K926" s="212"/>
      <c r="L926" s="212"/>
      <c r="M926" s="212"/>
    </row>
    <row r="927" spans="1:13" ht="12.75" customHeight="1">
      <c r="A927" s="212"/>
      <c r="B927" s="212"/>
      <c r="C927" s="212"/>
      <c r="D927" s="212"/>
      <c r="E927" s="212"/>
      <c r="F927" s="212"/>
      <c r="G927" s="212"/>
      <c r="J927" s="212"/>
      <c r="K927" s="212"/>
      <c r="L927" s="212"/>
      <c r="M927" s="212"/>
    </row>
    <row r="928" spans="1:13" ht="12.75" customHeight="1">
      <c r="A928" s="212"/>
      <c r="B928" s="212"/>
      <c r="C928" s="212"/>
      <c r="D928" s="212"/>
      <c r="E928" s="212"/>
      <c r="F928" s="212"/>
      <c r="G928" s="212"/>
      <c r="J928" s="212"/>
      <c r="K928" s="212"/>
      <c r="L928" s="212"/>
      <c r="M928" s="212"/>
    </row>
    <row r="929" spans="1:13" ht="12.75" customHeight="1">
      <c r="A929" s="212"/>
      <c r="B929" s="212"/>
      <c r="C929" s="212"/>
      <c r="D929" s="212"/>
      <c r="E929" s="212"/>
      <c r="F929" s="212"/>
      <c r="G929" s="212"/>
      <c r="J929" s="212"/>
      <c r="K929" s="212"/>
      <c r="L929" s="212"/>
      <c r="M929" s="212"/>
    </row>
    <row r="930" spans="1:13" ht="12.75" customHeight="1">
      <c r="A930" s="212"/>
      <c r="B930" s="212"/>
      <c r="C930" s="212"/>
      <c r="D930" s="212"/>
      <c r="E930" s="212"/>
      <c r="F930" s="212"/>
      <c r="G930" s="212"/>
      <c r="J930" s="212"/>
      <c r="K930" s="212"/>
      <c r="L930" s="212"/>
      <c r="M930" s="212"/>
    </row>
    <row r="931" spans="1:13" ht="12.75" customHeight="1">
      <c r="A931" s="212"/>
      <c r="B931" s="212"/>
      <c r="C931" s="212"/>
      <c r="D931" s="212"/>
      <c r="E931" s="212"/>
      <c r="F931" s="212"/>
      <c r="G931" s="212"/>
      <c r="J931" s="212"/>
      <c r="K931" s="212"/>
      <c r="L931" s="212"/>
      <c r="M931" s="212"/>
    </row>
    <row r="932" spans="1:13" ht="12.75" customHeight="1">
      <c r="A932" s="212"/>
      <c r="B932" s="212"/>
      <c r="C932" s="212"/>
      <c r="D932" s="212"/>
      <c r="E932" s="212"/>
      <c r="F932" s="212"/>
      <c r="G932" s="212"/>
      <c r="J932" s="212"/>
      <c r="K932" s="212"/>
      <c r="L932" s="212"/>
      <c r="M932" s="212"/>
    </row>
    <row r="933" spans="1:13" ht="12.75" customHeight="1">
      <c r="A933" s="212"/>
      <c r="B933" s="212"/>
      <c r="C933" s="212"/>
      <c r="D933" s="212"/>
      <c r="E933" s="212"/>
      <c r="F933" s="212"/>
      <c r="G933" s="212"/>
      <c r="J933" s="212"/>
      <c r="K933" s="212"/>
      <c r="L933" s="212"/>
      <c r="M933" s="212"/>
    </row>
    <row r="934" spans="1:13" ht="12.75" customHeight="1">
      <c r="A934" s="212"/>
      <c r="B934" s="212"/>
      <c r="C934" s="212"/>
      <c r="D934" s="212"/>
      <c r="E934" s="212"/>
      <c r="F934" s="212"/>
      <c r="G934" s="212"/>
      <c r="J934" s="212"/>
      <c r="K934" s="212"/>
      <c r="L934" s="212"/>
      <c r="M934" s="212"/>
    </row>
    <row r="935" spans="1:13" ht="12.75" customHeight="1">
      <c r="A935" s="212"/>
      <c r="B935" s="212"/>
      <c r="C935" s="212"/>
      <c r="D935" s="212"/>
      <c r="E935" s="212"/>
      <c r="F935" s="212"/>
      <c r="G935" s="212"/>
      <c r="J935" s="212"/>
      <c r="K935" s="212"/>
      <c r="L935" s="212"/>
      <c r="M935" s="212"/>
    </row>
    <row r="936" spans="1:13" ht="12.75" customHeight="1">
      <c r="A936" s="212"/>
      <c r="B936" s="212"/>
      <c r="C936" s="212"/>
      <c r="D936" s="212"/>
      <c r="E936" s="212"/>
      <c r="F936" s="212"/>
      <c r="G936" s="212"/>
      <c r="J936" s="212"/>
      <c r="K936" s="212"/>
      <c r="L936" s="212"/>
      <c r="M936" s="212"/>
    </row>
    <row r="937" spans="1:13" ht="12.75" customHeight="1">
      <c r="A937" s="212"/>
      <c r="B937" s="212"/>
      <c r="C937" s="212"/>
      <c r="D937" s="212"/>
      <c r="E937" s="212"/>
      <c r="F937" s="212"/>
      <c r="G937" s="212"/>
      <c r="J937" s="212"/>
      <c r="K937" s="212"/>
      <c r="L937" s="212"/>
      <c r="M937" s="212"/>
    </row>
    <row r="938" spans="1:13" ht="12.75" customHeight="1">
      <c r="A938" s="212"/>
      <c r="B938" s="212"/>
      <c r="C938" s="212"/>
      <c r="D938" s="212"/>
      <c r="E938" s="212"/>
      <c r="F938" s="212"/>
      <c r="G938" s="212"/>
      <c r="J938" s="212"/>
      <c r="K938" s="212"/>
      <c r="L938" s="212"/>
      <c r="M938" s="212"/>
    </row>
    <row r="939" spans="1:13" ht="12.75" customHeight="1">
      <c r="A939" s="212"/>
      <c r="B939" s="212"/>
      <c r="C939" s="212"/>
      <c r="D939" s="212"/>
      <c r="E939" s="212"/>
      <c r="F939" s="212"/>
      <c r="G939" s="212"/>
      <c r="J939" s="212"/>
      <c r="K939" s="212"/>
      <c r="L939" s="212"/>
      <c r="M939" s="212"/>
    </row>
  </sheetData>
  <sheetProtection password="C6F3" sheet="1" objects="1" scenarios="1"/>
  <mergeCells count="16">
    <mergeCell ref="A11:A38"/>
    <mergeCell ref="B2:B9"/>
    <mergeCell ref="A2:A9"/>
    <mergeCell ref="B50:B54"/>
    <mergeCell ref="B61:B63"/>
    <mergeCell ref="B22:B25"/>
    <mergeCell ref="B26:B38"/>
    <mergeCell ref="B39:B41"/>
    <mergeCell ref="B42:B49"/>
    <mergeCell ref="B11:B18"/>
    <mergeCell ref="B19:B21"/>
    <mergeCell ref="B68:B73"/>
    <mergeCell ref="B64:B66"/>
    <mergeCell ref="B55:B60"/>
    <mergeCell ref="A68:A73"/>
    <mergeCell ref="A39:A65"/>
  </mergeCells>
  <conditionalFormatting sqref="C1 J1 F2:F8 M2:M3 F11:F17 M11:M13 F19:F20 M19:M20 F22:F24 M22:M23 F26:F36 M26:M30 F39:F40 M39:M40 F42:F48 M42:M43 F50:F53 M50 F55:F59 M55:M59 F61:F62 M61:M62 F64:F65 M64 F68:F73 M68:M69">
    <cfRule type="containsBlanks" dxfId="108" priority="1">
      <formula>LEN(TRIM(C1))=0</formula>
    </cfRule>
  </conditionalFormatting>
  <conditionalFormatting sqref="H2:H8 H11:H17 H19:H20 H22:H24 H26:H36 H39:H40 H42:H48 H50:H53 H55:H59 H61:H62 H64:H65 H68:H73">
    <cfRule type="colorScale" priority="2">
      <colorScale>
        <cfvo type="formula" val="1"/>
        <cfvo type="formula" val="2"/>
        <cfvo type="formula" val="3"/>
        <color rgb="FFFF0000"/>
        <color rgb="FFFFFF00"/>
        <color rgb="FF00FF00"/>
      </colorScale>
    </cfRule>
  </conditionalFormatting>
  <conditionalFormatting sqref="H2:H8 H11:H17 H19:H20 H22:H24 H26:H36 H39:H40 H42:H48 H50:H53 H55:H59 H61:H62 H64:H65 H68:H73">
    <cfRule type="containsBlanks" dxfId="107" priority="3">
      <formula>LEN(TRIM(H2))=0</formula>
    </cfRule>
  </conditionalFormatting>
  <conditionalFormatting sqref="D2:D8 K2:K3 D11:D17 K11:K13 D19:D20 K19:K20 D22:D24 K22:K23 D26:D36 K26:K30 D39:D40 K39 D42:D48 K42:K43 D50:D53 K50 D55:D59 K55:K59 D61:D62 K61:K62 D64:D65 K64 D68:D73 K68:K69">
    <cfRule type="containsText" dxfId="106" priority="4" operator="containsText" text="Y">
      <formula>NOT(ISERROR(SEARCH(("Y"),(D2))))</formula>
    </cfRule>
  </conditionalFormatting>
  <conditionalFormatting sqref="D2:D8 K2:K3 D11:D17 K11:K13 D19:D20 K19:K20 D22:D24 K22:K23 D26:D36 K26:K30 D39:D40 K39 D42:D48 K42:K43 D50:D53 K50 D55:D59 K55:K59 D61:D62 K61:K62 D64:D65 K64 D68:D73 K68:K69">
    <cfRule type="containsText" dxfId="105" priority="5" operator="containsText" text="N">
      <formula>NOT(ISERROR(SEARCH(("N"),(D2))))</formula>
    </cfRule>
  </conditionalFormatting>
  <conditionalFormatting sqref="D2:D8 K2:K3 D11:D17 K11:K13 D19:D20 K19:K20 D22:D24 K22:K23 D26:D36 K26:K30 D39:D40 K39 D42:D48 K42:K43 D50:D53 K50 D55:D59 K55:K59 D61:D62 K61:K62 D64:D65 K64 D68:D73 K68:K69">
    <cfRule type="containsBlanks" dxfId="104" priority="6">
      <formula>LEN(TRIM(D2))=0</formula>
    </cfRule>
  </conditionalFormatting>
  <conditionalFormatting sqref="C1:C7 E1:E8 J1:J8 D2:D8 F2:G8 K2:K3 L2:L4 N2:N3 M3 C10:C51 D10:G40 J10:J11 K11:N13 J13 K19:L23 M19:N20 J21:J24 M22:N23 K26:N30 J27 J39:K39 L39:L43 M39:N40 J40 D42:G53 J42:J44 K42:K43 M42:N43 J50:J53 K50:N50 C55 D55:G59 J55:K59 L55:L64 M55:N59 C57:C58 C61 D61:G62 J61:K62 M61:N62 C64:C73 D64:D74 E64:G73 J64:J65 K64 M64:N64 J67:J70 K68:N69 J72:J73">
    <cfRule type="containsBlanks" dxfId="103" priority="7" stopIfTrue="1">
      <formula>LEN(TRIM(C1))=0</formula>
    </cfRule>
  </conditionalFormatting>
  <conditionalFormatting sqref="K2:K3 L2:M6 N2:N3 K11:N13 K19:K20 L19:M23 N19:N20 K22:K23 N22:N23 K26:N30 K39 L39:M43 N39:N40 K42:K43 N42:N43 K50:N50 K55:K59 L55:M64 N55:N59 K61:K62 N61:N62 K64 N64 K68:N69">
    <cfRule type="containsText" dxfId="102" priority="8" operator="containsText" text="Y">
      <formula>NOT(ISERROR(SEARCH(("Y"),(K2))))</formula>
    </cfRule>
  </conditionalFormatting>
  <conditionalFormatting sqref="K2:K3 L2:M6 N2:N3 K11:N13 K19:K20 L19:M23 N19:N20 K22:K23 N22:N23 K26:N30 K39 L39:M43 N39:N40 K42:K43 N42:N43 K50:N50 K55:K59 L55:M64 N55:N59 K61:K62 N61:N62 K64 N64 K68:N69">
    <cfRule type="containsText" dxfId="101" priority="9" operator="containsText" text="N">
      <formula>NOT(ISERROR(SEARCH(("N"),(K2))))</formula>
    </cfRule>
  </conditionalFormatting>
  <conditionalFormatting sqref="K2:K3 L2:M6 N2:N3 K11:N13 K19:K20 L19:M23 N19:N20 K22:K23 N22:N23 K26:N30 K39 L39:M43 N39:N40 K42:K43 N42:N43 K50:N50 K55:K59 L55:M64 N55:N59 K61:K62 N61:N62 K64 N64 K68:N69">
    <cfRule type="containsBlanks" dxfId="100" priority="10">
      <formula>LEN(TRIM(K2))=0</formula>
    </cfRule>
  </conditionalFormatting>
  <conditionalFormatting sqref="K65:M65 L66:M66 K67:M67">
    <cfRule type="containsBlanks" dxfId="99" priority="11" stopIfTrue="1">
      <formula>LEN(TRIM(K65))=0</formula>
    </cfRule>
  </conditionalFormatting>
  <conditionalFormatting sqref="D71:G71 J71">
    <cfRule type="containsBlanks" dxfId="98" priority="12" stopIfTrue="1">
      <formula>LEN(TRIM(D71))=0</formula>
    </cfRule>
  </conditionalFormatting>
  <conditionalFormatting sqref="K70:M70">
    <cfRule type="containsBlanks" dxfId="97" priority="13" stopIfTrue="1">
      <formula>LEN(TRIM(K70))=0</formula>
    </cfRule>
  </conditionalFormatting>
  <conditionalFormatting sqref="K71 L71:M73">
    <cfRule type="containsBlanks" dxfId="96" priority="14" stopIfTrue="1">
      <formula>LEN(TRIM(K71))=0</formula>
    </cfRule>
  </conditionalFormatting>
  <conditionalFormatting sqref="K7:M8 L9:M9 K10:M10">
    <cfRule type="containsBlanks" dxfId="95" priority="15" stopIfTrue="1">
      <formula>LEN(TRIM(K7))=0</formula>
    </cfRule>
  </conditionalFormatting>
  <conditionalFormatting sqref="D15:G17 J15:J17 D19:G20 D22:G24 D26:G36 D39:G40 D42:G48 D50:G53 D55:G59 D61:G62 D64:G65 E67:G73 D68:D73">
    <cfRule type="containsBlanks" dxfId="94" priority="16" stopIfTrue="1">
      <formula>LEN(TRIM(D15))=0</formula>
    </cfRule>
  </conditionalFormatting>
  <conditionalFormatting sqref="K15:K17 L15:M23 K19:K20 N19:N20 K22:K23 N22:N23 K26:N30 K39 L39:M43 N39:N40 K42:K43 N42:N43 K50:N50 K55:K59 L55:M64 N55:N59 K61:K62 N61:N62 K64 N64 K68:N69">
    <cfRule type="containsBlanks" dxfId="93" priority="17" stopIfTrue="1">
      <formula>LEN(TRIM(K15))=0</formula>
    </cfRule>
  </conditionalFormatting>
  <conditionalFormatting sqref="K24:M24 L25:M25">
    <cfRule type="containsBlanks" dxfId="92" priority="18" stopIfTrue="1">
      <formula>LEN(TRIM(K24))=0</formula>
    </cfRule>
  </conditionalFormatting>
  <conditionalFormatting sqref="K30:N30 D31:G36 J31:J36 J38 D39:G40 L39:M40 D42:G48 L42:M43 D50:G53 L50:M50 D55:G59 L55:M59 D61:G62 L61:M62 D64:G65 L64:M64 E67:G73 D68:D73 L68:M69">
    <cfRule type="containsBlanks" dxfId="91" priority="19" stopIfTrue="1">
      <formula>LEN(TRIM(K30))=0</formula>
    </cfRule>
  </conditionalFormatting>
  <conditionalFormatting sqref="K29:K36 L29:M37 N29:N30 K38:K39 L39:M43 N39:N40 K42:K43 N42:N43 K50:N50 K55:K59 L55:M64 N55:N59 K61:K62 N61:N62 K64 N64 K68:N69">
    <cfRule type="containsBlanks" dxfId="90" priority="20" stopIfTrue="1">
      <formula>LEN(TRIM(K29))=0</formula>
    </cfRule>
  </conditionalFormatting>
  <conditionalFormatting sqref="D45:G48 J45:J48">
    <cfRule type="containsBlanks" dxfId="89" priority="21" stopIfTrue="1">
      <formula>LEN(TRIM(D45))=0</formula>
    </cfRule>
  </conditionalFormatting>
  <conditionalFormatting sqref="K44:M48 L49:M49">
    <cfRule type="containsBlanks" dxfId="88" priority="22" stopIfTrue="1">
      <formula>LEN(TRIM(K44))=0</formula>
    </cfRule>
  </conditionalFormatting>
  <conditionalFormatting sqref="D55:G59 D61:G62 D64:G65 E67:G73 D68:D73">
    <cfRule type="containsBlanks" dxfId="87" priority="23" stopIfTrue="1">
      <formula>LEN(TRIM(D55))=0</formula>
    </cfRule>
  </conditionalFormatting>
  <conditionalFormatting sqref="K51:M53 L54:M54">
    <cfRule type="containsBlanks" dxfId="86" priority="24" stopIfTrue="1">
      <formula>LEN(TRIM(K51))=0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8FF00"/>
  </sheetPr>
  <dimension ref="A1:O977"/>
  <sheetViews>
    <sheetView showGridLines="0" workbookViewId="0">
      <pane xSplit="2" ySplit="1" topLeftCell="C2" activePane="bottomRight" state="frozen"/>
      <selection pane="topRight" activeCell="C1" sqref="C1"/>
      <selection pane="bottomLeft" activeCell="A2" sqref="A2"/>
      <selection pane="bottomRight" activeCell="H2" sqref="H2"/>
    </sheetView>
  </sheetViews>
  <sheetFormatPr baseColWidth="10" defaultColWidth="17.33203125" defaultRowHeight="15" customHeight="1"/>
  <cols>
    <col min="1" max="1" width="15.83203125" customWidth="1"/>
    <col min="2" max="2" width="20.1640625" customWidth="1"/>
    <col min="3" max="3" width="53.83203125" customWidth="1"/>
    <col min="4" max="4" width="4.5" customWidth="1"/>
    <col min="5" max="5" width="8.1640625" hidden="1" customWidth="1"/>
    <col min="6" max="7" width="4.5" hidden="1" customWidth="1"/>
    <col min="8" max="8" width="6.1640625" customWidth="1"/>
    <col min="9" max="9" width="6.6640625" customWidth="1"/>
    <col min="10" max="10" width="58.33203125" customWidth="1"/>
    <col min="11" max="11" width="4.5" customWidth="1"/>
    <col min="12" max="12" width="7.5" hidden="1" customWidth="1"/>
    <col min="13" max="13" width="4.5" hidden="1" customWidth="1"/>
    <col min="14" max="14" width="5.5" hidden="1" customWidth="1"/>
    <col min="15" max="15" width="6.5" customWidth="1"/>
    <col min="16" max="33" width="17.1640625" customWidth="1"/>
  </cols>
  <sheetData>
    <row r="1" spans="1:15" ht="24">
      <c r="A1" s="22" t="s">
        <v>19</v>
      </c>
      <c r="B1" s="22" t="s">
        <v>21</v>
      </c>
      <c r="C1" s="24" t="s">
        <v>23</v>
      </c>
      <c r="D1" s="26" t="s">
        <v>25</v>
      </c>
      <c r="E1" s="257"/>
      <c r="F1" s="257"/>
      <c r="G1" s="257"/>
      <c r="H1" s="31" t="s">
        <v>42</v>
      </c>
      <c r="I1" s="33"/>
      <c r="J1" s="35" t="s">
        <v>29</v>
      </c>
      <c r="K1" s="26" t="s">
        <v>25</v>
      </c>
      <c r="O1" s="37"/>
    </row>
    <row r="2" spans="1:15" ht="16.5" customHeight="1">
      <c r="A2" s="468" t="s">
        <v>46</v>
      </c>
      <c r="B2" s="495" t="s">
        <v>67</v>
      </c>
      <c r="C2" s="291" t="str">
        <f>Glossary!B184</f>
        <v>Project Scope Document</v>
      </c>
      <c r="D2" s="453"/>
      <c r="E2" t="b">
        <f t="shared" ref="E2:E6" si="0">IF(OR(D2="y",D2="n"), G2)</f>
        <v>0</v>
      </c>
      <c r="F2" s="51" t="str">
        <f t="shared" ref="F2:F6" si="1">IF(D2 = "Y",E2, IF(D2="n",0, ""))</f>
        <v/>
      </c>
      <c r="G2" s="53">
        <v>25</v>
      </c>
      <c r="H2" s="400"/>
      <c r="I2" s="56"/>
      <c r="J2" s="58" t="str">
        <f>Glossary!B181</f>
        <v>Project efforts initial estimates</v>
      </c>
      <c r="K2" s="402"/>
      <c r="L2" t="b">
        <f>IF(OR(K2="y",K2="n"), N2)</f>
        <v>0</v>
      </c>
      <c r="M2" s="51" t="str">
        <f>IF(K2 = "Y",L2, IF(K2="n",0, ""))</f>
        <v/>
      </c>
      <c r="N2" s="53">
        <v>50</v>
      </c>
      <c r="O2" s="37"/>
    </row>
    <row r="3" spans="1:15" ht="16.5" customHeight="1">
      <c r="A3" s="469"/>
      <c r="B3" s="469"/>
      <c r="C3" s="64" t="str">
        <f>Glossary!B104</f>
        <v>High Level Solution Design</v>
      </c>
      <c r="D3" s="402"/>
      <c r="E3" t="b">
        <f t="shared" si="0"/>
        <v>0</v>
      </c>
      <c r="F3" s="51" t="str">
        <f t="shared" si="1"/>
        <v/>
      </c>
      <c r="G3" s="53">
        <v>30</v>
      </c>
      <c r="H3" s="400"/>
      <c r="I3" s="56"/>
      <c r="J3" s="143"/>
      <c r="K3" s="123"/>
      <c r="O3" s="37"/>
    </row>
    <row r="4" spans="1:15" ht="16.5" customHeight="1">
      <c r="A4" s="469"/>
      <c r="B4" s="469"/>
      <c r="C4" s="64" t="str">
        <f>Glossary!B101</f>
        <v>Hardware Estimates</v>
      </c>
      <c r="D4" s="402"/>
      <c r="E4" t="b">
        <f t="shared" si="0"/>
        <v>0</v>
      </c>
      <c r="F4" s="51" t="str">
        <f t="shared" si="1"/>
        <v/>
      </c>
      <c r="G4" s="53">
        <v>10</v>
      </c>
      <c r="H4" s="400"/>
      <c r="I4" s="56"/>
      <c r="J4" s="95"/>
      <c r="K4" s="97"/>
      <c r="O4" s="37"/>
    </row>
    <row r="5" spans="1:15" ht="16.5" customHeight="1">
      <c r="A5" s="469"/>
      <c r="B5" s="469"/>
      <c r="C5" s="292" t="str">
        <f>Glossary!B34</f>
        <v>Business Requirements Documentation</v>
      </c>
      <c r="D5" s="402"/>
      <c r="E5" t="b">
        <f t="shared" si="0"/>
        <v>0</v>
      </c>
      <c r="F5" s="51" t="str">
        <f t="shared" si="1"/>
        <v/>
      </c>
      <c r="G5" s="53">
        <v>40</v>
      </c>
      <c r="H5" s="400"/>
      <c r="I5" s="56"/>
      <c r="J5" s="95"/>
      <c r="K5" s="97"/>
      <c r="O5" s="37"/>
    </row>
    <row r="6" spans="1:15" ht="16.5" customHeight="1">
      <c r="A6" s="469"/>
      <c r="B6" s="469"/>
      <c r="C6" s="293" t="str">
        <f>Glossary!B245</f>
        <v>Technical Requirements</v>
      </c>
      <c r="D6" s="402"/>
      <c r="E6" t="b">
        <f t="shared" si="0"/>
        <v>0</v>
      </c>
      <c r="F6" s="51" t="str">
        <f t="shared" si="1"/>
        <v/>
      </c>
      <c r="G6" s="53">
        <v>50</v>
      </c>
      <c r="H6" s="400"/>
      <c r="I6" s="56"/>
      <c r="J6" s="95"/>
      <c r="K6" s="129"/>
      <c r="O6" s="37"/>
    </row>
    <row r="7" spans="1:15" ht="16.5" customHeight="1">
      <c r="A7" s="469"/>
      <c r="B7" s="469"/>
      <c r="C7" s="143"/>
      <c r="D7" s="37"/>
      <c r="E7" s="37"/>
      <c r="F7" s="37"/>
      <c r="G7" s="37"/>
      <c r="H7" s="37"/>
      <c r="I7" s="73"/>
      <c r="J7" s="137"/>
      <c r="K7" s="97"/>
      <c r="O7" s="37"/>
    </row>
    <row r="8" spans="1:15" ht="17.25" hidden="1" customHeight="1">
      <c r="A8" s="478"/>
      <c r="B8" s="478"/>
      <c r="C8" s="293"/>
      <c r="D8" s="92">
        <f>COUNTA(D2:D6,K2)/COUNTA(F2:F6,M2)</f>
        <v>0</v>
      </c>
      <c r="E8" s="92">
        <f t="shared" ref="E8:F8" si="2">SUM(E2:E6)</f>
        <v>0</v>
      </c>
      <c r="F8" s="92">
        <f t="shared" si="2"/>
        <v>0</v>
      </c>
      <c r="G8" s="92"/>
      <c r="H8" s="178" t="str">
        <f>IFERROR(AVERAGE(H2:H6), "")</f>
        <v/>
      </c>
      <c r="I8" s="37"/>
      <c r="J8" s="95"/>
      <c r="K8" s="97"/>
      <c r="L8">
        <f t="shared" ref="L8:M8" si="3">SUM(L2)</f>
        <v>0</v>
      </c>
      <c r="M8">
        <f t="shared" si="3"/>
        <v>0</v>
      </c>
      <c r="O8" s="37"/>
    </row>
    <row r="9" spans="1:15" ht="16.5" customHeight="1">
      <c r="A9" s="498" t="s">
        <v>47</v>
      </c>
      <c r="B9" s="495" t="s">
        <v>70</v>
      </c>
      <c r="C9" s="45" t="str">
        <f>Glossary!B185</f>
        <v>Proof of Concept (POC)</v>
      </c>
      <c r="D9" s="402"/>
      <c r="E9" t="b">
        <f t="shared" ref="E9:E17" si="4">IF(OR(D9="y",D9="n"), G9)</f>
        <v>0</v>
      </c>
      <c r="F9" s="51" t="str">
        <f t="shared" ref="F9:F17" si="5">IF(D9 = "Y",E9, IF(D9="n",0, ""))</f>
        <v/>
      </c>
      <c r="G9" s="53">
        <v>40</v>
      </c>
      <c r="H9" s="400"/>
      <c r="I9" s="56"/>
      <c r="J9" s="101" t="str">
        <f>Glossary!B166</f>
        <v>Performance KPIs</v>
      </c>
      <c r="K9" s="462"/>
      <c r="L9" t="b">
        <f t="shared" ref="L9:L11" si="6">IF(OR(K9="y",K9="n"), N9)</f>
        <v>0</v>
      </c>
      <c r="M9" s="51" t="str">
        <f t="shared" ref="M9:M11" si="7">IF(K9 = "Y",L9, IF(K9="n",0, ""))</f>
        <v/>
      </c>
      <c r="N9" s="53">
        <v>40</v>
      </c>
      <c r="O9" s="37"/>
    </row>
    <row r="10" spans="1:15" ht="16.5" customHeight="1">
      <c r="A10" s="469"/>
      <c r="B10" s="469"/>
      <c r="C10" s="64" t="str">
        <f>Glossary!B184</f>
        <v>Project Scope Document</v>
      </c>
      <c r="D10" s="402"/>
      <c r="E10" t="b">
        <f t="shared" si="4"/>
        <v>0</v>
      </c>
      <c r="F10" s="51" t="str">
        <f t="shared" si="5"/>
        <v/>
      </c>
      <c r="G10" s="53">
        <v>30</v>
      </c>
      <c r="H10" s="400"/>
      <c r="I10" s="56"/>
      <c r="J10" s="121" t="s">
        <v>113</v>
      </c>
      <c r="K10" s="402"/>
      <c r="L10" t="b">
        <f t="shared" si="6"/>
        <v>0</v>
      </c>
      <c r="M10" s="51" t="str">
        <f t="shared" si="7"/>
        <v/>
      </c>
      <c r="N10" s="53">
        <v>30</v>
      </c>
      <c r="O10" s="37"/>
    </row>
    <row r="11" spans="1:15" ht="16.5" customHeight="1">
      <c r="A11" s="469"/>
      <c r="B11" s="469"/>
      <c r="C11" s="64" t="str">
        <f>Glossary!B202</f>
        <v>ROI expectations</v>
      </c>
      <c r="D11" s="402"/>
      <c r="E11" t="b">
        <f t="shared" si="4"/>
        <v>0</v>
      </c>
      <c r="F11" s="51" t="str">
        <f t="shared" si="5"/>
        <v/>
      </c>
      <c r="G11" s="53">
        <v>25</v>
      </c>
      <c r="H11" s="400"/>
      <c r="I11" s="56"/>
      <c r="J11" s="69" t="str">
        <f>Glossary!B112</f>
        <v>Implementation Concept</v>
      </c>
      <c r="K11" s="402"/>
      <c r="L11" t="b">
        <f t="shared" si="6"/>
        <v>0</v>
      </c>
      <c r="M11" s="51" t="str">
        <f t="shared" si="7"/>
        <v/>
      </c>
      <c r="N11" s="53">
        <v>50</v>
      </c>
      <c r="O11" s="37"/>
    </row>
    <row r="12" spans="1:15" ht="16.5" customHeight="1">
      <c r="A12" s="469"/>
      <c r="B12" s="469"/>
      <c r="C12" s="64" t="str">
        <f>Glossary!B86</f>
        <v>Experience Designs Requirements</v>
      </c>
      <c r="D12" s="402"/>
      <c r="E12" t="b">
        <f t="shared" si="4"/>
        <v>0</v>
      </c>
      <c r="F12" s="51" t="str">
        <f t="shared" si="5"/>
        <v/>
      </c>
      <c r="G12" s="53">
        <v>35</v>
      </c>
      <c r="H12" s="400"/>
      <c r="I12" s="56"/>
      <c r="J12" s="95"/>
      <c r="K12" s="97"/>
      <c r="O12" s="37"/>
    </row>
    <row r="13" spans="1:15" ht="16.5" customHeight="1">
      <c r="A13" s="469"/>
      <c r="B13" s="469"/>
      <c r="C13" s="64" t="str">
        <f>Glossary!B198</f>
        <v>Requirements Documentation</v>
      </c>
      <c r="D13" s="402"/>
      <c r="E13" t="b">
        <f t="shared" si="4"/>
        <v>0</v>
      </c>
      <c r="F13" s="51" t="str">
        <f t="shared" si="5"/>
        <v/>
      </c>
      <c r="G13" s="53">
        <v>50</v>
      </c>
      <c r="H13" s="400"/>
      <c r="I13" s="56"/>
      <c r="J13" s="95"/>
      <c r="K13" s="97"/>
      <c r="O13" s="37"/>
    </row>
    <row r="14" spans="1:15" ht="16.5" customHeight="1">
      <c r="A14" s="469"/>
      <c r="B14" s="469"/>
      <c r="C14" s="64" t="str">
        <f>Glossary!B104</f>
        <v>High Level Solution Design</v>
      </c>
      <c r="D14" s="402"/>
      <c r="E14" t="b">
        <f t="shared" si="4"/>
        <v>0</v>
      </c>
      <c r="F14" s="51" t="str">
        <f t="shared" si="5"/>
        <v/>
      </c>
      <c r="G14" s="53">
        <v>35</v>
      </c>
      <c r="H14" s="400"/>
      <c r="I14" s="56"/>
      <c r="J14" s="95"/>
      <c r="K14" s="97"/>
      <c r="O14" s="37"/>
    </row>
    <row r="15" spans="1:15" ht="16.5" customHeight="1">
      <c r="A15" s="469"/>
      <c r="B15" s="469"/>
      <c r="C15" s="64" t="str">
        <f>Glossary!B11</f>
        <v>Architecture Draft</v>
      </c>
      <c r="D15" s="402"/>
      <c r="E15" t="b">
        <f t="shared" si="4"/>
        <v>0</v>
      </c>
      <c r="F15" s="51" t="str">
        <f t="shared" si="5"/>
        <v/>
      </c>
      <c r="G15" s="53">
        <v>40</v>
      </c>
      <c r="H15" s="400"/>
      <c r="I15" s="56"/>
      <c r="J15" s="95"/>
      <c r="K15" s="97"/>
      <c r="O15" s="37"/>
    </row>
    <row r="16" spans="1:15" ht="16.5" customHeight="1">
      <c r="A16" s="469"/>
      <c r="B16" s="469"/>
      <c r="C16" s="64" t="str">
        <f>Glossary!B101</f>
        <v>Hardware Estimates</v>
      </c>
      <c r="D16" s="402"/>
      <c r="E16" t="b">
        <f t="shared" si="4"/>
        <v>0</v>
      </c>
      <c r="F16" s="51" t="str">
        <f t="shared" si="5"/>
        <v/>
      </c>
      <c r="G16" s="53">
        <v>10</v>
      </c>
      <c r="H16" s="400"/>
      <c r="I16" s="56"/>
      <c r="J16" s="95"/>
      <c r="K16" s="97"/>
      <c r="O16" s="37"/>
    </row>
    <row r="17" spans="1:15" ht="16.5" customHeight="1">
      <c r="A17" s="469"/>
      <c r="B17" s="469"/>
      <c r="C17" s="45" t="str">
        <f>Glossary!B107</f>
        <v xml:space="preserve">Historical performance and historical performance KPIs </v>
      </c>
      <c r="D17" s="402"/>
      <c r="E17" t="b">
        <f t="shared" si="4"/>
        <v>0</v>
      </c>
      <c r="F17" s="51" t="str">
        <f t="shared" si="5"/>
        <v/>
      </c>
      <c r="G17" s="53">
        <v>35</v>
      </c>
      <c r="H17" s="400"/>
      <c r="I17" s="56"/>
      <c r="J17" s="95"/>
      <c r="K17" s="97"/>
      <c r="O17" s="37"/>
    </row>
    <row r="18" spans="1:15" ht="16.5" customHeight="1">
      <c r="A18" s="469"/>
      <c r="B18" s="478"/>
      <c r="C18" s="110"/>
      <c r="D18" s="295"/>
      <c r="E18" s="295"/>
      <c r="F18" s="295"/>
      <c r="G18" s="295"/>
      <c r="H18" s="56"/>
      <c r="I18" s="74"/>
      <c r="J18" s="56"/>
      <c r="K18" s="56"/>
      <c r="O18" s="37"/>
    </row>
    <row r="19" spans="1:15" ht="16.5" customHeight="1">
      <c r="A19" s="469"/>
      <c r="B19" s="495" t="s">
        <v>73</v>
      </c>
      <c r="C19" s="45" t="str">
        <f>Glossary!B200</f>
        <v>Risk Assessment</v>
      </c>
      <c r="D19" s="402"/>
      <c r="E19" t="b">
        <f t="shared" ref="E19:E23" si="8">IF(OR(D19="y",D19="n"), G19)</f>
        <v>0</v>
      </c>
      <c r="F19" s="51" t="str">
        <f t="shared" ref="F19:F23" si="9">IF(D19 = "Y",E19, IF(D19="n",0, ""))</f>
        <v/>
      </c>
      <c r="G19" s="53">
        <v>40</v>
      </c>
      <c r="H19" s="400"/>
      <c r="I19" s="56"/>
      <c r="J19" s="45" t="str">
        <f>Glossary!B244</f>
        <v>Technical risk factors verified</v>
      </c>
      <c r="K19" s="402"/>
      <c r="L19" t="b">
        <f t="shared" ref="L19:L20" si="10">IF(OR(K19="y",K19="n"), N19)</f>
        <v>0</v>
      </c>
      <c r="M19" s="51" t="str">
        <f t="shared" ref="M19:M20" si="11">IF(K19 = "Y",L19, IF(K19="n",0, ""))</f>
        <v/>
      </c>
      <c r="N19" s="53">
        <v>50</v>
      </c>
      <c r="O19" s="37"/>
    </row>
    <row r="20" spans="1:15" ht="16.5" customHeight="1">
      <c r="A20" s="469"/>
      <c r="B20" s="469"/>
      <c r="C20" s="138" t="str">
        <f>Glossary!B110</f>
        <v>Identify critical key solutions/functionalities</v>
      </c>
      <c r="D20" s="402"/>
      <c r="E20" t="b">
        <f t="shared" si="8"/>
        <v>0</v>
      </c>
      <c r="F20" s="51" t="str">
        <f t="shared" si="9"/>
        <v/>
      </c>
      <c r="G20" s="53">
        <v>30</v>
      </c>
      <c r="H20" s="400"/>
      <c r="I20" s="56"/>
      <c r="J20" s="45" t="str">
        <f>Glossary!B211</f>
        <v>Security Concept</v>
      </c>
      <c r="K20" s="402"/>
      <c r="L20" t="b">
        <f t="shared" si="10"/>
        <v>0</v>
      </c>
      <c r="M20" s="51" t="str">
        <f t="shared" si="11"/>
        <v/>
      </c>
      <c r="N20" s="53">
        <v>40</v>
      </c>
      <c r="O20" s="37"/>
    </row>
    <row r="21" spans="1:15" ht="16.5" customHeight="1">
      <c r="A21" s="469"/>
      <c r="B21" s="469"/>
      <c r="C21" s="122" t="str">
        <f>Glossary!B198</f>
        <v>Requirements Documentation</v>
      </c>
      <c r="D21" s="402"/>
      <c r="E21" t="b">
        <f t="shared" si="8"/>
        <v>0</v>
      </c>
      <c r="F21" s="51" t="str">
        <f t="shared" si="9"/>
        <v/>
      </c>
      <c r="G21" s="53">
        <v>25</v>
      </c>
      <c r="H21" s="400"/>
      <c r="I21" s="56"/>
      <c r="J21" s="192"/>
      <c r="K21" s="192"/>
      <c r="O21" s="37"/>
    </row>
    <row r="22" spans="1:15" ht="16.5" customHeight="1">
      <c r="A22" s="469"/>
      <c r="B22" s="469"/>
      <c r="C22" s="45" t="str">
        <f>Glossary!B185</f>
        <v>Proof of Concept (POC)</v>
      </c>
      <c r="D22" s="402"/>
      <c r="E22" t="b">
        <f t="shared" si="8"/>
        <v>0</v>
      </c>
      <c r="F22" s="51" t="str">
        <f t="shared" si="9"/>
        <v/>
      </c>
      <c r="G22" s="53">
        <v>25</v>
      </c>
      <c r="H22" s="400"/>
      <c r="I22" s="56"/>
      <c r="J22" s="192"/>
      <c r="K22" s="192"/>
      <c r="O22" s="37"/>
    </row>
    <row r="23" spans="1:15" ht="16.5" customHeight="1">
      <c r="A23" s="469"/>
      <c r="B23" s="469"/>
      <c r="C23" s="122" t="str">
        <f>Glossary!B201</f>
        <v>Risk Mitigation Plan</v>
      </c>
      <c r="D23" s="402"/>
      <c r="E23" t="b">
        <f t="shared" si="8"/>
        <v>0</v>
      </c>
      <c r="F23" s="51" t="str">
        <f t="shared" si="9"/>
        <v/>
      </c>
      <c r="G23" s="53">
        <v>40</v>
      </c>
      <c r="H23" s="400"/>
      <c r="I23" s="56"/>
      <c r="J23" s="192"/>
      <c r="K23" s="193"/>
      <c r="O23" s="37"/>
    </row>
    <row r="24" spans="1:15" ht="16.5" customHeight="1">
      <c r="A24" s="469"/>
      <c r="B24" s="478"/>
      <c r="C24" s="56"/>
      <c r="D24" s="56"/>
      <c r="E24" s="56"/>
      <c r="F24" s="56"/>
      <c r="G24" s="56"/>
      <c r="H24" s="56"/>
      <c r="I24" s="74"/>
      <c r="J24" s="56"/>
      <c r="K24" s="56"/>
      <c r="O24" s="37"/>
    </row>
    <row r="25" spans="1:15" ht="16.5" customHeight="1">
      <c r="A25" s="469"/>
      <c r="B25" s="481" t="s">
        <v>76</v>
      </c>
      <c r="C25" s="101" t="str">
        <f>Glossary!B61</f>
        <v>Customer Roadmap</v>
      </c>
      <c r="D25" s="402"/>
      <c r="E25" t="b">
        <f t="shared" ref="E25:E33" si="12">IF(OR(D25="y",D25="n"), G25)</f>
        <v>0</v>
      </c>
      <c r="F25" s="51" t="str">
        <f t="shared" ref="F25:F33" si="13">IF(D25 = "Y",E25, IF(D25="n",0, ""))</f>
        <v/>
      </c>
      <c r="G25" s="53">
        <v>10</v>
      </c>
      <c r="H25" s="400"/>
      <c r="I25" s="56"/>
      <c r="J25" s="45" t="str">
        <f>Glossary!B268</f>
        <v>Understands scope of project and expectations</v>
      </c>
      <c r="K25" s="402"/>
      <c r="L25" t="b">
        <f t="shared" ref="L25:L30" si="14">IF(OR(K25="y",K25="n"), N25)</f>
        <v>0</v>
      </c>
      <c r="M25" s="51" t="str">
        <f t="shared" ref="M25:M30" si="15">IF(K25 = "Y",L25, IF(K25="n",0, ""))</f>
        <v/>
      </c>
      <c r="N25" s="53">
        <v>30</v>
      </c>
      <c r="O25" s="37"/>
    </row>
    <row r="26" spans="1:15" ht="16.5" customHeight="1">
      <c r="A26" s="469"/>
      <c r="B26" s="469"/>
      <c r="C26" s="101" t="str">
        <f>Glossary!B184</f>
        <v>Project Scope Document</v>
      </c>
      <c r="D26" s="402"/>
      <c r="E26" t="b">
        <f t="shared" si="12"/>
        <v>0</v>
      </c>
      <c r="F26" s="51" t="str">
        <f t="shared" si="13"/>
        <v/>
      </c>
      <c r="G26" s="53">
        <v>30</v>
      </c>
      <c r="H26" s="400"/>
      <c r="I26" s="56"/>
      <c r="J26" s="101" t="str">
        <f>Glossary!B102</f>
        <v>Hardware will be available to fullfil requirements</v>
      </c>
      <c r="K26" s="402"/>
      <c r="L26" t="b">
        <f t="shared" si="14"/>
        <v>0</v>
      </c>
      <c r="M26" s="51" t="str">
        <f t="shared" si="15"/>
        <v/>
      </c>
      <c r="N26" s="53">
        <v>25</v>
      </c>
      <c r="O26" s="37"/>
    </row>
    <row r="27" spans="1:15" ht="16.5" customHeight="1">
      <c r="A27" s="469"/>
      <c r="B27" s="469"/>
      <c r="C27" s="101" t="str">
        <f>Glossary!B86</f>
        <v>Experience Designs Requirements</v>
      </c>
      <c r="D27" s="402"/>
      <c r="E27" t="b">
        <f t="shared" si="12"/>
        <v>0</v>
      </c>
      <c r="F27" s="51" t="str">
        <f t="shared" si="13"/>
        <v/>
      </c>
      <c r="G27" s="53">
        <v>20</v>
      </c>
      <c r="H27" s="400"/>
      <c r="I27" s="56"/>
      <c r="J27" s="110" t="str">
        <f>Glossary!B9</f>
        <v>Agreement on KPI's, defined as goals for the project</v>
      </c>
      <c r="K27" s="402"/>
      <c r="L27" t="b">
        <f t="shared" si="14"/>
        <v>0</v>
      </c>
      <c r="M27" s="51" t="str">
        <f t="shared" si="15"/>
        <v/>
      </c>
      <c r="N27" s="53">
        <v>30</v>
      </c>
      <c r="O27" s="37"/>
    </row>
    <row r="28" spans="1:15" ht="16.5" customHeight="1">
      <c r="A28" s="469"/>
      <c r="B28" s="469"/>
      <c r="C28" s="101" t="str">
        <f>Glossary!B198</f>
        <v>Requirements Documentation</v>
      </c>
      <c r="D28" s="402"/>
      <c r="E28" t="b">
        <f t="shared" si="12"/>
        <v>0</v>
      </c>
      <c r="F28" s="51" t="str">
        <f t="shared" si="13"/>
        <v/>
      </c>
      <c r="G28" s="53">
        <v>50</v>
      </c>
      <c r="H28" s="400"/>
      <c r="I28" s="56"/>
      <c r="J28" s="45" t="str">
        <f>Glossary!B27</f>
        <v>Aware of communication plan</v>
      </c>
      <c r="K28" s="402"/>
      <c r="L28" t="b">
        <f t="shared" si="14"/>
        <v>0</v>
      </c>
      <c r="M28" s="51" t="str">
        <f t="shared" si="15"/>
        <v/>
      </c>
      <c r="N28" s="53">
        <v>10</v>
      </c>
      <c r="O28" s="37"/>
    </row>
    <row r="29" spans="1:15" ht="16.5" customHeight="1">
      <c r="A29" s="469"/>
      <c r="B29" s="469"/>
      <c r="C29" s="101" t="str">
        <f>Glossary!B104</f>
        <v>High Level Solution Design</v>
      </c>
      <c r="D29" s="402"/>
      <c r="E29" t="b">
        <f t="shared" si="12"/>
        <v>0</v>
      </c>
      <c r="F29" s="51" t="str">
        <f t="shared" si="13"/>
        <v/>
      </c>
      <c r="G29" s="53">
        <v>25</v>
      </c>
      <c r="H29" s="400"/>
      <c r="I29" s="56"/>
      <c r="J29" s="45" t="str">
        <f>Glossary!B28</f>
        <v>Aware of success definitions and criteria</v>
      </c>
      <c r="K29" s="402"/>
      <c r="L29" t="b">
        <f t="shared" si="14"/>
        <v>0</v>
      </c>
      <c r="M29" s="51" t="str">
        <f t="shared" si="15"/>
        <v/>
      </c>
      <c r="N29" s="53">
        <v>40</v>
      </c>
      <c r="O29" s="37"/>
    </row>
    <row r="30" spans="1:15" ht="16.5" customHeight="1">
      <c r="A30" s="469"/>
      <c r="B30" s="469"/>
      <c r="C30" s="101" t="str">
        <f>Glossary!B11</f>
        <v>Architecture Draft</v>
      </c>
      <c r="D30" s="402"/>
      <c r="E30" t="b">
        <f t="shared" si="12"/>
        <v>0</v>
      </c>
      <c r="F30" s="51" t="str">
        <f t="shared" si="13"/>
        <v/>
      </c>
      <c r="G30" s="53">
        <v>25</v>
      </c>
      <c r="H30" s="400"/>
      <c r="I30" s="56"/>
      <c r="J30" s="69" t="str">
        <f>Glossary!B72</f>
        <v>Development Methodology</v>
      </c>
      <c r="K30" s="402"/>
      <c r="L30" t="b">
        <f t="shared" si="14"/>
        <v>0</v>
      </c>
      <c r="M30" s="51" t="str">
        <f t="shared" si="15"/>
        <v/>
      </c>
      <c r="N30" s="53">
        <v>50</v>
      </c>
      <c r="O30" s="37"/>
    </row>
    <row r="31" spans="1:15" ht="16.5" customHeight="1">
      <c r="A31" s="469"/>
      <c r="B31" s="469"/>
      <c r="C31" s="101" t="str">
        <f>Glossary!B264</f>
        <v>Timeline and Milestones</v>
      </c>
      <c r="D31" s="402"/>
      <c r="E31" t="b">
        <f t="shared" si="12"/>
        <v>0</v>
      </c>
      <c r="F31" s="51" t="str">
        <f t="shared" si="13"/>
        <v/>
      </c>
      <c r="G31" s="53">
        <v>20</v>
      </c>
      <c r="H31" s="400"/>
      <c r="I31" s="56"/>
      <c r="J31" s="95"/>
      <c r="K31" s="97"/>
      <c r="O31" s="37"/>
    </row>
    <row r="32" spans="1:15" ht="16.5" customHeight="1">
      <c r="A32" s="469"/>
      <c r="B32" s="469"/>
      <c r="C32" s="101" t="str">
        <f>Glossary!B166</f>
        <v>Performance KPIs</v>
      </c>
      <c r="D32" s="402"/>
      <c r="E32" t="b">
        <f t="shared" si="12"/>
        <v>0</v>
      </c>
      <c r="F32" s="51" t="str">
        <f t="shared" si="13"/>
        <v/>
      </c>
      <c r="G32" s="53">
        <v>40</v>
      </c>
      <c r="H32" s="400"/>
      <c r="I32" s="56"/>
      <c r="J32" s="95"/>
      <c r="K32" s="97"/>
      <c r="O32" s="37"/>
    </row>
    <row r="33" spans="1:15" ht="16.5" customHeight="1">
      <c r="A33" s="469"/>
      <c r="B33" s="469"/>
      <c r="C33" s="154" t="str">
        <f>Glossary!B233</f>
        <v>Success criteria and definition</v>
      </c>
      <c r="D33" s="402"/>
      <c r="E33" t="b">
        <f t="shared" si="12"/>
        <v>0</v>
      </c>
      <c r="F33" s="51" t="str">
        <f t="shared" si="13"/>
        <v/>
      </c>
      <c r="G33" s="53">
        <v>30</v>
      </c>
      <c r="H33" s="400"/>
      <c r="I33" s="56"/>
      <c r="J33" s="95"/>
      <c r="K33" s="97"/>
      <c r="O33" s="37"/>
    </row>
    <row r="34" spans="1:15" ht="16.5" customHeight="1">
      <c r="A34" s="469"/>
      <c r="B34" s="469"/>
      <c r="C34" s="270"/>
      <c r="D34" s="270"/>
      <c r="E34" s="270"/>
      <c r="F34" s="270"/>
      <c r="G34" s="270"/>
      <c r="H34" s="270"/>
      <c r="I34" s="157"/>
      <c r="J34" s="270"/>
      <c r="K34" s="270"/>
      <c r="O34" s="37"/>
    </row>
    <row r="35" spans="1:15" ht="16.5" hidden="1" customHeight="1">
      <c r="A35" s="478"/>
      <c r="B35" s="478"/>
      <c r="D35" s="92">
        <f>COUNTA(D9:D33,K9:K10,K19:K20,K25:K30)/COUNTA(F9:F33,M9:M10,M19:M20,M25:M30)</f>
        <v>0</v>
      </c>
      <c r="E35" s="92">
        <f t="shared" ref="E35:F35" si="16">SUM(E9:E33)</f>
        <v>0</v>
      </c>
      <c r="F35" s="92">
        <f t="shared" si="16"/>
        <v>0</v>
      </c>
      <c r="G35" s="92"/>
      <c r="H35" s="178" t="str">
        <f>IFERROR(AVERAGE(H9:H33), "")</f>
        <v/>
      </c>
      <c r="J35" s="95"/>
      <c r="K35" s="97"/>
      <c r="L35">
        <f t="shared" ref="L35:M35" si="17">SUM(L9:L11,L19:L20,L25:L30)</f>
        <v>0</v>
      </c>
      <c r="M35">
        <f t="shared" si="17"/>
        <v>0</v>
      </c>
      <c r="O35" s="37"/>
    </row>
    <row r="36" spans="1:15" ht="21" customHeight="1">
      <c r="A36" s="468" t="s">
        <v>81</v>
      </c>
      <c r="B36" s="472" t="s">
        <v>85</v>
      </c>
      <c r="C36" s="101" t="str">
        <f>Glossary!B15</f>
        <v>AEM technical trainings</v>
      </c>
      <c r="D36" s="402"/>
      <c r="E36" t="b">
        <f t="shared" ref="E36:E37" si="18">IF(OR(D36="y",D36="n"), G36)</f>
        <v>0</v>
      </c>
      <c r="F36" s="51" t="str">
        <f t="shared" ref="F36:F37" si="19">IF(D36 = "Y",E36, IF(D36="n",0, ""))</f>
        <v/>
      </c>
      <c r="G36" s="53">
        <v>40</v>
      </c>
      <c r="H36" s="400"/>
      <c r="I36" s="56"/>
      <c r="J36" s="45" t="str">
        <f>Glossary!B19</f>
        <v>AEM Certified</v>
      </c>
      <c r="K36" s="402"/>
      <c r="L36" t="b">
        <f>IF(OR(K36="y",K36="n"), N36)</f>
        <v>0</v>
      </c>
      <c r="M36" s="51" t="str">
        <f>IF(K36 = "Y",L36, IF(K36="n",0, ""))</f>
        <v/>
      </c>
      <c r="N36" s="53">
        <v>50</v>
      </c>
      <c r="O36" s="37"/>
    </row>
    <row r="37" spans="1:15" ht="15.75" customHeight="1">
      <c r="A37" s="469"/>
      <c r="B37" s="469"/>
      <c r="C37" s="101" t="str">
        <f>Glossary!B18</f>
        <v>AEM Certification Exam</v>
      </c>
      <c r="D37" s="402"/>
      <c r="E37" t="b">
        <f t="shared" si="18"/>
        <v>0</v>
      </c>
      <c r="F37" s="51" t="str">
        <f t="shared" si="19"/>
        <v/>
      </c>
      <c r="G37" s="53">
        <v>40</v>
      </c>
      <c r="H37" s="400"/>
      <c r="I37" s="56"/>
      <c r="J37" s="101"/>
      <c r="K37" s="101"/>
      <c r="O37" s="37"/>
    </row>
    <row r="38" spans="1:15" ht="15.75" customHeight="1">
      <c r="A38" s="469"/>
      <c r="B38" s="470"/>
      <c r="C38" s="177"/>
      <c r="D38" s="37"/>
      <c r="E38" s="37"/>
      <c r="F38" s="37"/>
      <c r="G38" s="37"/>
      <c r="H38" s="37"/>
      <c r="I38" s="73"/>
      <c r="J38" s="37"/>
      <c r="K38" s="37"/>
      <c r="O38" s="37"/>
    </row>
    <row r="39" spans="1:15" ht="19.5" customHeight="1">
      <c r="A39" s="469"/>
      <c r="B39" s="472" t="s">
        <v>86</v>
      </c>
      <c r="C39" s="209" t="str">
        <f>Glossary!B11</f>
        <v>Architecture Draft</v>
      </c>
      <c r="D39" s="402"/>
      <c r="E39" t="b">
        <f t="shared" ref="E39:E43" si="20">IF(OR(D39="y",D39="n"), G39)</f>
        <v>0</v>
      </c>
      <c r="F39" s="51" t="str">
        <f t="shared" ref="F39:F43" si="21">IF(D39 = "Y",E39, IF(D39="n",0, ""))</f>
        <v/>
      </c>
      <c r="G39" s="53">
        <v>30</v>
      </c>
      <c r="H39" s="400"/>
      <c r="I39" s="56"/>
      <c r="J39" s="45" t="str">
        <f>Glossary!B116</f>
        <v>Implementation - Content Architecture</v>
      </c>
      <c r="K39" s="462"/>
      <c r="L39" t="b">
        <f t="shared" ref="L39:L41" si="22">IF(OR(K39="y",K39="n"), N39)</f>
        <v>0</v>
      </c>
      <c r="M39" s="51" t="str">
        <f t="shared" ref="M39:M41" si="23">IF(K39 = "Y",L39, IF(K39="n",0, ""))</f>
        <v/>
      </c>
      <c r="N39" s="53">
        <v>50</v>
      </c>
      <c r="O39" s="37"/>
    </row>
    <row r="40" spans="1:15" ht="18" customHeight="1">
      <c r="A40" s="469"/>
      <c r="B40" s="469"/>
      <c r="C40" s="183" t="str">
        <f>Glossary!B87</f>
        <v>Experience Specifications</v>
      </c>
      <c r="D40" s="402"/>
      <c r="E40" t="b">
        <f t="shared" si="20"/>
        <v>0</v>
      </c>
      <c r="F40" s="51" t="str">
        <f t="shared" si="21"/>
        <v/>
      </c>
      <c r="G40" s="53">
        <v>20</v>
      </c>
      <c r="H40" s="400"/>
      <c r="I40" s="56"/>
      <c r="J40" s="138" t="str">
        <f>Glossary!B94</f>
        <v>Feasability confirmation on KPI's</v>
      </c>
      <c r="K40" s="402"/>
      <c r="L40" t="b">
        <f t="shared" si="22"/>
        <v>0</v>
      </c>
      <c r="M40" s="51" t="str">
        <f t="shared" si="23"/>
        <v/>
      </c>
      <c r="N40" s="53">
        <v>40</v>
      </c>
      <c r="O40" s="37"/>
    </row>
    <row r="41" spans="1:15" ht="19.5" customHeight="1">
      <c r="A41" s="469"/>
      <c r="B41" s="469"/>
      <c r="C41" s="101" t="str">
        <f>Glossary!B57</f>
        <v>Content Architecture Document</v>
      </c>
      <c r="D41" s="402"/>
      <c r="E41" t="b">
        <f t="shared" si="20"/>
        <v>0</v>
      </c>
      <c r="F41" s="51" t="str">
        <f t="shared" si="21"/>
        <v/>
      </c>
      <c r="G41" s="53">
        <v>50</v>
      </c>
      <c r="H41" s="400"/>
      <c r="I41" s="56"/>
      <c r="J41" s="69" t="str">
        <f>Glossary!B121</f>
        <v>Implementation - Roles and Rights</v>
      </c>
      <c r="K41" s="402"/>
      <c r="L41" t="b">
        <f t="shared" si="22"/>
        <v>0</v>
      </c>
      <c r="M41" s="51" t="str">
        <f t="shared" si="23"/>
        <v/>
      </c>
      <c r="N41" s="53">
        <v>40</v>
      </c>
      <c r="O41" s="37"/>
    </row>
    <row r="42" spans="1:15" ht="15" customHeight="1">
      <c r="A42" s="469"/>
      <c r="B42" s="469"/>
      <c r="C42" s="296" t="str">
        <f>Glossary!B203</f>
        <v>Roles and Rights Concept</v>
      </c>
      <c r="D42" s="402"/>
      <c r="E42" t="b">
        <f t="shared" si="20"/>
        <v>0</v>
      </c>
      <c r="F42" s="51" t="str">
        <f t="shared" si="21"/>
        <v/>
      </c>
      <c r="G42" s="53">
        <v>30</v>
      </c>
      <c r="H42" s="400"/>
      <c r="I42" s="56"/>
      <c r="J42" s="128"/>
      <c r="K42" s="129"/>
      <c r="O42" s="37"/>
    </row>
    <row r="43" spans="1:15" ht="15" customHeight="1">
      <c r="A43" s="469"/>
      <c r="B43" s="469"/>
      <c r="C43" s="146" t="str">
        <f>Glossary!B204</f>
        <v>Roles and Rights Specification</v>
      </c>
      <c r="D43" s="402"/>
      <c r="E43" t="b">
        <f t="shared" si="20"/>
        <v>0</v>
      </c>
      <c r="F43" s="51" t="str">
        <f t="shared" si="21"/>
        <v/>
      </c>
      <c r="G43" s="53">
        <v>40</v>
      </c>
      <c r="H43" s="400"/>
      <c r="I43" s="56"/>
      <c r="J43" s="95"/>
      <c r="K43" s="97"/>
      <c r="O43" s="37"/>
    </row>
    <row r="44" spans="1:15" ht="19.5" customHeight="1">
      <c r="A44" s="469"/>
      <c r="B44" s="470"/>
      <c r="C44" s="295"/>
      <c r="D44" s="56"/>
      <c r="E44" s="56"/>
      <c r="F44" s="56"/>
      <c r="G44" s="56"/>
      <c r="H44" s="56"/>
      <c r="I44" s="74"/>
      <c r="J44" s="56"/>
      <c r="K44" s="56"/>
      <c r="O44" s="37"/>
    </row>
    <row r="45" spans="1:15" ht="15" customHeight="1">
      <c r="A45" s="469"/>
      <c r="B45" s="472" t="s">
        <v>92</v>
      </c>
      <c r="C45" s="45" t="str">
        <f>Glossary!B198</f>
        <v>Requirements Documentation</v>
      </c>
      <c r="D45" s="402"/>
      <c r="E45" t="b">
        <f t="shared" ref="E45:E53" si="24">IF(OR(D45="y",D45="n"), G45)</f>
        <v>0</v>
      </c>
      <c r="F45" s="51" t="str">
        <f t="shared" ref="F45:F53" si="25">IF(D45 = "Y",E45, IF(D45="n",0, ""))</f>
        <v/>
      </c>
      <c r="G45" s="53">
        <v>40</v>
      </c>
      <c r="H45" s="400"/>
      <c r="I45" s="56"/>
      <c r="J45" s="69" t="str">
        <f>Glossary!B112</f>
        <v>Implementation Concept</v>
      </c>
      <c r="K45" s="402"/>
      <c r="L45" t="b">
        <f t="shared" ref="L45:L48" si="26">IF(OR(K45="y",K45="n"), N45)</f>
        <v>0</v>
      </c>
      <c r="M45" s="51" t="str">
        <f t="shared" ref="M45:M48" si="27">IF(K45 = "Y",L45, IF(K45="n",0, ""))</f>
        <v/>
      </c>
      <c r="N45" s="53">
        <v>50</v>
      </c>
      <c r="O45" s="37"/>
    </row>
    <row r="46" spans="1:15" ht="18" customHeight="1">
      <c r="A46" s="469"/>
      <c r="B46" s="469"/>
      <c r="C46" s="101" t="str">
        <f>Glossary!B20</f>
        <v>Application Architecture Definition</v>
      </c>
      <c r="D46" s="402"/>
      <c r="E46" t="b">
        <f t="shared" si="24"/>
        <v>0</v>
      </c>
      <c r="F46" s="51" t="str">
        <f t="shared" si="25"/>
        <v/>
      </c>
      <c r="G46" s="53">
        <v>50</v>
      </c>
      <c r="H46" s="400"/>
      <c r="I46" s="56"/>
      <c r="J46" s="69" t="str">
        <f>Glossary!B126</f>
        <v>Implementation - Workflows</v>
      </c>
      <c r="K46" s="402"/>
      <c r="L46" t="b">
        <f t="shared" si="26"/>
        <v>0</v>
      </c>
      <c r="M46" s="51" t="str">
        <f t="shared" si="27"/>
        <v/>
      </c>
      <c r="N46" s="53">
        <v>40</v>
      </c>
      <c r="O46" s="37"/>
    </row>
    <row r="47" spans="1:15" ht="15" customHeight="1">
      <c r="A47" s="469"/>
      <c r="B47" s="469"/>
      <c r="C47" s="45" t="str">
        <f>Glossary!B165</f>
        <v>Performance Benchmark</v>
      </c>
      <c r="D47" s="402"/>
      <c r="E47" t="b">
        <f t="shared" si="24"/>
        <v>0</v>
      </c>
      <c r="F47" s="51" t="str">
        <f t="shared" si="25"/>
        <v/>
      </c>
      <c r="G47" s="53">
        <v>40</v>
      </c>
      <c r="H47" s="400"/>
      <c r="I47" s="56"/>
      <c r="J47" s="69" t="str">
        <f>Glossary!B37</f>
        <v>Caching Strategy</v>
      </c>
      <c r="K47" s="402"/>
      <c r="L47" t="b">
        <f t="shared" si="26"/>
        <v>0</v>
      </c>
      <c r="M47" s="51" t="str">
        <f t="shared" si="27"/>
        <v/>
      </c>
      <c r="N47" s="53">
        <v>30</v>
      </c>
      <c r="O47" s="37"/>
    </row>
    <row r="48" spans="1:15" ht="17.25" customHeight="1">
      <c r="A48" s="469"/>
      <c r="B48" s="469"/>
      <c r="C48" s="45" t="str">
        <f>Glossary!B38</f>
        <v>Coding Guidelines</v>
      </c>
      <c r="D48" s="402"/>
      <c r="E48" t="b">
        <f t="shared" si="24"/>
        <v>0</v>
      </c>
      <c r="F48" s="51" t="str">
        <f t="shared" si="25"/>
        <v/>
      </c>
      <c r="G48" s="53">
        <v>50</v>
      </c>
      <c r="H48" s="400"/>
      <c r="I48" s="56"/>
      <c r="J48" s="69" t="str">
        <f>Glossary!B123</f>
        <v>Implementation - Security Software</v>
      </c>
      <c r="K48" s="402"/>
      <c r="L48" t="b">
        <f t="shared" si="26"/>
        <v>0</v>
      </c>
      <c r="M48" s="51" t="str">
        <f t="shared" si="27"/>
        <v/>
      </c>
      <c r="N48" s="53">
        <v>40</v>
      </c>
      <c r="O48" s="37"/>
    </row>
    <row r="49" spans="1:15" ht="17.25" customHeight="1">
      <c r="A49" s="469"/>
      <c r="B49" s="469"/>
      <c r="C49" s="45" t="str">
        <f>Glossary!B209</f>
        <v>Security Based Coding Guidelines</v>
      </c>
      <c r="D49" s="402"/>
      <c r="E49" t="b">
        <f t="shared" si="24"/>
        <v>0</v>
      </c>
      <c r="F49" s="51" t="str">
        <f t="shared" si="25"/>
        <v/>
      </c>
      <c r="G49" s="53">
        <v>50</v>
      </c>
      <c r="H49" s="400"/>
      <c r="I49" s="56"/>
      <c r="J49" s="104"/>
      <c r="K49" s="56"/>
      <c r="M49" s="51"/>
      <c r="N49" s="127"/>
      <c r="O49" s="37"/>
    </row>
    <row r="50" spans="1:15" ht="19.5" customHeight="1">
      <c r="A50" s="469"/>
      <c r="B50" s="469"/>
      <c r="C50" s="45" t="str">
        <f>Glossary!B211</f>
        <v>Security Concept</v>
      </c>
      <c r="D50" s="402"/>
      <c r="E50" t="b">
        <f t="shared" si="24"/>
        <v>0</v>
      </c>
      <c r="F50" s="51" t="str">
        <f t="shared" si="25"/>
        <v/>
      </c>
      <c r="G50" s="53">
        <v>40</v>
      </c>
      <c r="H50" s="400"/>
      <c r="I50" s="56"/>
      <c r="J50" s="104"/>
      <c r="K50" s="97"/>
      <c r="O50" s="37"/>
    </row>
    <row r="51" spans="1:15" ht="18.75" customHeight="1">
      <c r="A51" s="469"/>
      <c r="B51" s="469"/>
      <c r="C51" s="45" t="str">
        <f>Glossary!B223</f>
        <v>Special functionality concept</v>
      </c>
      <c r="D51" s="402"/>
      <c r="E51" t="b">
        <f t="shared" si="24"/>
        <v>0</v>
      </c>
      <c r="F51" s="51" t="str">
        <f t="shared" si="25"/>
        <v/>
      </c>
      <c r="G51" s="53">
        <v>30</v>
      </c>
      <c r="H51" s="400"/>
      <c r="I51" s="56"/>
      <c r="J51" s="138"/>
      <c r="K51" s="138"/>
      <c r="O51" s="37"/>
    </row>
    <row r="52" spans="1:15" ht="18" customHeight="1">
      <c r="A52" s="469"/>
      <c r="B52" s="469"/>
      <c r="C52" s="112" t="str">
        <f>Glossary!B55</f>
        <v>Components and Templates relationship Specification</v>
      </c>
      <c r="D52" s="402"/>
      <c r="E52" t="b">
        <f t="shared" si="24"/>
        <v>0</v>
      </c>
      <c r="F52" s="51" t="str">
        <f t="shared" si="25"/>
        <v/>
      </c>
      <c r="G52" s="53">
        <v>30</v>
      </c>
      <c r="H52" s="400"/>
      <c r="I52" s="56"/>
      <c r="J52" s="101"/>
      <c r="K52" s="138"/>
      <c r="O52" s="37"/>
    </row>
    <row r="53" spans="1:15" ht="18" customHeight="1">
      <c r="A53" s="469"/>
      <c r="B53" s="469"/>
      <c r="C53" s="45" t="str">
        <f>Glossary!B278</f>
        <v>Workflow Specification</v>
      </c>
      <c r="D53" s="402"/>
      <c r="E53" t="b">
        <f t="shared" si="24"/>
        <v>0</v>
      </c>
      <c r="F53" s="51" t="str">
        <f t="shared" si="25"/>
        <v/>
      </c>
      <c r="G53" s="53">
        <v>25</v>
      </c>
      <c r="H53" s="400"/>
      <c r="I53" s="56"/>
      <c r="J53" s="101"/>
      <c r="K53" s="138"/>
      <c r="O53" s="37"/>
    </row>
    <row r="54" spans="1:15" ht="18.75" customHeight="1">
      <c r="A54" s="469"/>
      <c r="B54" s="469"/>
      <c r="C54" s="270"/>
      <c r="D54" s="270"/>
      <c r="E54" s="270"/>
      <c r="F54" s="270"/>
      <c r="G54" s="270"/>
      <c r="H54" s="270"/>
      <c r="I54" s="157"/>
      <c r="J54" s="270"/>
      <c r="K54" s="270"/>
      <c r="O54" s="37"/>
    </row>
    <row r="55" spans="1:15" ht="17.25" customHeight="1">
      <c r="A55" s="469"/>
      <c r="B55" s="495" t="s">
        <v>98</v>
      </c>
      <c r="C55" s="101" t="str">
        <f>Glossary!B258</f>
        <v>Third party integration concept</v>
      </c>
      <c r="D55" s="402"/>
      <c r="E55" t="b">
        <f t="shared" ref="E55:E58" si="28">IF(OR(D55="y",D55="n"), G55)</f>
        <v>0</v>
      </c>
      <c r="F55" s="51" t="str">
        <f t="shared" ref="F55:F58" si="29">IF(D55 = "Y",E55, IF(D55="n",0, ""))</f>
        <v/>
      </c>
      <c r="G55" s="53">
        <v>30</v>
      </c>
      <c r="H55" s="400"/>
      <c r="I55" s="56"/>
      <c r="J55" s="206" t="str">
        <f>Glossary!B119</f>
        <v>Implementation - Integration</v>
      </c>
      <c r="K55" s="402"/>
      <c r="L55" t="b">
        <f>IF(OR(K55="y",K55="n"), N55)</f>
        <v>0</v>
      </c>
      <c r="M55" s="51" t="str">
        <f>IF(K55 = "Y",L55, IF(K55="n",0, ""))</f>
        <v/>
      </c>
      <c r="N55" s="53">
        <v>40</v>
      </c>
      <c r="O55" s="37"/>
    </row>
    <row r="56" spans="1:15" ht="18.75" customHeight="1">
      <c r="A56" s="469"/>
      <c r="B56" s="469"/>
      <c r="C56" s="138" t="str">
        <f>Glossary!B261</f>
        <v>Third party system for integration</v>
      </c>
      <c r="D56" s="402"/>
      <c r="E56" t="b">
        <f t="shared" si="28"/>
        <v>0</v>
      </c>
      <c r="F56" s="51" t="str">
        <f t="shared" si="29"/>
        <v/>
      </c>
      <c r="G56" s="53">
        <v>40</v>
      </c>
      <c r="H56" s="400"/>
      <c r="I56" s="56"/>
      <c r="J56" s="297"/>
      <c r="K56" s="298"/>
      <c r="O56" s="37"/>
    </row>
    <row r="57" spans="1:15" ht="15.75" customHeight="1">
      <c r="A57" s="469"/>
      <c r="B57" s="469"/>
      <c r="C57" s="45" t="str">
        <f>Glossary!B200</f>
        <v>Risk Assessment</v>
      </c>
      <c r="D57" s="402"/>
      <c r="E57" t="b">
        <f t="shared" si="28"/>
        <v>0</v>
      </c>
      <c r="F57" s="51" t="str">
        <f t="shared" si="29"/>
        <v/>
      </c>
      <c r="G57" s="53">
        <v>20</v>
      </c>
      <c r="H57" s="400"/>
      <c r="I57" s="56"/>
      <c r="J57" s="223"/>
      <c r="K57" s="224"/>
      <c r="O57" s="37"/>
    </row>
    <row r="58" spans="1:15" ht="16.5" customHeight="1">
      <c r="A58" s="469"/>
      <c r="B58" s="469"/>
      <c r="C58" s="45" t="str">
        <f>Glossary!B246</f>
        <v>Technical Specification</v>
      </c>
      <c r="D58" s="402"/>
      <c r="E58" t="b">
        <f t="shared" si="28"/>
        <v>0</v>
      </c>
      <c r="F58" s="51" t="str">
        <f t="shared" si="29"/>
        <v/>
      </c>
      <c r="G58" s="69">
        <v>40</v>
      </c>
      <c r="H58" s="400"/>
      <c r="I58" s="56"/>
      <c r="J58" s="223"/>
      <c r="K58" s="224"/>
      <c r="O58" s="37"/>
    </row>
    <row r="59" spans="1:15" ht="16.5" customHeight="1">
      <c r="A59" s="469"/>
      <c r="B59" s="478"/>
      <c r="C59" s="117"/>
      <c r="D59" s="117"/>
      <c r="E59" s="117"/>
      <c r="F59" s="117"/>
      <c r="G59" s="117"/>
      <c r="H59" s="117"/>
      <c r="I59" s="165"/>
      <c r="J59" s="117"/>
      <c r="K59" s="117"/>
      <c r="O59" s="37"/>
    </row>
    <row r="60" spans="1:15" ht="16.5" customHeight="1">
      <c r="A60" s="469"/>
      <c r="B60" s="495" t="s">
        <v>112</v>
      </c>
      <c r="C60" s="45" t="str">
        <f>Glossary!B87</f>
        <v>Experience Specifications</v>
      </c>
      <c r="D60" s="402"/>
      <c r="E60" t="b">
        <f>IF(OR(D60="y",D60="n"), G60)</f>
        <v>0</v>
      </c>
      <c r="F60" s="51" t="str">
        <f>IF(D60 = "Y",E60, IF(D60="n",0, ""))</f>
        <v/>
      </c>
      <c r="G60" s="69">
        <v>30</v>
      </c>
      <c r="H60" s="400"/>
      <c r="I60" s="56"/>
      <c r="J60" s="45" t="str">
        <f>Glossary!B117</f>
        <v>Implementation - Experience Design</v>
      </c>
      <c r="K60" s="402"/>
      <c r="L60" t="b">
        <f>IF(OR(K60="y",K60="n"), N60)</f>
        <v>0</v>
      </c>
      <c r="M60" s="51" t="str">
        <f>IF(K60 = "Y",L60, IF(K60="n",0, ""))</f>
        <v/>
      </c>
      <c r="N60" s="53">
        <v>30</v>
      </c>
      <c r="O60" s="37"/>
    </row>
    <row r="61" spans="1:15" ht="16.5" customHeight="1">
      <c r="A61" s="469"/>
      <c r="B61" s="469"/>
      <c r="C61" s="141"/>
      <c r="D61" s="126"/>
      <c r="E61" s="126"/>
      <c r="F61" s="126"/>
      <c r="G61" s="126"/>
      <c r="H61" s="165"/>
      <c r="I61" s="74"/>
      <c r="J61" s="126"/>
      <c r="K61" s="183"/>
      <c r="L61" s="53"/>
      <c r="M61" s="51"/>
      <c r="O61" s="37"/>
    </row>
    <row r="62" spans="1:15" ht="16.5" customHeight="1">
      <c r="A62" s="469"/>
      <c r="B62" s="495" t="s">
        <v>99</v>
      </c>
      <c r="C62" s="45" t="str">
        <f>Glossary!B198</f>
        <v>Requirements Documentation</v>
      </c>
      <c r="D62" s="402"/>
      <c r="E62" t="b">
        <f>IF(OR(D62="y",D62="n"), G62)</f>
        <v>0</v>
      </c>
      <c r="F62" s="51" t="str">
        <f>IF(D62 = "Y",E62, IF(D62="n",0, ""))</f>
        <v/>
      </c>
      <c r="G62" s="53">
        <v>30</v>
      </c>
      <c r="H62" s="400"/>
      <c r="I62" s="56"/>
      <c r="J62" s="69" t="str">
        <f>Glossary!B250</f>
        <v>Test Content</v>
      </c>
      <c r="K62" s="402"/>
      <c r="L62" t="b">
        <f t="shared" ref="L62:L63" si="30">IF(OR(K62="y",K62="n"), N62)</f>
        <v>0</v>
      </c>
      <c r="M62" s="51" t="str">
        <f t="shared" ref="M62:M63" si="31">IF(K62 = "Y",L62, IF(K62="n",0, ""))</f>
        <v/>
      </c>
      <c r="N62" s="53">
        <v>40</v>
      </c>
      <c r="O62" s="37"/>
    </row>
    <row r="63" spans="1:15" ht="16.5" customHeight="1">
      <c r="A63" s="469"/>
      <c r="B63" s="469"/>
      <c r="C63" s="299"/>
      <c r="D63" s="300"/>
      <c r="E63" s="300"/>
      <c r="F63" s="300"/>
      <c r="G63" s="300"/>
      <c r="H63" s="300"/>
      <c r="I63" s="56"/>
      <c r="J63" s="69" t="str">
        <f>Glossary!B24</f>
        <v>Automated Testing Strategy</v>
      </c>
      <c r="K63" s="402"/>
      <c r="L63" t="b">
        <f t="shared" si="30"/>
        <v>0</v>
      </c>
      <c r="M63" s="51" t="str">
        <f t="shared" si="31"/>
        <v/>
      </c>
      <c r="N63" s="53">
        <v>30</v>
      </c>
      <c r="O63" s="37"/>
    </row>
    <row r="64" spans="1:15" ht="16.5" customHeight="1">
      <c r="A64" s="469"/>
      <c r="B64" s="469"/>
      <c r="C64" s="166"/>
      <c r="D64" s="289"/>
      <c r="E64" s="127"/>
      <c r="F64" s="127"/>
      <c r="G64" s="127"/>
      <c r="H64" s="289"/>
      <c r="I64" s="74"/>
      <c r="J64" s="104"/>
      <c r="K64" s="429"/>
      <c r="L64" s="53"/>
      <c r="M64" s="51"/>
      <c r="O64" s="37"/>
    </row>
    <row r="65" spans="1:15" ht="16.5" customHeight="1">
      <c r="A65" s="469"/>
      <c r="B65" s="495" t="s">
        <v>82</v>
      </c>
      <c r="C65" s="101" t="str">
        <f>Glossary!B215</f>
        <v>Setup Support processes</v>
      </c>
      <c r="D65" s="402"/>
      <c r="E65" t="b">
        <f t="shared" ref="E65:E68" si="32">IF(OR(D65="y",D65="n"), G65)</f>
        <v>0</v>
      </c>
      <c r="F65" s="51" t="str">
        <f t="shared" ref="F65:F68" si="33">IF(D65 = "Y",E65, IF(D65="n",0, ""))</f>
        <v/>
      </c>
      <c r="G65" s="53">
        <v>30</v>
      </c>
      <c r="H65" s="400"/>
      <c r="I65" s="56"/>
      <c r="J65" s="45" t="str">
        <f>Glossary!B234</f>
        <v>Support processes and access to Adobe Support Portal</v>
      </c>
      <c r="K65" s="402"/>
      <c r="L65" t="b">
        <f>IF(OR(K65="y",K65="n"), N65)</f>
        <v>0</v>
      </c>
      <c r="M65" s="51" t="str">
        <f t="shared" ref="M65:M66" si="34">IF(K65 = "Y",L65, IF(K65="n",0, ""))</f>
        <v/>
      </c>
      <c r="N65" s="53">
        <v>30</v>
      </c>
      <c r="O65" s="37"/>
    </row>
    <row r="66" spans="1:15" ht="16.5" customHeight="1">
      <c r="A66" s="469"/>
      <c r="B66" s="469"/>
      <c r="C66" s="101" t="str">
        <f>Glossary!B138</f>
        <v>List of users that require access to Adobe Support Portal</v>
      </c>
      <c r="D66" s="402"/>
      <c r="E66" t="b">
        <f t="shared" si="32"/>
        <v>0</v>
      </c>
      <c r="F66" s="51" t="str">
        <f t="shared" si="33"/>
        <v/>
      </c>
      <c r="G66" s="53">
        <v>30</v>
      </c>
      <c r="H66" s="400"/>
      <c r="I66" s="56"/>
      <c r="J66" s="101"/>
      <c r="K66" s="101"/>
      <c r="M66" s="51" t="str">
        <f t="shared" si="34"/>
        <v/>
      </c>
      <c r="N66" s="53"/>
      <c r="O66" s="37"/>
    </row>
    <row r="67" spans="1:15" ht="16.5" customHeight="1">
      <c r="A67" s="469"/>
      <c r="B67" s="469"/>
      <c r="C67" s="45" t="str">
        <f>Glossary!B83</f>
        <v>Escalation Processes</v>
      </c>
      <c r="D67" s="402"/>
      <c r="E67" t="b">
        <f t="shared" si="32"/>
        <v>0</v>
      </c>
      <c r="F67" s="51" t="str">
        <f t="shared" si="33"/>
        <v/>
      </c>
      <c r="G67" s="53">
        <v>20</v>
      </c>
      <c r="H67" s="400"/>
      <c r="I67" s="56"/>
      <c r="J67" s="101"/>
      <c r="K67" s="101"/>
      <c r="O67" s="37"/>
    </row>
    <row r="68" spans="1:15" ht="16.5" customHeight="1">
      <c r="A68" s="469"/>
      <c r="B68" s="469"/>
      <c r="C68" s="101" t="str">
        <f>Glossary!B8</f>
        <v>Adobe Support Portal project set up</v>
      </c>
      <c r="D68" s="402"/>
      <c r="E68" t="b">
        <f t="shared" si="32"/>
        <v>0</v>
      </c>
      <c r="F68" s="51" t="str">
        <f t="shared" si="33"/>
        <v/>
      </c>
      <c r="G68" s="53">
        <v>20</v>
      </c>
      <c r="H68" s="400"/>
      <c r="I68" s="56"/>
      <c r="J68" s="101"/>
      <c r="K68" s="101"/>
      <c r="O68" s="37"/>
    </row>
    <row r="69" spans="1:15" ht="16.5" customHeight="1">
      <c r="A69" s="469"/>
      <c r="B69" s="478"/>
      <c r="C69" s="279"/>
      <c r="D69" s="278"/>
      <c r="E69" s="278"/>
      <c r="F69" s="278"/>
      <c r="G69" s="278"/>
      <c r="H69" s="189"/>
      <c r="I69" s="73"/>
      <c r="J69" s="278"/>
      <c r="K69" s="253"/>
      <c r="O69" s="37"/>
    </row>
    <row r="70" spans="1:15" ht="16.5" hidden="1" customHeight="1">
      <c r="A70" s="470"/>
      <c r="B70" s="89"/>
      <c r="C70" s="119"/>
      <c r="D70" s="94">
        <f>COUNTA(D36:D37,D39:D43,D45:D53,D55:D58,D60,D62,D65:D68,K36,K39:K41,K45:K48,K55,K60,K62:K63,K65)/COUNTA(F36:F37,F39:F43,F45:F53,F55:F58,F60,F62,F65:F68,M36,M39:M41,M45:M48,M55,M60,M62:M63,M65,)</f>
        <v>0</v>
      </c>
      <c r="E70" s="53">
        <f t="shared" ref="E70:F70" si="35">SUM(E36:E62,E65:E68)</f>
        <v>0</v>
      </c>
      <c r="F70" s="53">
        <f t="shared" si="35"/>
        <v>0</v>
      </c>
      <c r="G70" s="53"/>
      <c r="H70" s="169" t="str">
        <f>IFERROR(AVERAGE(H36:H62,H65:H68),"")</f>
        <v/>
      </c>
      <c r="I70" s="56"/>
      <c r="J70" s="101"/>
      <c r="K70" s="101"/>
      <c r="L70">
        <f t="shared" ref="L70:M70" si="36">SUM(L36,L39:L41,L45:L48,L55,L60:L66)</f>
        <v>0</v>
      </c>
      <c r="M70">
        <f t="shared" si="36"/>
        <v>0</v>
      </c>
      <c r="O70" s="37"/>
    </row>
    <row r="71" spans="1:15" ht="16.5" customHeight="1">
      <c r="A71" s="468" t="s">
        <v>49</v>
      </c>
      <c r="B71" s="495" t="s">
        <v>78</v>
      </c>
      <c r="C71" s="169" t="str">
        <f>Glossary!B154</f>
        <v>Monitoring Concept</v>
      </c>
      <c r="D71" s="402"/>
      <c r="E71" t="b">
        <f>IF(OR(D71="y",D71="n"), G71)</f>
        <v>0</v>
      </c>
      <c r="F71" s="51" t="str">
        <f>IF(D71 = "Y",E71, IF(D71="n",0, ""))</f>
        <v/>
      </c>
      <c r="G71" s="53">
        <v>40</v>
      </c>
      <c r="H71" s="400"/>
      <c r="I71" s="56"/>
      <c r="J71" s="45" t="str">
        <f>Glossary!B156</f>
        <v>Monitoring Points in the application defined</v>
      </c>
      <c r="K71" s="402"/>
      <c r="L71" t="b">
        <f t="shared" ref="L71:L75" si="37">IF(OR(K71="y",K71="n"), N71)</f>
        <v>0</v>
      </c>
      <c r="M71" s="51" t="str">
        <f t="shared" ref="M71:M75" si="38">IF(K71 = "Y",L71, IF(K71="n",0, ""))</f>
        <v/>
      </c>
      <c r="N71" s="53">
        <v>5</v>
      </c>
      <c r="O71" s="37"/>
    </row>
    <row r="72" spans="1:15" ht="16.5" customHeight="1">
      <c r="A72" s="469"/>
      <c r="B72" s="469"/>
      <c r="C72" s="101"/>
      <c r="D72" s="303"/>
      <c r="E72" s="303"/>
      <c r="F72" s="303"/>
      <c r="G72" s="303"/>
      <c r="H72" s="303"/>
      <c r="I72" s="56"/>
      <c r="J72" s="303" t="str">
        <f>Glossary!B139</f>
        <v>Log File Analysis</v>
      </c>
      <c r="K72" s="402"/>
      <c r="L72" t="b">
        <f t="shared" si="37"/>
        <v>0</v>
      </c>
      <c r="M72" s="51" t="str">
        <f t="shared" si="38"/>
        <v/>
      </c>
      <c r="N72" s="53">
        <v>5</v>
      </c>
      <c r="O72" s="37"/>
    </row>
    <row r="73" spans="1:15" ht="16.5" customHeight="1">
      <c r="A73" s="469"/>
      <c r="B73" s="469"/>
      <c r="C73" s="299"/>
      <c r="D73" s="304"/>
      <c r="E73" s="304"/>
      <c r="F73" s="304"/>
      <c r="G73" s="305"/>
      <c r="H73" s="303"/>
      <c r="I73" s="56"/>
      <c r="J73" s="306" t="str">
        <f>Glossary!B81</f>
        <v>Error Handling Concept</v>
      </c>
      <c r="K73" s="402"/>
      <c r="L73" t="b">
        <f t="shared" si="37"/>
        <v>0</v>
      </c>
      <c r="M73" s="51" t="str">
        <f t="shared" si="38"/>
        <v/>
      </c>
      <c r="N73" s="53">
        <v>5</v>
      </c>
      <c r="O73" s="37"/>
    </row>
    <row r="74" spans="1:15" ht="16.5" customHeight="1">
      <c r="A74" s="469"/>
      <c r="B74" s="469"/>
      <c r="C74" s="299"/>
      <c r="D74" s="307"/>
      <c r="E74" s="307"/>
      <c r="F74" s="307"/>
      <c r="G74" s="307"/>
      <c r="H74" s="303"/>
      <c r="I74" s="56"/>
      <c r="J74" s="230" t="str">
        <f>Glossary!B82</f>
        <v>Error Handling Documentation</v>
      </c>
      <c r="K74" s="402"/>
      <c r="L74" t="b">
        <f t="shared" si="37"/>
        <v>0</v>
      </c>
      <c r="M74" s="51" t="str">
        <f t="shared" si="38"/>
        <v/>
      </c>
      <c r="N74" s="53">
        <v>5</v>
      </c>
      <c r="O74" s="37"/>
    </row>
    <row r="75" spans="1:15" ht="16.5" customHeight="1">
      <c r="A75" s="469"/>
      <c r="B75" s="469"/>
      <c r="C75" s="119"/>
      <c r="D75" s="309"/>
      <c r="E75" s="309"/>
      <c r="F75" s="309"/>
      <c r="G75" s="310"/>
      <c r="H75" s="303"/>
      <c r="I75" s="56"/>
      <c r="J75" s="309" t="str">
        <f>Glossary!B21</f>
        <v>Application specific maintenance tasks defined</v>
      </c>
      <c r="K75" s="402"/>
      <c r="L75" t="b">
        <f t="shared" si="37"/>
        <v>0</v>
      </c>
      <c r="M75" s="51" t="str">
        <f t="shared" si="38"/>
        <v/>
      </c>
      <c r="N75" s="53">
        <v>5</v>
      </c>
      <c r="O75" s="37"/>
    </row>
    <row r="76" spans="1:15" ht="16.5" customHeight="1">
      <c r="A76" s="469"/>
      <c r="B76" s="469"/>
      <c r="C76" s="267"/>
      <c r="D76" s="311"/>
      <c r="E76" s="311"/>
      <c r="F76" s="311"/>
      <c r="G76" s="311"/>
      <c r="H76" s="311"/>
      <c r="I76" s="73"/>
      <c r="J76" s="311"/>
      <c r="K76" s="313"/>
      <c r="L76" s="127"/>
      <c r="M76" s="51"/>
      <c r="O76" s="37"/>
    </row>
    <row r="77" spans="1:15" ht="16.5" hidden="1" customHeight="1">
      <c r="A77" s="478"/>
      <c r="B77" s="469"/>
      <c r="C77" s="166"/>
      <c r="D77">
        <f>COUNTA(D71,K71:K75)/COUNTA(F71,M71:M75)</f>
        <v>0</v>
      </c>
      <c r="E77">
        <f t="shared" ref="E77:F77" si="39">SUM(E71)</f>
        <v>0</v>
      </c>
      <c r="F77">
        <f t="shared" si="39"/>
        <v>0</v>
      </c>
      <c r="H77" s="72" t="str">
        <f>IFERROR(AVERAGE(H71), "")</f>
        <v/>
      </c>
      <c r="J77" s="138"/>
      <c r="K77" s="138"/>
      <c r="L77">
        <f t="shared" ref="L77:M77" si="40">SUM(L71:L75)</f>
        <v>0</v>
      </c>
      <c r="M77">
        <f t="shared" si="40"/>
        <v>0</v>
      </c>
      <c r="O77" s="37"/>
    </row>
    <row r="78" spans="1:15" ht="16.5" customHeight="1">
      <c r="A78" s="498" t="s">
        <v>50</v>
      </c>
      <c r="B78" s="495" t="s">
        <v>104</v>
      </c>
      <c r="C78" s="45" t="str">
        <f>Glossary!B73</f>
        <v>Devolpment environment ready</v>
      </c>
      <c r="D78" s="402"/>
      <c r="E78" t="b">
        <f t="shared" ref="E78:E81" si="41">IF(OR(D78="y",D78="n"), G78)</f>
        <v>0</v>
      </c>
      <c r="F78" s="51" t="str">
        <f t="shared" ref="F78:F81" si="42">IF(D78 = "Y",E78, IF(D78="n",0, ""))</f>
        <v/>
      </c>
      <c r="G78" s="158">
        <v>40</v>
      </c>
      <c r="H78" s="400"/>
      <c r="I78" s="56"/>
      <c r="J78" s="45" t="str">
        <f>Glossary!B137</f>
        <v>List of standard development tools to be used in the project</v>
      </c>
      <c r="K78" s="402"/>
      <c r="L78" t="b">
        <f t="shared" ref="L78:L81" si="43">IF(OR(K78="y",K78="n"), N78)</f>
        <v>0</v>
      </c>
      <c r="M78" s="51" t="str">
        <f t="shared" ref="M78:M81" si="44">IF(K78 = "Y",L78, IF(K78="n",0, ""))</f>
        <v/>
      </c>
      <c r="N78" s="215">
        <v>30</v>
      </c>
      <c r="O78" s="37"/>
    </row>
    <row r="79" spans="1:15" ht="16.5" customHeight="1">
      <c r="A79" s="469"/>
      <c r="B79" s="469"/>
      <c r="C79" s="138" t="str">
        <f>Glossary!B104</f>
        <v>High Level Solution Design</v>
      </c>
      <c r="D79" s="402"/>
      <c r="E79" t="b">
        <f t="shared" si="41"/>
        <v>0</v>
      </c>
      <c r="F79" s="51" t="str">
        <f t="shared" si="42"/>
        <v/>
      </c>
      <c r="G79" s="63">
        <v>30</v>
      </c>
      <c r="H79" s="400"/>
      <c r="I79" s="56"/>
      <c r="J79" s="141" t="str">
        <f>Glossary!B222</f>
        <v>Software Architecture Startegy</v>
      </c>
      <c r="K79" s="402"/>
      <c r="L79" t="b">
        <f t="shared" si="43"/>
        <v>0</v>
      </c>
      <c r="M79" s="51" t="str">
        <f t="shared" si="44"/>
        <v/>
      </c>
      <c r="N79" s="168">
        <v>40</v>
      </c>
      <c r="O79" s="37"/>
    </row>
    <row r="80" spans="1:15" ht="16.5" customHeight="1">
      <c r="A80" s="469"/>
      <c r="B80" s="469"/>
      <c r="C80" s="101" t="str">
        <f>Glossary!B11</f>
        <v>Architecture Draft</v>
      </c>
      <c r="D80" s="402"/>
      <c r="E80" t="b">
        <f t="shared" si="41"/>
        <v>0</v>
      </c>
      <c r="F80" s="51" t="str">
        <f t="shared" si="42"/>
        <v/>
      </c>
      <c r="G80" s="315">
        <v>25</v>
      </c>
      <c r="H80" s="400"/>
      <c r="I80" s="56"/>
      <c r="J80" s="69" t="str">
        <f>Glossary!B69</f>
        <v>Deployment cadence establiished</v>
      </c>
      <c r="K80" s="402"/>
      <c r="L80" t="b">
        <f t="shared" si="43"/>
        <v>0</v>
      </c>
      <c r="M80" s="51" t="str">
        <f t="shared" si="44"/>
        <v/>
      </c>
      <c r="N80" s="168">
        <v>20</v>
      </c>
      <c r="O80" s="37"/>
    </row>
    <row r="81" spans="1:15" ht="16.5" customHeight="1">
      <c r="A81" s="469"/>
      <c r="B81" s="469"/>
      <c r="C81" s="101" t="str">
        <f>Glossary!B23</f>
        <v>Automation Strategy</v>
      </c>
      <c r="D81" s="402"/>
      <c r="E81" t="b">
        <f t="shared" si="41"/>
        <v>0</v>
      </c>
      <c r="F81" s="51" t="str">
        <f t="shared" si="42"/>
        <v/>
      </c>
      <c r="G81" s="315">
        <v>25</v>
      </c>
      <c r="H81" s="400"/>
      <c r="I81" s="37"/>
      <c r="J81" s="69" t="str">
        <f>Glossary!B71</f>
        <v>Development Role Definition</v>
      </c>
      <c r="K81" s="402"/>
      <c r="L81" t="b">
        <f t="shared" si="43"/>
        <v>0</v>
      </c>
      <c r="M81" s="51" t="str">
        <f t="shared" si="44"/>
        <v/>
      </c>
      <c r="N81" s="168">
        <v>20</v>
      </c>
      <c r="O81" s="37"/>
    </row>
    <row r="82" spans="1:15" ht="16.5" customHeight="1">
      <c r="A82" s="469"/>
      <c r="B82" s="478"/>
      <c r="C82" s="204"/>
      <c r="D82" s="152"/>
      <c r="E82" s="152"/>
      <c r="F82" s="152"/>
      <c r="G82" s="152"/>
      <c r="H82" s="152"/>
      <c r="I82" s="153"/>
      <c r="J82" s="109"/>
      <c r="K82" s="238"/>
      <c r="L82" s="168"/>
      <c r="M82" s="51"/>
      <c r="O82" s="37"/>
    </row>
    <row r="83" spans="1:15" ht="16.5" customHeight="1">
      <c r="A83" s="469"/>
      <c r="B83" s="495" t="s">
        <v>102</v>
      </c>
      <c r="C83" s="45" t="str">
        <f>Glossary!B176</f>
        <v>Production environment ready</v>
      </c>
      <c r="D83" s="402"/>
      <c r="E83" t="b">
        <f t="shared" ref="E83:E84" si="45">IF(OR(D83="y",D83="n"), G83)</f>
        <v>0</v>
      </c>
      <c r="F83" s="51" t="str">
        <f t="shared" ref="F83:F84" si="46">IF(D83 = "Y",E83, IF(D83="n",0, ""))</f>
        <v/>
      </c>
      <c r="G83" s="63">
        <v>50</v>
      </c>
      <c r="H83" s="400"/>
      <c r="I83" s="56"/>
      <c r="J83" s="45" t="str">
        <f>Glossary!B175</f>
        <v>Pre-Deployment Checklist</v>
      </c>
      <c r="K83" s="402"/>
      <c r="L83" t="b">
        <f t="shared" ref="L83:L84" si="47">IF(OR(K83="y",K83="n"), N83)</f>
        <v>0</v>
      </c>
      <c r="M83" s="51" t="str">
        <f t="shared" ref="M83:M84" si="48">IF(K83 = "Y",L83, IF(K83="n",0, ""))</f>
        <v/>
      </c>
      <c r="N83" s="215">
        <v>30</v>
      </c>
      <c r="O83" s="37"/>
    </row>
    <row r="84" spans="1:15" ht="16.5" customHeight="1">
      <c r="A84" s="469"/>
      <c r="B84" s="469"/>
      <c r="C84" s="45" t="str">
        <f>Glossary!B70</f>
        <v>Deployment / Release Policies and Processes</v>
      </c>
      <c r="D84" s="402"/>
      <c r="E84" t="b">
        <f t="shared" si="45"/>
        <v>0</v>
      </c>
      <c r="F84" s="51" t="str">
        <f t="shared" si="46"/>
        <v/>
      </c>
      <c r="G84" s="63">
        <v>30</v>
      </c>
      <c r="H84" s="400"/>
      <c r="I84" s="56"/>
      <c r="J84" s="45" t="str">
        <f>Glossary!B164</f>
        <v>Package Prepared</v>
      </c>
      <c r="K84" s="402"/>
      <c r="L84" t="b">
        <f t="shared" si="47"/>
        <v>0</v>
      </c>
      <c r="M84" s="51" t="str">
        <f t="shared" si="48"/>
        <v/>
      </c>
      <c r="N84" s="168">
        <v>50</v>
      </c>
      <c r="O84" s="37"/>
    </row>
    <row r="85" spans="1:15" ht="16.5" customHeight="1">
      <c r="A85" s="469"/>
      <c r="B85" s="478"/>
      <c r="C85" s="110"/>
      <c r="D85" s="319"/>
      <c r="E85" s="319"/>
      <c r="F85" s="319"/>
      <c r="G85" s="319"/>
      <c r="H85" s="319"/>
      <c r="I85" s="165"/>
      <c r="J85" s="319"/>
      <c r="K85" s="320"/>
      <c r="L85" s="168"/>
      <c r="M85" s="51"/>
      <c r="O85" s="37"/>
    </row>
    <row r="86" spans="1:15" ht="16.5" customHeight="1">
      <c r="A86" s="469"/>
      <c r="B86" s="497" t="s">
        <v>79</v>
      </c>
      <c r="C86" s="45" t="str">
        <f>Glossary!B60</f>
        <v>Current Content Structure and Format</v>
      </c>
      <c r="D86" s="402"/>
      <c r="E86" t="b">
        <f t="shared" ref="E86:E88" si="49">IF(OR(D86="y",D86="n"), G86)</f>
        <v>0</v>
      </c>
      <c r="F86" s="51" t="str">
        <f t="shared" ref="F86:F88" si="50">IF(D86 = "Y",E86, IF(D86="n",0, ""))</f>
        <v/>
      </c>
      <c r="G86" s="63">
        <v>25</v>
      </c>
      <c r="H86" s="400"/>
      <c r="I86" s="56"/>
      <c r="J86" s="45" t="str">
        <f>Glossary!B120</f>
        <v>Implementation - Migration Strategy</v>
      </c>
      <c r="K86" s="402"/>
      <c r="L86" t="b">
        <f>IF(OR(K86="y",K86="n"), N86)</f>
        <v>0</v>
      </c>
      <c r="M86" s="51" t="str">
        <f>IF(K86 = "Y",L86, IF(K86="n",0, ""))</f>
        <v/>
      </c>
      <c r="N86" s="215">
        <v>40</v>
      </c>
      <c r="O86" s="37"/>
    </row>
    <row r="87" spans="1:15" ht="16.5" customHeight="1">
      <c r="A87" s="469"/>
      <c r="B87" s="487"/>
      <c r="C87" s="45" t="str">
        <f>Glossary!B136</f>
        <v>Legacy System</v>
      </c>
      <c r="D87" s="402"/>
      <c r="E87" t="b">
        <f t="shared" si="49"/>
        <v>0</v>
      </c>
      <c r="F87" s="51" t="str">
        <f t="shared" si="50"/>
        <v/>
      </c>
      <c r="G87" s="158">
        <v>30</v>
      </c>
      <c r="H87" s="400"/>
      <c r="I87" s="56"/>
      <c r="J87" s="54"/>
      <c r="K87" s="54"/>
      <c r="L87" s="54"/>
      <c r="M87" s="54"/>
      <c r="O87" s="37"/>
    </row>
    <row r="88" spans="1:15" ht="16.5" customHeight="1">
      <c r="A88" s="469"/>
      <c r="B88" s="487"/>
      <c r="C88" s="45" t="str">
        <f>Glossary!B142</f>
        <v>Migration Strategy</v>
      </c>
      <c r="D88" s="402"/>
      <c r="E88" t="b">
        <f t="shared" si="49"/>
        <v>0</v>
      </c>
      <c r="F88" s="51" t="str">
        <f t="shared" si="50"/>
        <v/>
      </c>
      <c r="G88" s="158">
        <v>35</v>
      </c>
      <c r="H88" s="400"/>
      <c r="I88" s="56"/>
      <c r="J88" s="54"/>
      <c r="K88" s="54"/>
      <c r="L88" s="54"/>
      <c r="M88" s="54"/>
      <c r="O88" s="37"/>
    </row>
    <row r="89" spans="1:15" ht="16.5" customHeight="1">
      <c r="A89" s="469"/>
      <c r="B89" s="487"/>
      <c r="C89" s="141"/>
      <c r="D89" s="165"/>
      <c r="E89" s="165"/>
      <c r="F89" s="165"/>
      <c r="G89" s="165"/>
      <c r="H89" s="165"/>
      <c r="I89" s="165"/>
      <c r="J89" s="126"/>
      <c r="K89" s="183"/>
      <c r="L89" s="322"/>
      <c r="M89" s="324"/>
      <c r="O89" s="37"/>
    </row>
    <row r="90" spans="1:15" ht="16.5" customHeight="1">
      <c r="A90" s="469"/>
      <c r="B90" s="472" t="s">
        <v>108</v>
      </c>
      <c r="C90" s="101" t="str">
        <f>Glossary!B63</f>
        <v>Customizations that affect upgrades documented and hotfixes documented</v>
      </c>
      <c r="D90" s="402"/>
      <c r="E90" t="b">
        <f>IF(OR(D90="y",D90="n"), G90)</f>
        <v>0</v>
      </c>
      <c r="F90" s="51" t="str">
        <f>IF(D90 = "Y",E90, IF(D90="n",0, ""))</f>
        <v/>
      </c>
      <c r="G90" s="63">
        <v>30</v>
      </c>
      <c r="H90" s="400"/>
      <c r="I90" s="56"/>
      <c r="J90" s="69" t="str">
        <f>Glossary!B193</f>
        <v>Release Notes</v>
      </c>
      <c r="K90" s="402"/>
      <c r="L90" t="b">
        <f>IF(OR(K90="y",K90="n"), N90)</f>
        <v>0</v>
      </c>
      <c r="M90" s="51" t="str">
        <f>IF(K90 = "Y",L90, IF(K90="n",0, ""))</f>
        <v/>
      </c>
      <c r="N90" s="249">
        <v>40</v>
      </c>
      <c r="O90" s="37"/>
    </row>
    <row r="91" spans="1:15" ht="16.5" customHeight="1">
      <c r="A91" s="478"/>
      <c r="B91" s="478"/>
      <c r="C91" s="204"/>
      <c r="D91" s="109"/>
      <c r="E91" s="109"/>
      <c r="F91" s="109"/>
      <c r="G91" s="109"/>
      <c r="H91" s="109"/>
      <c r="I91" s="153"/>
      <c r="J91" s="109"/>
      <c r="K91" s="238"/>
      <c r="L91" s="327"/>
      <c r="M91" s="51"/>
      <c r="O91" s="37"/>
    </row>
    <row r="92" spans="1:15" ht="16.5" hidden="1" customHeight="1">
      <c r="A92" s="328"/>
      <c r="B92" s="89"/>
      <c r="C92" s="166"/>
      <c r="D92" s="45">
        <f>COUNTA(D78:D81,D83:D90,K78:K86,K90)/COUNTA(F78:F81,F83:F90,M78:M86,M90)</f>
        <v>0</v>
      </c>
      <c r="E92" s="45">
        <f>SUM(E78:E90)</f>
        <v>0</v>
      </c>
      <c r="F92" s="45">
        <f>SUM(F78:F81,F83:F90)</f>
        <v>0</v>
      </c>
      <c r="G92" s="45"/>
      <c r="H92" s="169" t="str">
        <f>IFERROR(AVERAGE(H78:H80,H83:H90),"")</f>
        <v/>
      </c>
      <c r="I92" s="56"/>
      <c r="K92" s="97"/>
      <c r="L92">
        <f t="shared" ref="L92:M92" si="51">SUM(L78:L86,L90)</f>
        <v>0</v>
      </c>
      <c r="M92">
        <f t="shared" si="51"/>
        <v>0</v>
      </c>
      <c r="O92" s="37"/>
    </row>
    <row r="93" spans="1:15" ht="16.5" customHeight="1">
      <c r="A93" s="498" t="s">
        <v>51</v>
      </c>
      <c r="B93" s="496" t="s">
        <v>83</v>
      </c>
      <c r="C93" s="101" t="s">
        <v>118</v>
      </c>
      <c r="D93" s="402"/>
      <c r="E93" t="b">
        <f t="shared" ref="E93:E94" si="52">IF(OR(D93="y",D93="n"), G93)</f>
        <v>0</v>
      </c>
      <c r="F93" s="51" t="str">
        <f t="shared" ref="F93:F94" si="53">IF(D93 = "Y",E93, IF(D93="n",0, ""))</f>
        <v/>
      </c>
      <c r="G93" s="53">
        <v>50</v>
      </c>
      <c r="H93" s="400"/>
      <c r="I93" s="56"/>
      <c r="J93" s="101" t="str">
        <f>Glossary!B96</f>
        <v>Functionality of the solution are accepted by stakeholders</v>
      </c>
      <c r="K93" s="402"/>
      <c r="L93" t="b">
        <f t="shared" ref="L93:L94" si="54">IF(OR(K93="y",K93="n"), N93)</f>
        <v>0</v>
      </c>
      <c r="M93" s="51" t="str">
        <f t="shared" ref="M93:M94" si="55">IF(K93 = "Y",L93, IF(K93="n",0, ""))</f>
        <v/>
      </c>
      <c r="N93" s="53">
        <v>50</v>
      </c>
      <c r="O93" s="37"/>
    </row>
    <row r="94" spans="1:15" ht="21" customHeight="1">
      <c r="A94" s="469"/>
      <c r="B94" s="469"/>
      <c r="C94" s="101" t="str">
        <f>Glossary!B4</f>
        <v>Acceptance test</v>
      </c>
      <c r="D94" s="402"/>
      <c r="E94" t="b">
        <f t="shared" si="52"/>
        <v>0</v>
      </c>
      <c r="F94" s="51" t="str">
        <f t="shared" si="53"/>
        <v/>
      </c>
      <c r="G94" s="69">
        <v>40</v>
      </c>
      <c r="H94" s="400"/>
      <c r="I94" s="56"/>
      <c r="J94" s="45" t="str">
        <f>Glossary!B174</f>
        <v>Post-Deployment Checklist</v>
      </c>
      <c r="K94" s="402"/>
      <c r="L94" t="b">
        <f t="shared" si="54"/>
        <v>0</v>
      </c>
      <c r="M94" s="51" t="str">
        <f t="shared" si="55"/>
        <v/>
      </c>
      <c r="N94" s="53">
        <v>40</v>
      </c>
      <c r="O94" s="37"/>
    </row>
    <row r="95" spans="1:15" ht="18" customHeight="1">
      <c r="A95" s="469"/>
      <c r="B95" s="478"/>
      <c r="C95" s="204"/>
      <c r="D95" s="152"/>
      <c r="E95" s="152"/>
      <c r="F95" s="152"/>
      <c r="G95" s="152"/>
      <c r="H95" s="109"/>
      <c r="I95" s="153"/>
      <c r="J95" s="152"/>
      <c r="K95" s="238"/>
      <c r="L95" s="53"/>
      <c r="M95" s="51"/>
      <c r="O95" s="37"/>
    </row>
    <row r="96" spans="1:15" ht="21" customHeight="1">
      <c r="A96" s="469"/>
      <c r="B96" s="496" t="s">
        <v>84</v>
      </c>
      <c r="C96" s="45" t="str">
        <f>Glossary!B168</f>
        <v>Performance Test Report</v>
      </c>
      <c r="D96" s="402"/>
      <c r="E96" t="b">
        <f t="shared" ref="E96:E99" si="56">IF(OR(D96="y",D96="n"), G96)</f>
        <v>0</v>
      </c>
      <c r="F96" s="51" t="str">
        <f t="shared" ref="F96:F99" si="57">IF(D96 = "Y",E96, IF(D96="n",0, ""))</f>
        <v/>
      </c>
      <c r="G96" s="53">
        <v>40</v>
      </c>
      <c r="H96" s="400"/>
      <c r="I96" s="56"/>
      <c r="J96" s="101" t="str">
        <f>Glossary!B270</f>
        <v>Use cases</v>
      </c>
      <c r="K96" s="402"/>
      <c r="L96" t="b">
        <f>IF(OR(K96="y",K96="n"), N96)</f>
        <v>0</v>
      </c>
      <c r="M96" s="51" t="str">
        <f>IF(K96 = "Y",L96, IF(K96="n",0, ""))</f>
        <v/>
      </c>
      <c r="N96" s="53">
        <v>30</v>
      </c>
      <c r="O96" s="37"/>
    </row>
    <row r="97" spans="1:15" ht="16.5" customHeight="1">
      <c r="A97" s="469"/>
      <c r="B97" s="469"/>
      <c r="C97" s="45" t="str">
        <f>Glossary!B198</f>
        <v>Requirements Documentation</v>
      </c>
      <c r="D97" s="402"/>
      <c r="E97" t="b">
        <f t="shared" si="56"/>
        <v>0</v>
      </c>
      <c r="F97" s="51" t="str">
        <f t="shared" si="57"/>
        <v/>
      </c>
      <c r="G97" s="53">
        <v>30</v>
      </c>
      <c r="H97" s="400"/>
      <c r="I97" s="56"/>
      <c r="J97" s="101"/>
      <c r="K97" s="101"/>
      <c r="O97" s="37"/>
    </row>
    <row r="98" spans="1:15" ht="17.25" customHeight="1">
      <c r="A98" s="469"/>
      <c r="B98" s="469"/>
      <c r="C98" s="121" t="str">
        <f>Glossary!B166</f>
        <v>Performance KPIs</v>
      </c>
      <c r="D98" s="402"/>
      <c r="E98" t="b">
        <f t="shared" si="56"/>
        <v>0</v>
      </c>
      <c r="F98" s="51" t="str">
        <f t="shared" si="57"/>
        <v/>
      </c>
      <c r="G98" s="53">
        <v>50</v>
      </c>
      <c r="H98" s="400"/>
      <c r="I98" s="56"/>
      <c r="J98" s="101"/>
      <c r="K98" s="101"/>
      <c r="O98" s="37"/>
    </row>
    <row r="99" spans="1:15" ht="19.5" customHeight="1">
      <c r="A99" s="469"/>
      <c r="B99" s="469"/>
      <c r="C99" s="45" t="str">
        <f>Glossary!B37</f>
        <v>Caching Strategy</v>
      </c>
      <c r="D99" s="402"/>
      <c r="E99" t="b">
        <f t="shared" si="56"/>
        <v>0</v>
      </c>
      <c r="F99" s="51" t="str">
        <f t="shared" si="57"/>
        <v/>
      </c>
      <c r="G99" s="53">
        <v>20</v>
      </c>
      <c r="H99" s="400"/>
      <c r="I99" s="56"/>
      <c r="J99" s="101"/>
      <c r="K99" s="101"/>
      <c r="O99" s="37"/>
    </row>
    <row r="100" spans="1:15" ht="17.25" customHeight="1">
      <c r="A100" s="469"/>
      <c r="B100" s="469"/>
      <c r="C100" s="119"/>
      <c r="D100" s="152"/>
      <c r="E100" s="152"/>
      <c r="F100" s="152"/>
      <c r="G100" s="152"/>
      <c r="H100" s="152"/>
      <c r="I100" s="73"/>
      <c r="J100" s="101"/>
      <c r="K100" s="101"/>
      <c r="O100" s="37"/>
    </row>
    <row r="101" spans="1:15" ht="16.5" hidden="1" customHeight="1">
      <c r="A101" s="478"/>
      <c r="B101" s="478"/>
      <c r="C101" s="299"/>
      <c r="D101" s="166">
        <f>COUNTA(D93:D99,K93:K96)/COUNTA(F93:F99,M93:M96)</f>
        <v>0</v>
      </c>
      <c r="E101" s="166">
        <f t="shared" ref="E101:F101" si="58">SUM(E93:E99)</f>
        <v>0</v>
      </c>
      <c r="F101" s="166">
        <f t="shared" si="58"/>
        <v>0</v>
      </c>
      <c r="G101" s="166"/>
      <c r="H101" s="178" t="str">
        <f>IFERROR(AVERAGE(H93:H99), "")</f>
        <v/>
      </c>
      <c r="I101" s="37"/>
      <c r="J101" s="101"/>
      <c r="K101" s="101"/>
      <c r="L101">
        <f t="shared" ref="L101:M101" si="59">SUM(L93:L96)</f>
        <v>0</v>
      </c>
      <c r="M101">
        <f t="shared" si="59"/>
        <v>0</v>
      </c>
      <c r="O101" s="37"/>
    </row>
    <row r="102" spans="1:15" ht="16.5" customHeight="1">
      <c r="A102" s="498" t="s">
        <v>52</v>
      </c>
      <c r="B102" s="481" t="s">
        <v>109</v>
      </c>
      <c r="C102" s="101" t="str">
        <f>Glossary!B213</f>
        <v xml:space="preserve">Security issues listed and assesed </v>
      </c>
      <c r="D102" s="402"/>
      <c r="E102" t="b">
        <f t="shared" ref="E102:E103" si="60">IF(OR(D102="y",D102="n"), G102)</f>
        <v>0</v>
      </c>
      <c r="F102" s="51" t="str">
        <f t="shared" ref="F102:F103" si="61">IF(D102 = "Y",E102, IF(D102="n",0, ""))</f>
        <v/>
      </c>
      <c r="G102" s="53">
        <v>40</v>
      </c>
      <c r="H102" s="400"/>
      <c r="I102" s="56"/>
      <c r="J102" s="45" t="str">
        <f>Glossary!B113</f>
        <v>Implementation - Any needed changes based on Penetration Test Results</v>
      </c>
      <c r="K102" s="402"/>
      <c r="L102" t="b">
        <f>IF(OR(K102="y",K102="n"), N102)</f>
        <v>0</v>
      </c>
      <c r="M102" s="51" t="str">
        <f>IF(K102 = "Y",L102, IF(K102="n",0, ""))</f>
        <v/>
      </c>
      <c r="N102" s="53">
        <v>50</v>
      </c>
      <c r="O102" s="37"/>
    </row>
    <row r="103" spans="1:15" ht="16.5" customHeight="1">
      <c r="A103" s="469"/>
      <c r="B103" s="469"/>
      <c r="C103" s="101" t="str">
        <f>Glossary!B237</f>
        <v>System Architecture Documentation</v>
      </c>
      <c r="D103" s="402"/>
      <c r="E103" t="b">
        <f t="shared" si="60"/>
        <v>0</v>
      </c>
      <c r="F103" s="51" t="str">
        <f t="shared" si="61"/>
        <v/>
      </c>
      <c r="G103" s="53">
        <v>30</v>
      </c>
      <c r="H103" s="400"/>
      <c r="I103" s="56"/>
      <c r="J103" s="330"/>
      <c r="K103" s="143"/>
      <c r="O103" s="37"/>
    </row>
    <row r="104" spans="1:15" ht="16.5" customHeight="1">
      <c r="A104" s="469"/>
      <c r="B104" s="469"/>
      <c r="C104" s="176"/>
      <c r="D104" s="177"/>
      <c r="E104" s="177"/>
      <c r="F104" s="177"/>
      <c r="G104" s="177"/>
      <c r="H104" s="275"/>
      <c r="I104" s="153"/>
      <c r="J104" s="177"/>
      <c r="K104" s="209"/>
      <c r="O104" s="37"/>
    </row>
    <row r="105" spans="1:15" ht="16.5" hidden="1" customHeight="1">
      <c r="A105" s="478"/>
      <c r="C105" s="45"/>
      <c r="D105" s="94">
        <f>COUNTA(D102:D103,K102)/COUNTA(F102:F103,M102)</f>
        <v>0</v>
      </c>
      <c r="E105" s="53">
        <f t="shared" ref="E105:F105" si="62">SUM(E102:E103)</f>
        <v>0</v>
      </c>
      <c r="F105" s="53">
        <f t="shared" si="62"/>
        <v>0</v>
      </c>
      <c r="G105" s="53"/>
      <c r="H105" s="169" t="str">
        <f>IFERROR(AVERAGEA(H102:H103),"")</f>
        <v/>
      </c>
      <c r="I105" s="56"/>
      <c r="J105" s="192"/>
      <c r="K105" s="123"/>
      <c r="L105">
        <f t="shared" ref="L105:M105" si="63">SUM(L102)</f>
        <v>0</v>
      </c>
      <c r="M105">
        <f t="shared" si="63"/>
        <v>0</v>
      </c>
      <c r="O105" s="37"/>
    </row>
    <row r="106" spans="1:15" ht="16.5" customHeight="1">
      <c r="A106" s="498" t="s">
        <v>93</v>
      </c>
      <c r="B106" s="471" t="s">
        <v>46</v>
      </c>
      <c r="C106" s="45" t="str">
        <f>Glossary!B269</f>
        <v>URL handling concept</v>
      </c>
      <c r="D106" s="402"/>
      <c r="E106" t="b">
        <f t="shared" ref="E106:E107" si="64">IF(OR(D106="y",D106="n"), G106)</f>
        <v>0</v>
      </c>
      <c r="F106" s="51" t="str">
        <f t="shared" ref="F106:F107" si="65">IF(D106 = "Y",E106, IF(D106="n",0, ""))</f>
        <v/>
      </c>
      <c r="G106" s="53">
        <v>30</v>
      </c>
      <c r="H106" s="400"/>
      <c r="I106" s="56"/>
      <c r="J106" s="45" t="str">
        <f>Glossary!B127</f>
        <v>Initial Experience Designs</v>
      </c>
      <c r="K106" s="402"/>
      <c r="L106" t="b">
        <f>IF(OR(K106="y",K106="n"), N106)</f>
        <v>0</v>
      </c>
      <c r="M106" s="51" t="str">
        <f>IF(K106 = "Y",L106, IF(K106="n",0, ""))</f>
        <v/>
      </c>
      <c r="N106" s="53">
        <v>50</v>
      </c>
      <c r="O106" s="37"/>
    </row>
    <row r="107" spans="1:15" ht="16.5" customHeight="1">
      <c r="A107" s="469"/>
      <c r="B107" s="469"/>
      <c r="C107" s="101" t="str">
        <f>Glossary!B68</f>
        <v>Default security enabled</v>
      </c>
      <c r="D107" s="402"/>
      <c r="E107" t="b">
        <f t="shared" si="64"/>
        <v>0</v>
      </c>
      <c r="F107" s="51" t="str">
        <f t="shared" si="65"/>
        <v/>
      </c>
      <c r="G107" s="69">
        <v>40</v>
      </c>
      <c r="H107" s="400"/>
      <c r="I107" s="56"/>
      <c r="J107" s="152"/>
      <c r="K107" s="152"/>
      <c r="O107" s="37"/>
    </row>
    <row r="108" spans="1:15" ht="16.5" customHeight="1">
      <c r="A108" s="469"/>
      <c r="B108" s="470"/>
      <c r="C108" s="195"/>
      <c r="D108" s="195"/>
      <c r="E108" s="195"/>
      <c r="F108" s="195"/>
      <c r="G108" s="195"/>
      <c r="H108" s="195"/>
      <c r="I108" s="153"/>
      <c r="J108" s="195"/>
      <c r="K108" s="195"/>
      <c r="O108" s="37"/>
    </row>
    <row r="109" spans="1:15" ht="16.5" customHeight="1">
      <c r="A109" s="469"/>
      <c r="B109" s="476" t="s">
        <v>94</v>
      </c>
      <c r="C109" s="45" t="str">
        <f>Glossary!B171</f>
        <v>Penetration Test Results</v>
      </c>
      <c r="D109" s="402"/>
      <c r="E109" t="b">
        <f t="shared" ref="E109:E110" si="66">IF(OR(D109="y",D109="n"), G109)</f>
        <v>0</v>
      </c>
      <c r="F109" s="51" t="str">
        <f t="shared" ref="F109:F110" si="67">IF(D109 = "Y",E109, IF(D109="n",0, ""))</f>
        <v/>
      </c>
      <c r="G109" s="69">
        <v>50</v>
      </c>
      <c r="H109" s="400"/>
      <c r="I109" s="56"/>
      <c r="J109" s="101" t="str">
        <f>Glossary!B68</f>
        <v>Default security enabled</v>
      </c>
      <c r="K109" s="402"/>
      <c r="L109" t="b">
        <f t="shared" ref="L109:L113" si="68">IF(OR(K109="y",K109="n"), N109)</f>
        <v>0</v>
      </c>
      <c r="M109" s="51" t="str">
        <f t="shared" ref="M109:M113" si="69">IF(K109 = "Y",L109, IF(K109="n",0, ""))</f>
        <v/>
      </c>
      <c r="N109" s="53">
        <v>40</v>
      </c>
      <c r="O109" s="37"/>
    </row>
    <row r="110" spans="1:15" ht="16.5" customHeight="1">
      <c r="A110" s="469"/>
      <c r="B110" s="469"/>
      <c r="C110" s="101" t="str">
        <f>Glossary!B213</f>
        <v xml:space="preserve">Security issues listed and assesed </v>
      </c>
      <c r="D110" s="402"/>
      <c r="E110" t="b">
        <f t="shared" si="66"/>
        <v>0</v>
      </c>
      <c r="F110" s="51" t="str">
        <f t="shared" si="67"/>
        <v/>
      </c>
      <c r="G110" s="53">
        <v>30</v>
      </c>
      <c r="H110" s="400"/>
      <c r="I110" s="56"/>
      <c r="J110" s="121" t="str">
        <f>Glossary!B113</f>
        <v>Implementation - Any needed changes based on Penetration Test Results</v>
      </c>
      <c r="K110" s="402"/>
      <c r="L110" t="b">
        <f t="shared" si="68"/>
        <v>0</v>
      </c>
      <c r="M110" s="51" t="str">
        <f t="shared" si="69"/>
        <v/>
      </c>
      <c r="N110" s="53">
        <v>50</v>
      </c>
      <c r="O110" s="37"/>
    </row>
    <row r="111" spans="1:15" ht="16.5" customHeight="1">
      <c r="A111" s="469"/>
      <c r="B111" s="469"/>
      <c r="C111" s="101"/>
      <c r="D111" s="101"/>
      <c r="E111" s="101"/>
      <c r="F111" s="101"/>
      <c r="G111" s="101"/>
      <c r="H111" s="101"/>
      <c r="I111" s="37"/>
      <c r="J111" s="101" t="str">
        <f>Glossary!B172</f>
        <v>Penetration Test passed</v>
      </c>
      <c r="K111" s="402"/>
      <c r="L111" t="b">
        <f t="shared" si="68"/>
        <v>0</v>
      </c>
      <c r="M111" s="51" t="str">
        <f t="shared" si="69"/>
        <v/>
      </c>
      <c r="N111" s="53">
        <v>50</v>
      </c>
      <c r="O111" s="37"/>
    </row>
    <row r="112" spans="1:15" ht="15.75" customHeight="1">
      <c r="A112" s="469"/>
      <c r="B112" s="469"/>
      <c r="C112" s="101"/>
      <c r="D112" s="101"/>
      <c r="E112" s="101"/>
      <c r="F112" s="101"/>
      <c r="G112" s="101"/>
      <c r="H112" s="101"/>
      <c r="I112" s="37"/>
      <c r="J112" s="333" t="str">
        <f>Glossary!B82</f>
        <v>Error Handling Documentation</v>
      </c>
      <c r="K112" s="402"/>
      <c r="L112" t="b">
        <f t="shared" si="68"/>
        <v>0</v>
      </c>
      <c r="M112" s="51" t="str">
        <f t="shared" si="69"/>
        <v/>
      </c>
      <c r="N112" s="53">
        <v>30</v>
      </c>
      <c r="O112" s="37"/>
    </row>
    <row r="113" spans="1:15" ht="17.25" customHeight="1">
      <c r="A113" s="469"/>
      <c r="B113" s="469"/>
      <c r="C113" s="101"/>
      <c r="D113" s="101"/>
      <c r="E113" s="101"/>
      <c r="F113" s="101"/>
      <c r="G113" s="101"/>
      <c r="H113" s="101"/>
      <c r="I113" s="37"/>
      <c r="J113" s="334" t="str">
        <f>Glossary!B21</f>
        <v>Application specific maintenance tasks defined</v>
      </c>
      <c r="K113" s="402"/>
      <c r="L113" t="b">
        <f t="shared" si="68"/>
        <v>0</v>
      </c>
      <c r="M113" s="51" t="str">
        <f t="shared" si="69"/>
        <v/>
      </c>
      <c r="N113" s="53">
        <v>30</v>
      </c>
      <c r="O113" s="37"/>
    </row>
    <row r="114" spans="1:15" ht="24.75" hidden="1" customHeight="1">
      <c r="A114" s="470"/>
      <c r="B114" s="470"/>
      <c r="D114">
        <f>COUNTA(D106:D110,K106,K109:K113)/COUNTA(F106:F110,M106,M109:M113)</f>
        <v>0</v>
      </c>
      <c r="E114">
        <f t="shared" ref="E114:F114" si="70">SUM(E106:E110)</f>
        <v>0</v>
      </c>
      <c r="F114">
        <f t="shared" si="70"/>
        <v>0</v>
      </c>
      <c r="H114" t="str">
        <f>IFERROR(AVERAGE(H106:H110), "")</f>
        <v/>
      </c>
      <c r="K114" s="212"/>
      <c r="L114">
        <f t="shared" ref="L114:M114" si="71">SUM(L109:L113,L106)</f>
        <v>0</v>
      </c>
      <c r="M114">
        <f t="shared" si="71"/>
        <v>0</v>
      </c>
    </row>
    <row r="115" spans="1:15" ht="18.75" customHeight="1">
      <c r="A115" s="211"/>
      <c r="B115" s="211"/>
      <c r="C115" s="211"/>
      <c r="D115" s="37"/>
      <c r="E115" s="37"/>
      <c r="F115" s="37"/>
      <c r="G115" s="37"/>
      <c r="H115" s="37"/>
      <c r="I115" s="37"/>
      <c r="J115" s="37"/>
      <c r="K115" s="211"/>
      <c r="L115" s="37"/>
      <c r="M115" s="37"/>
      <c r="N115" s="37"/>
      <c r="O115" s="37"/>
    </row>
    <row r="116" spans="1:15" ht="12.75" customHeight="1">
      <c r="A116" s="212"/>
      <c r="B116" s="212"/>
      <c r="C116" s="212"/>
      <c r="D116" s="212"/>
      <c r="E116" s="212"/>
      <c r="F116" s="212"/>
      <c r="G116" s="212"/>
      <c r="H116" s="212"/>
      <c r="J116" s="212"/>
      <c r="K116" s="212"/>
    </row>
    <row r="117" spans="1:15" ht="12.75" customHeight="1">
      <c r="A117" s="212"/>
      <c r="B117" s="212"/>
      <c r="C117" s="212"/>
      <c r="D117" s="213"/>
      <c r="E117" s="213"/>
      <c r="F117" s="213"/>
      <c r="G117" s="213"/>
      <c r="H117" s="213"/>
      <c r="I117" s="214"/>
      <c r="J117" s="213"/>
      <c r="K117" s="212"/>
    </row>
    <row r="118" spans="1:15" ht="12.75" customHeight="1">
      <c r="A118" s="212"/>
      <c r="B118" s="212"/>
      <c r="C118" s="212"/>
      <c r="D118" s="212"/>
      <c r="E118" s="212"/>
      <c r="F118" s="212"/>
      <c r="G118" s="212"/>
      <c r="H118" s="212"/>
      <c r="J118" s="212"/>
      <c r="K118" s="212"/>
    </row>
    <row r="119" spans="1:15" ht="12.75" customHeight="1">
      <c r="A119" s="212"/>
      <c r="B119" s="212"/>
      <c r="C119" s="212"/>
      <c r="D119" s="212"/>
      <c r="E119" s="212"/>
      <c r="F119" s="212"/>
      <c r="G119" s="212"/>
      <c r="H119" s="212"/>
      <c r="J119" s="212"/>
      <c r="K119" s="212"/>
    </row>
    <row r="120" spans="1:15" ht="12.75" customHeight="1">
      <c r="A120" s="212"/>
      <c r="B120" s="212"/>
      <c r="C120" s="212"/>
      <c r="D120" s="212"/>
      <c r="E120" s="212"/>
      <c r="F120" s="212"/>
      <c r="G120" s="212"/>
      <c r="H120" s="212"/>
      <c r="J120" s="212"/>
      <c r="K120" s="212"/>
    </row>
    <row r="121" spans="1:15" ht="12.75" customHeight="1">
      <c r="A121" s="212"/>
      <c r="B121" s="212"/>
      <c r="C121" s="212"/>
      <c r="D121" s="212"/>
      <c r="E121" s="212"/>
      <c r="F121" s="212"/>
      <c r="G121" s="212"/>
      <c r="H121" s="212"/>
      <c r="J121" s="212"/>
      <c r="K121" s="212"/>
    </row>
    <row r="122" spans="1:15" ht="12.75" customHeight="1">
      <c r="A122" s="212"/>
      <c r="B122" s="212"/>
      <c r="C122" s="212"/>
      <c r="D122" s="212"/>
      <c r="E122" s="212"/>
      <c r="F122" s="212"/>
      <c r="G122" s="212"/>
      <c r="H122" s="212"/>
      <c r="J122" s="212"/>
      <c r="K122" s="212"/>
    </row>
    <row r="123" spans="1:15" ht="12.75" customHeight="1">
      <c r="A123" s="212"/>
      <c r="B123" s="212"/>
      <c r="C123" s="212"/>
      <c r="D123" s="212"/>
      <c r="E123" s="212"/>
      <c r="F123" s="212"/>
      <c r="G123" s="212"/>
      <c r="H123" s="212"/>
      <c r="J123" s="212"/>
      <c r="K123" s="212"/>
    </row>
    <row r="124" spans="1:15" ht="12.75" customHeight="1">
      <c r="A124" s="212"/>
      <c r="B124" s="212"/>
      <c r="C124" s="212"/>
      <c r="D124" s="212"/>
      <c r="E124" s="212"/>
      <c r="F124" s="212"/>
      <c r="G124" s="212"/>
      <c r="H124" s="212"/>
      <c r="J124" s="212"/>
      <c r="K124" s="212"/>
    </row>
    <row r="125" spans="1:15" ht="12.75" customHeight="1">
      <c r="A125" s="212"/>
      <c r="B125" s="212"/>
      <c r="C125" s="212"/>
      <c r="D125" s="212"/>
      <c r="E125" s="212"/>
      <c r="F125" s="212"/>
      <c r="G125" s="212"/>
      <c r="H125" s="212"/>
      <c r="J125" s="212"/>
      <c r="K125" s="212"/>
    </row>
    <row r="126" spans="1:15" ht="12.75" customHeight="1">
      <c r="A126" s="212"/>
      <c r="B126" s="212"/>
      <c r="C126" s="212"/>
      <c r="D126" s="212"/>
      <c r="E126" s="212"/>
      <c r="F126" s="212"/>
      <c r="G126" s="212"/>
      <c r="H126" s="212"/>
      <c r="J126" s="212"/>
      <c r="K126" s="212"/>
    </row>
    <row r="127" spans="1:15" ht="12.75" customHeight="1">
      <c r="A127" s="212"/>
      <c r="B127" s="212"/>
      <c r="C127" s="212"/>
      <c r="D127" s="212"/>
      <c r="E127" s="212"/>
      <c r="F127" s="212"/>
      <c r="G127" s="212"/>
      <c r="H127" s="212"/>
      <c r="J127" s="212"/>
      <c r="K127" s="212"/>
    </row>
    <row r="128" spans="1:15" ht="12.75" customHeight="1">
      <c r="A128" s="212"/>
      <c r="B128" s="212"/>
      <c r="C128" s="212"/>
      <c r="D128" s="212"/>
      <c r="E128" s="212"/>
      <c r="F128" s="212"/>
      <c r="G128" s="212"/>
      <c r="H128" s="212"/>
      <c r="J128" s="212"/>
      <c r="K128" s="212"/>
    </row>
    <row r="129" spans="1:11" ht="12.75" customHeight="1">
      <c r="A129" s="212"/>
      <c r="B129" s="212"/>
      <c r="C129" s="212"/>
      <c r="D129" s="212"/>
      <c r="E129" s="212"/>
      <c r="F129" s="212"/>
      <c r="G129" s="212"/>
      <c r="H129" s="212"/>
      <c r="J129" s="212"/>
      <c r="K129" s="212"/>
    </row>
    <row r="130" spans="1:11" ht="12.75" customHeight="1">
      <c r="A130" s="212"/>
      <c r="B130" s="212"/>
      <c r="C130" s="212"/>
      <c r="D130" s="212"/>
      <c r="E130" s="212"/>
      <c r="F130" s="212"/>
      <c r="G130" s="212"/>
      <c r="H130" s="212"/>
      <c r="J130" s="212"/>
      <c r="K130" s="212"/>
    </row>
    <row r="131" spans="1:11" ht="12.75" customHeight="1">
      <c r="A131" s="212"/>
      <c r="B131" s="212"/>
      <c r="C131" s="212"/>
      <c r="D131" s="212"/>
      <c r="E131" s="212"/>
      <c r="F131" s="212"/>
      <c r="G131" s="212"/>
      <c r="H131" s="212"/>
      <c r="J131" s="212"/>
      <c r="K131" s="212"/>
    </row>
    <row r="132" spans="1:11" ht="12.75" customHeight="1">
      <c r="A132" s="212"/>
      <c r="B132" s="212"/>
      <c r="C132" s="212"/>
      <c r="D132" s="212"/>
      <c r="E132" s="212"/>
      <c r="F132" s="212"/>
      <c r="G132" s="212"/>
      <c r="H132" s="212"/>
      <c r="J132" s="212"/>
      <c r="K132" s="212"/>
    </row>
    <row r="133" spans="1:11" ht="12.75" customHeight="1">
      <c r="A133" s="212"/>
      <c r="B133" s="212"/>
      <c r="C133" s="212"/>
      <c r="D133" s="212"/>
      <c r="E133" s="212"/>
      <c r="F133" s="212"/>
      <c r="G133" s="212"/>
      <c r="H133" s="212"/>
      <c r="J133" s="212"/>
      <c r="K133" s="212"/>
    </row>
    <row r="134" spans="1:11" ht="12.75" customHeight="1">
      <c r="A134" s="212"/>
      <c r="B134" s="212"/>
      <c r="C134" s="212"/>
      <c r="D134" s="212"/>
      <c r="E134" s="212"/>
      <c r="F134" s="212"/>
      <c r="G134" s="212"/>
      <c r="H134" s="212"/>
      <c r="J134" s="212"/>
      <c r="K134" s="212"/>
    </row>
    <row r="135" spans="1:11" ht="12.75" customHeight="1">
      <c r="A135" s="212"/>
      <c r="B135" s="212"/>
      <c r="C135" s="212"/>
      <c r="D135" s="212"/>
      <c r="E135" s="212"/>
      <c r="F135" s="212"/>
      <c r="G135" s="212"/>
      <c r="H135" s="212"/>
      <c r="J135" s="212"/>
      <c r="K135" s="212"/>
    </row>
    <row r="136" spans="1:11" ht="12.75" customHeight="1">
      <c r="A136" s="212"/>
      <c r="B136" s="212"/>
      <c r="C136" s="212"/>
      <c r="D136" s="212"/>
      <c r="E136" s="212"/>
      <c r="F136" s="212"/>
      <c r="G136" s="212"/>
      <c r="H136" s="212"/>
      <c r="J136" s="212"/>
      <c r="K136" s="212"/>
    </row>
    <row r="137" spans="1:11" ht="12.75" customHeight="1">
      <c r="A137" s="212"/>
      <c r="B137" s="212"/>
      <c r="C137" s="212"/>
      <c r="D137" s="212"/>
      <c r="E137" s="212"/>
      <c r="F137" s="212"/>
      <c r="G137" s="212"/>
      <c r="H137" s="212"/>
      <c r="J137" s="212"/>
      <c r="K137" s="212"/>
    </row>
    <row r="138" spans="1:11" ht="12.75" customHeight="1">
      <c r="A138" s="212"/>
      <c r="B138" s="212"/>
      <c r="C138" s="212"/>
      <c r="D138" s="212"/>
      <c r="E138" s="212"/>
      <c r="F138" s="212"/>
      <c r="G138" s="212"/>
      <c r="H138" s="212"/>
      <c r="J138" s="212"/>
      <c r="K138" s="212"/>
    </row>
    <row r="139" spans="1:11" ht="12.75" customHeight="1">
      <c r="A139" s="212"/>
      <c r="B139" s="212"/>
      <c r="C139" s="212"/>
      <c r="D139" s="212"/>
      <c r="E139" s="212"/>
      <c r="F139" s="212"/>
      <c r="G139" s="212"/>
      <c r="H139" s="212"/>
      <c r="J139" s="212"/>
      <c r="K139" s="212"/>
    </row>
    <row r="140" spans="1:11" ht="12.75" customHeight="1">
      <c r="A140" s="212"/>
      <c r="B140" s="212"/>
      <c r="C140" s="212"/>
      <c r="D140" s="212"/>
      <c r="E140" s="212"/>
      <c r="F140" s="212"/>
      <c r="G140" s="212"/>
      <c r="H140" s="212"/>
      <c r="J140" s="212"/>
      <c r="K140" s="212"/>
    </row>
    <row r="141" spans="1:11" ht="12.75" customHeight="1">
      <c r="A141" s="212"/>
      <c r="B141" s="212"/>
      <c r="C141" s="212"/>
      <c r="D141" s="212"/>
      <c r="E141" s="212"/>
      <c r="F141" s="212"/>
      <c r="G141" s="212"/>
      <c r="H141" s="212"/>
      <c r="J141" s="212"/>
      <c r="K141" s="212"/>
    </row>
    <row r="142" spans="1:11" ht="12.75" customHeight="1">
      <c r="A142" s="212"/>
      <c r="B142" s="212"/>
      <c r="C142" s="212"/>
      <c r="D142" s="212"/>
      <c r="E142" s="212"/>
      <c r="F142" s="212"/>
      <c r="G142" s="212"/>
      <c r="H142" s="212"/>
      <c r="J142" s="212"/>
      <c r="K142" s="212"/>
    </row>
    <row r="143" spans="1:11" ht="12.75" customHeight="1">
      <c r="A143" s="212"/>
      <c r="B143" s="212"/>
      <c r="C143" s="212"/>
      <c r="D143" s="212"/>
      <c r="E143" s="212"/>
      <c r="F143" s="212"/>
      <c r="G143" s="212"/>
      <c r="H143" s="212"/>
      <c r="J143" s="212"/>
      <c r="K143" s="212"/>
    </row>
    <row r="144" spans="1:11" ht="12.75" customHeight="1">
      <c r="A144" s="212"/>
      <c r="B144" s="212"/>
      <c r="C144" s="212"/>
      <c r="D144" s="212"/>
      <c r="E144" s="212"/>
      <c r="F144" s="212"/>
      <c r="G144" s="212"/>
      <c r="H144" s="212"/>
      <c r="J144" s="212"/>
      <c r="K144" s="212"/>
    </row>
    <row r="145" spans="1:11" ht="12.75" customHeight="1">
      <c r="A145" s="212"/>
      <c r="B145" s="212"/>
      <c r="C145" s="212"/>
      <c r="D145" s="212"/>
      <c r="E145" s="212"/>
      <c r="F145" s="212"/>
      <c r="G145" s="212"/>
      <c r="H145" s="212"/>
      <c r="J145" s="212"/>
      <c r="K145" s="212"/>
    </row>
    <row r="146" spans="1:11" ht="12.75" customHeight="1">
      <c r="A146" s="212"/>
      <c r="B146" s="212"/>
      <c r="C146" s="212"/>
      <c r="D146" s="212"/>
      <c r="E146" s="212"/>
      <c r="F146" s="212"/>
      <c r="G146" s="212"/>
      <c r="H146" s="212"/>
      <c r="J146" s="212"/>
      <c r="K146" s="212"/>
    </row>
    <row r="147" spans="1:11" ht="12.75" customHeight="1">
      <c r="A147" s="212"/>
      <c r="B147" s="212"/>
      <c r="C147" s="212"/>
      <c r="D147" s="212"/>
      <c r="E147" s="212"/>
      <c r="F147" s="212"/>
      <c r="G147" s="212"/>
      <c r="H147" s="212"/>
      <c r="J147" s="212"/>
      <c r="K147" s="212"/>
    </row>
    <row r="148" spans="1:11" ht="12.75" customHeight="1">
      <c r="A148" s="212"/>
      <c r="B148" s="212"/>
      <c r="C148" s="212"/>
      <c r="D148" s="212"/>
      <c r="E148" s="212"/>
      <c r="F148" s="212"/>
      <c r="G148" s="212"/>
      <c r="H148" s="212"/>
      <c r="J148" s="212"/>
      <c r="K148" s="212"/>
    </row>
    <row r="149" spans="1:11" ht="12.75" customHeight="1">
      <c r="A149" s="212"/>
      <c r="B149" s="212"/>
      <c r="C149" s="212"/>
      <c r="D149" s="212"/>
      <c r="E149" s="212"/>
      <c r="F149" s="212"/>
      <c r="G149" s="212"/>
      <c r="H149" s="212"/>
      <c r="J149" s="212"/>
      <c r="K149" s="212"/>
    </row>
    <row r="150" spans="1:11" ht="12.75" customHeight="1">
      <c r="A150" s="212"/>
      <c r="B150" s="212"/>
      <c r="C150" s="212"/>
      <c r="D150" s="212"/>
      <c r="E150" s="212"/>
      <c r="F150" s="212"/>
      <c r="G150" s="212"/>
      <c r="H150" s="212"/>
      <c r="J150" s="212"/>
      <c r="K150" s="212"/>
    </row>
    <row r="151" spans="1:11" ht="12.75" customHeight="1">
      <c r="A151" s="212"/>
      <c r="B151" s="212"/>
      <c r="C151" s="212"/>
      <c r="D151" s="212"/>
      <c r="E151" s="212"/>
      <c r="F151" s="212"/>
      <c r="G151" s="212"/>
      <c r="H151" s="212"/>
      <c r="J151" s="212"/>
      <c r="K151" s="212"/>
    </row>
    <row r="152" spans="1:11" ht="12.75" customHeight="1">
      <c r="A152" s="212"/>
      <c r="B152" s="212"/>
      <c r="C152" s="212"/>
      <c r="D152" s="212"/>
      <c r="E152" s="212"/>
      <c r="F152" s="212"/>
      <c r="G152" s="212"/>
      <c r="H152" s="212"/>
      <c r="J152" s="212"/>
      <c r="K152" s="212"/>
    </row>
    <row r="153" spans="1:11" ht="12.75" customHeight="1">
      <c r="A153" s="212"/>
      <c r="B153" s="212"/>
      <c r="C153" s="212"/>
      <c r="D153" s="212"/>
      <c r="E153" s="212"/>
      <c r="F153" s="212"/>
      <c r="G153" s="212"/>
      <c r="H153" s="212"/>
      <c r="J153" s="212"/>
      <c r="K153" s="212"/>
    </row>
    <row r="154" spans="1:11" ht="12.75" customHeight="1">
      <c r="A154" s="212"/>
      <c r="B154" s="212"/>
      <c r="C154" s="212"/>
      <c r="D154" s="212"/>
      <c r="E154" s="212"/>
      <c r="F154" s="212"/>
      <c r="G154" s="212"/>
      <c r="H154" s="212"/>
      <c r="J154" s="212"/>
      <c r="K154" s="212"/>
    </row>
    <row r="155" spans="1:11" ht="12.75" customHeight="1">
      <c r="A155" s="212"/>
      <c r="B155" s="212"/>
      <c r="C155" s="212"/>
      <c r="D155" s="212"/>
      <c r="E155" s="212"/>
      <c r="F155" s="212"/>
      <c r="G155" s="212"/>
      <c r="H155" s="212"/>
      <c r="J155" s="212"/>
      <c r="K155" s="212"/>
    </row>
    <row r="156" spans="1:11" ht="12.75" customHeight="1">
      <c r="A156" s="212"/>
      <c r="B156" s="212"/>
      <c r="C156" s="212"/>
      <c r="D156" s="212"/>
      <c r="E156" s="212"/>
      <c r="F156" s="212"/>
      <c r="G156" s="212"/>
      <c r="H156" s="212"/>
      <c r="J156" s="212"/>
      <c r="K156" s="212"/>
    </row>
    <row r="157" spans="1:11" ht="12.75" customHeight="1">
      <c r="A157" s="212"/>
      <c r="B157" s="212"/>
      <c r="C157" s="212"/>
      <c r="D157" s="212"/>
      <c r="E157" s="212"/>
      <c r="F157" s="212"/>
      <c r="G157" s="212"/>
      <c r="H157" s="212"/>
      <c r="J157" s="212"/>
      <c r="K157" s="212"/>
    </row>
    <row r="158" spans="1:11" ht="12.75" customHeight="1">
      <c r="A158" s="212"/>
      <c r="B158" s="212"/>
      <c r="C158" s="212"/>
      <c r="D158" s="212"/>
      <c r="E158" s="212"/>
      <c r="F158" s="212"/>
      <c r="G158" s="212"/>
      <c r="H158" s="212"/>
      <c r="J158" s="212"/>
      <c r="K158" s="212"/>
    </row>
    <row r="159" spans="1:11" ht="12.75" customHeight="1">
      <c r="A159" s="212"/>
      <c r="B159" s="212"/>
      <c r="C159" s="212"/>
      <c r="D159" s="212"/>
      <c r="E159" s="212"/>
      <c r="F159" s="212"/>
      <c r="G159" s="212"/>
      <c r="H159" s="212"/>
      <c r="J159" s="212"/>
      <c r="K159" s="212"/>
    </row>
    <row r="160" spans="1:11" ht="12.75" customHeight="1">
      <c r="A160" s="212"/>
      <c r="B160" s="212"/>
      <c r="C160" s="212"/>
      <c r="D160" s="212"/>
      <c r="E160" s="212"/>
      <c r="F160" s="212"/>
      <c r="G160" s="212"/>
      <c r="H160" s="212"/>
      <c r="J160" s="212"/>
      <c r="K160" s="212"/>
    </row>
    <row r="161" spans="1:11" ht="12.75" customHeight="1">
      <c r="A161" s="212"/>
      <c r="B161" s="212"/>
      <c r="C161" s="212"/>
      <c r="D161" s="212"/>
      <c r="E161" s="212"/>
      <c r="F161" s="212"/>
      <c r="G161" s="212"/>
      <c r="H161" s="212"/>
      <c r="J161" s="212"/>
      <c r="K161" s="212"/>
    </row>
    <row r="162" spans="1:11" ht="12.75" customHeight="1">
      <c r="A162" s="212"/>
      <c r="B162" s="212"/>
      <c r="C162" s="212"/>
      <c r="D162" s="212"/>
      <c r="E162" s="212"/>
      <c r="F162" s="212"/>
      <c r="G162" s="212"/>
      <c r="H162" s="212"/>
      <c r="J162" s="212"/>
      <c r="K162" s="212"/>
    </row>
    <row r="163" spans="1:11" ht="12.75" customHeight="1">
      <c r="A163" s="212"/>
      <c r="B163" s="212"/>
      <c r="C163" s="212"/>
      <c r="D163" s="212"/>
      <c r="E163" s="212"/>
      <c r="F163" s="212"/>
      <c r="G163" s="212"/>
      <c r="H163" s="212"/>
      <c r="J163" s="212"/>
      <c r="K163" s="212"/>
    </row>
    <row r="164" spans="1:11" ht="12.75" customHeight="1">
      <c r="A164" s="212"/>
      <c r="B164" s="212"/>
      <c r="C164" s="212"/>
      <c r="D164" s="212"/>
      <c r="E164" s="212"/>
      <c r="F164" s="212"/>
      <c r="G164" s="212"/>
      <c r="H164" s="212"/>
      <c r="J164" s="212"/>
      <c r="K164" s="212"/>
    </row>
    <row r="165" spans="1:11" ht="12.75" customHeight="1">
      <c r="A165" s="212"/>
      <c r="B165" s="212"/>
      <c r="C165" s="212"/>
      <c r="D165" s="212"/>
      <c r="E165" s="212"/>
      <c r="F165" s="212"/>
      <c r="G165" s="212"/>
      <c r="H165" s="212"/>
      <c r="J165" s="212"/>
      <c r="K165" s="212"/>
    </row>
    <row r="166" spans="1:11" ht="12.75" customHeight="1">
      <c r="A166" s="212"/>
      <c r="B166" s="212"/>
      <c r="C166" s="212"/>
      <c r="D166" s="212"/>
      <c r="E166" s="212"/>
      <c r="F166" s="212"/>
      <c r="G166" s="212"/>
      <c r="H166" s="212"/>
      <c r="J166" s="212"/>
      <c r="K166" s="212"/>
    </row>
    <row r="167" spans="1:11" ht="12.75" customHeight="1">
      <c r="A167" s="212"/>
      <c r="B167" s="212"/>
      <c r="C167" s="212"/>
      <c r="D167" s="212"/>
      <c r="E167" s="212"/>
      <c r="F167" s="212"/>
      <c r="G167" s="212"/>
      <c r="H167" s="212"/>
      <c r="J167" s="212"/>
      <c r="K167" s="212"/>
    </row>
    <row r="168" spans="1:11" ht="12.75" customHeight="1">
      <c r="A168" s="212"/>
      <c r="B168" s="212"/>
      <c r="C168" s="212"/>
      <c r="D168" s="212"/>
      <c r="E168" s="212"/>
      <c r="F168" s="212"/>
      <c r="G168" s="212"/>
      <c r="H168" s="212"/>
      <c r="J168" s="212"/>
      <c r="K168" s="212"/>
    </row>
    <row r="169" spans="1:11" ht="12.75" customHeight="1">
      <c r="A169" s="212"/>
      <c r="B169" s="212"/>
      <c r="C169" s="212"/>
      <c r="D169" s="212"/>
      <c r="E169" s="212"/>
      <c r="F169" s="212"/>
      <c r="G169" s="212"/>
      <c r="H169" s="212"/>
      <c r="J169" s="212"/>
      <c r="K169" s="212"/>
    </row>
    <row r="170" spans="1:11" ht="12.75" customHeight="1">
      <c r="A170" s="212"/>
      <c r="B170" s="212"/>
      <c r="C170" s="212"/>
      <c r="D170" s="212"/>
      <c r="E170" s="212"/>
      <c r="F170" s="212"/>
      <c r="G170" s="212"/>
      <c r="H170" s="212"/>
      <c r="J170" s="212"/>
      <c r="K170" s="212"/>
    </row>
    <row r="171" spans="1:11" ht="12.75" customHeight="1">
      <c r="A171" s="212"/>
      <c r="B171" s="212"/>
      <c r="C171" s="212"/>
      <c r="D171" s="212"/>
      <c r="E171" s="212"/>
      <c r="F171" s="212"/>
      <c r="G171" s="212"/>
      <c r="H171" s="212"/>
      <c r="J171" s="212"/>
      <c r="K171" s="212"/>
    </row>
    <row r="172" spans="1:11" ht="12.75" customHeight="1">
      <c r="A172" s="212"/>
      <c r="B172" s="212"/>
      <c r="C172" s="212"/>
      <c r="D172" s="212"/>
      <c r="E172" s="212"/>
      <c r="F172" s="212"/>
      <c r="G172" s="212"/>
      <c r="H172" s="212"/>
      <c r="J172" s="212"/>
      <c r="K172" s="212"/>
    </row>
    <row r="173" spans="1:11" ht="12.75" customHeight="1">
      <c r="A173" s="212"/>
      <c r="B173" s="212"/>
      <c r="C173" s="212"/>
      <c r="D173" s="212"/>
      <c r="E173" s="212"/>
      <c r="F173" s="212"/>
      <c r="G173" s="212"/>
      <c r="H173" s="212"/>
      <c r="J173" s="212"/>
      <c r="K173" s="212"/>
    </row>
    <row r="174" spans="1:11" ht="12.75" customHeight="1">
      <c r="A174" s="212"/>
      <c r="B174" s="212"/>
      <c r="C174" s="212"/>
      <c r="D174" s="212"/>
      <c r="E174" s="212"/>
      <c r="F174" s="212"/>
      <c r="G174" s="212"/>
      <c r="H174" s="212"/>
      <c r="J174" s="212"/>
      <c r="K174" s="212"/>
    </row>
    <row r="175" spans="1:11" ht="12.75" customHeight="1">
      <c r="A175" s="212"/>
      <c r="B175" s="212"/>
      <c r="C175" s="212"/>
      <c r="D175" s="212"/>
      <c r="E175" s="212"/>
      <c r="F175" s="212"/>
      <c r="G175" s="212"/>
      <c r="H175" s="212"/>
      <c r="J175" s="212"/>
      <c r="K175" s="212"/>
    </row>
    <row r="176" spans="1:11" ht="12.75" customHeight="1">
      <c r="A176" s="212"/>
      <c r="B176" s="212"/>
      <c r="C176" s="212"/>
      <c r="D176" s="212"/>
      <c r="E176" s="212"/>
      <c r="F176" s="212"/>
      <c r="G176" s="212"/>
      <c r="H176" s="212"/>
      <c r="J176" s="212"/>
      <c r="K176" s="212"/>
    </row>
    <row r="177" spans="1:11" ht="12.75" customHeight="1">
      <c r="A177" s="212"/>
      <c r="B177" s="212"/>
      <c r="C177" s="212"/>
      <c r="D177" s="212"/>
      <c r="E177" s="212"/>
      <c r="F177" s="212"/>
      <c r="G177" s="212"/>
      <c r="H177" s="212"/>
      <c r="J177" s="212"/>
      <c r="K177" s="212"/>
    </row>
    <row r="178" spans="1:11" ht="12.75" customHeight="1">
      <c r="A178" s="212"/>
      <c r="B178" s="212"/>
      <c r="C178" s="212"/>
      <c r="D178" s="212"/>
      <c r="E178" s="212"/>
      <c r="F178" s="212"/>
      <c r="G178" s="212"/>
      <c r="H178" s="212"/>
      <c r="J178" s="212"/>
      <c r="K178" s="212"/>
    </row>
    <row r="179" spans="1:11" ht="12.75" customHeight="1">
      <c r="A179" s="212"/>
      <c r="B179" s="212"/>
      <c r="C179" s="212"/>
      <c r="D179" s="212"/>
      <c r="E179" s="212"/>
      <c r="F179" s="212"/>
      <c r="G179" s="212"/>
      <c r="H179" s="212"/>
      <c r="J179" s="212"/>
      <c r="K179" s="212"/>
    </row>
    <row r="180" spans="1:11" ht="12.75" customHeight="1">
      <c r="A180" s="212"/>
      <c r="B180" s="212"/>
      <c r="C180" s="212"/>
      <c r="D180" s="212"/>
      <c r="E180" s="212"/>
      <c r="F180" s="212"/>
      <c r="G180" s="212"/>
      <c r="H180" s="212"/>
      <c r="J180" s="212"/>
      <c r="K180" s="212"/>
    </row>
    <row r="181" spans="1:11" ht="12.75" customHeight="1">
      <c r="A181" s="212"/>
      <c r="B181" s="212"/>
      <c r="C181" s="212"/>
      <c r="D181" s="212"/>
      <c r="E181" s="212"/>
      <c r="F181" s="212"/>
      <c r="G181" s="212"/>
      <c r="H181" s="212"/>
      <c r="J181" s="212"/>
      <c r="K181" s="212"/>
    </row>
    <row r="182" spans="1:11" ht="12.75" customHeight="1">
      <c r="A182" s="212"/>
      <c r="B182" s="212"/>
      <c r="C182" s="212"/>
      <c r="D182" s="212"/>
      <c r="E182" s="212"/>
      <c r="F182" s="212"/>
      <c r="G182" s="212"/>
      <c r="H182" s="212"/>
      <c r="J182" s="212"/>
      <c r="K182" s="212"/>
    </row>
    <row r="183" spans="1:11" ht="12.75" customHeight="1">
      <c r="A183" s="212"/>
      <c r="B183" s="212"/>
      <c r="C183" s="212"/>
      <c r="D183" s="212"/>
      <c r="E183" s="212"/>
      <c r="F183" s="212"/>
      <c r="G183" s="212"/>
      <c r="H183" s="212"/>
      <c r="J183" s="212"/>
      <c r="K183" s="212"/>
    </row>
    <row r="184" spans="1:11" ht="12.75" customHeight="1">
      <c r="A184" s="212"/>
      <c r="B184" s="212"/>
      <c r="C184" s="212"/>
      <c r="D184" s="212"/>
      <c r="E184" s="212"/>
      <c r="F184" s="212"/>
      <c r="G184" s="212"/>
      <c r="H184" s="212"/>
      <c r="J184" s="212"/>
      <c r="K184" s="212"/>
    </row>
    <row r="185" spans="1:11" ht="12.75" customHeight="1">
      <c r="A185" s="212"/>
      <c r="B185" s="212"/>
      <c r="C185" s="212"/>
      <c r="D185" s="212"/>
      <c r="E185" s="212"/>
      <c r="F185" s="212"/>
      <c r="G185" s="212"/>
      <c r="H185" s="212"/>
      <c r="J185" s="212"/>
      <c r="K185" s="212"/>
    </row>
    <row r="186" spans="1:11" ht="12.75" customHeight="1">
      <c r="A186" s="212"/>
      <c r="B186" s="212"/>
      <c r="C186" s="212"/>
      <c r="D186" s="212"/>
      <c r="E186" s="212"/>
      <c r="F186" s="212"/>
      <c r="G186" s="212"/>
      <c r="H186" s="212"/>
      <c r="J186" s="212"/>
      <c r="K186" s="212"/>
    </row>
    <row r="187" spans="1:11" ht="12.75" customHeight="1">
      <c r="A187" s="212"/>
      <c r="B187" s="212"/>
      <c r="C187" s="212"/>
      <c r="D187" s="212"/>
      <c r="E187" s="212"/>
      <c r="F187" s="212"/>
      <c r="G187" s="212"/>
      <c r="H187" s="212"/>
      <c r="J187" s="212"/>
      <c r="K187" s="212"/>
    </row>
    <row r="188" spans="1:11" ht="12.75" customHeight="1">
      <c r="A188" s="212"/>
      <c r="B188" s="212"/>
      <c r="C188" s="212"/>
      <c r="D188" s="212"/>
      <c r="E188" s="212"/>
      <c r="F188" s="212"/>
      <c r="G188" s="212"/>
      <c r="H188" s="212"/>
      <c r="J188" s="212"/>
      <c r="K188" s="212"/>
    </row>
    <row r="189" spans="1:11" ht="12.75" customHeight="1">
      <c r="A189" s="212"/>
      <c r="B189" s="212"/>
      <c r="C189" s="212"/>
      <c r="D189" s="212"/>
      <c r="E189" s="212"/>
      <c r="F189" s="212"/>
      <c r="G189" s="212"/>
      <c r="H189" s="212"/>
      <c r="J189" s="212"/>
      <c r="K189" s="212"/>
    </row>
    <row r="190" spans="1:11" ht="12.75" customHeight="1">
      <c r="A190" s="212"/>
      <c r="B190" s="212"/>
      <c r="C190" s="212"/>
      <c r="D190" s="212"/>
      <c r="E190" s="212"/>
      <c r="F190" s="212"/>
      <c r="G190" s="212"/>
      <c r="H190" s="212"/>
      <c r="J190" s="212"/>
      <c r="K190" s="212"/>
    </row>
    <row r="191" spans="1:11" ht="12.75" customHeight="1">
      <c r="A191" s="212"/>
      <c r="B191" s="212"/>
      <c r="C191" s="212"/>
      <c r="D191" s="212"/>
      <c r="E191" s="212"/>
      <c r="F191" s="212"/>
      <c r="G191" s="212"/>
      <c r="H191" s="212"/>
      <c r="J191" s="212"/>
      <c r="K191" s="212"/>
    </row>
    <row r="192" spans="1:11" ht="12.75" customHeight="1">
      <c r="A192" s="212"/>
      <c r="B192" s="212"/>
      <c r="C192" s="212"/>
      <c r="D192" s="212"/>
      <c r="E192" s="212"/>
      <c r="F192" s="212"/>
      <c r="G192" s="212"/>
      <c r="H192" s="212"/>
      <c r="J192" s="212"/>
      <c r="K192" s="212"/>
    </row>
    <row r="193" spans="1:11" ht="12.75" customHeight="1">
      <c r="A193" s="212"/>
      <c r="B193" s="212"/>
      <c r="C193" s="212"/>
      <c r="D193" s="212"/>
      <c r="E193" s="212"/>
      <c r="F193" s="212"/>
      <c r="G193" s="212"/>
      <c r="H193" s="212"/>
      <c r="J193" s="212"/>
      <c r="K193" s="212"/>
    </row>
    <row r="194" spans="1:11" ht="12.75" customHeight="1">
      <c r="A194" s="212"/>
      <c r="B194" s="212"/>
      <c r="C194" s="212"/>
      <c r="D194" s="212"/>
      <c r="E194" s="212"/>
      <c r="F194" s="212"/>
      <c r="G194" s="212"/>
      <c r="H194" s="212"/>
      <c r="J194" s="212"/>
      <c r="K194" s="212"/>
    </row>
    <row r="195" spans="1:11" ht="12.75" customHeight="1">
      <c r="A195" s="212"/>
      <c r="B195" s="212"/>
      <c r="C195" s="212"/>
      <c r="D195" s="212"/>
      <c r="E195" s="212"/>
      <c r="F195" s="212"/>
      <c r="G195" s="212"/>
      <c r="H195" s="212"/>
      <c r="J195" s="212"/>
      <c r="K195" s="212"/>
    </row>
    <row r="196" spans="1:11" ht="12.75" customHeight="1">
      <c r="A196" s="212"/>
      <c r="B196" s="212"/>
      <c r="C196" s="212"/>
      <c r="D196" s="212"/>
      <c r="E196" s="212"/>
      <c r="F196" s="212"/>
      <c r="G196" s="212"/>
      <c r="H196" s="212"/>
      <c r="J196" s="212"/>
      <c r="K196" s="212"/>
    </row>
    <row r="197" spans="1:11" ht="12.75" customHeight="1">
      <c r="A197" s="212"/>
      <c r="B197" s="212"/>
      <c r="C197" s="212"/>
      <c r="D197" s="212"/>
      <c r="E197" s="212"/>
      <c r="F197" s="212"/>
      <c r="G197" s="212"/>
      <c r="H197" s="212"/>
      <c r="J197" s="212"/>
      <c r="K197" s="212"/>
    </row>
    <row r="198" spans="1:11" ht="12.75" customHeight="1">
      <c r="A198" s="212"/>
      <c r="B198" s="212"/>
      <c r="C198" s="212"/>
      <c r="D198" s="212"/>
      <c r="E198" s="212"/>
      <c r="F198" s="212"/>
      <c r="G198" s="212"/>
      <c r="H198" s="212"/>
      <c r="J198" s="212"/>
      <c r="K198" s="212"/>
    </row>
    <row r="199" spans="1:11" ht="12.75" customHeight="1">
      <c r="A199" s="212"/>
      <c r="B199" s="212"/>
      <c r="C199" s="212"/>
      <c r="D199" s="212"/>
      <c r="E199" s="212"/>
      <c r="F199" s="212"/>
      <c r="G199" s="212"/>
      <c r="H199" s="212"/>
      <c r="J199" s="212"/>
      <c r="K199" s="212"/>
    </row>
    <row r="200" spans="1:11" ht="12.75" customHeight="1">
      <c r="A200" s="212"/>
      <c r="B200" s="212"/>
      <c r="C200" s="212"/>
      <c r="D200" s="212"/>
      <c r="E200" s="212"/>
      <c r="F200" s="212"/>
      <c r="G200" s="212"/>
      <c r="H200" s="212"/>
      <c r="J200" s="212"/>
      <c r="K200" s="212"/>
    </row>
    <row r="201" spans="1:11" ht="12.75" customHeight="1">
      <c r="A201" s="212"/>
      <c r="B201" s="212"/>
      <c r="C201" s="212"/>
      <c r="D201" s="212"/>
      <c r="E201" s="212"/>
      <c r="F201" s="212"/>
      <c r="G201" s="212"/>
      <c r="H201" s="212"/>
      <c r="J201" s="212"/>
      <c r="K201" s="212"/>
    </row>
    <row r="202" spans="1:11" ht="12.75" customHeight="1">
      <c r="A202" s="212"/>
      <c r="B202" s="212"/>
      <c r="C202" s="212"/>
      <c r="D202" s="212"/>
      <c r="E202" s="212"/>
      <c r="F202" s="212"/>
      <c r="G202" s="212"/>
      <c r="H202" s="212"/>
      <c r="J202" s="212"/>
      <c r="K202" s="212"/>
    </row>
    <row r="203" spans="1:11" ht="12.75" customHeight="1">
      <c r="A203" s="212"/>
      <c r="B203" s="212"/>
      <c r="C203" s="212"/>
      <c r="D203" s="212"/>
      <c r="E203" s="212"/>
      <c r="F203" s="212"/>
      <c r="G203" s="212"/>
      <c r="H203" s="212"/>
      <c r="J203" s="212"/>
      <c r="K203" s="212"/>
    </row>
    <row r="204" spans="1:11" ht="12.75" customHeight="1">
      <c r="A204" s="212"/>
      <c r="B204" s="212"/>
      <c r="C204" s="212"/>
      <c r="D204" s="212"/>
      <c r="E204" s="212"/>
      <c r="F204" s="212"/>
      <c r="G204" s="212"/>
      <c r="H204" s="212"/>
      <c r="J204" s="212"/>
      <c r="K204" s="212"/>
    </row>
    <row r="205" spans="1:11" ht="12.75" customHeight="1">
      <c r="A205" s="212"/>
      <c r="B205" s="212"/>
      <c r="C205" s="212"/>
      <c r="D205" s="212"/>
      <c r="E205" s="212"/>
      <c r="F205" s="212"/>
      <c r="G205" s="212"/>
      <c r="H205" s="212"/>
      <c r="J205" s="212"/>
      <c r="K205" s="212"/>
    </row>
    <row r="206" spans="1:11" ht="12.75" customHeight="1">
      <c r="A206" s="212"/>
      <c r="B206" s="212"/>
      <c r="C206" s="212"/>
      <c r="D206" s="212"/>
      <c r="E206" s="212"/>
      <c r="F206" s="212"/>
      <c r="G206" s="212"/>
      <c r="H206" s="212"/>
      <c r="J206" s="212"/>
      <c r="K206" s="212"/>
    </row>
    <row r="207" spans="1:11" ht="12.75" customHeight="1">
      <c r="A207" s="212"/>
      <c r="B207" s="212"/>
      <c r="C207" s="212"/>
      <c r="D207" s="212"/>
      <c r="E207" s="212"/>
      <c r="F207" s="212"/>
      <c r="G207" s="212"/>
      <c r="H207" s="212"/>
      <c r="J207" s="212"/>
      <c r="K207" s="212"/>
    </row>
    <row r="208" spans="1:11" ht="12.75" customHeight="1">
      <c r="A208" s="212"/>
      <c r="B208" s="212"/>
      <c r="C208" s="212"/>
      <c r="D208" s="212"/>
      <c r="E208" s="212"/>
      <c r="F208" s="212"/>
      <c r="G208" s="212"/>
      <c r="H208" s="212"/>
      <c r="J208" s="212"/>
      <c r="K208" s="212"/>
    </row>
    <row r="209" spans="1:11" ht="12.75" customHeight="1">
      <c r="A209" s="212"/>
      <c r="B209" s="212"/>
      <c r="C209" s="212"/>
      <c r="D209" s="212"/>
      <c r="E209" s="212"/>
      <c r="F209" s="212"/>
      <c r="G209" s="212"/>
      <c r="H209" s="212"/>
      <c r="J209" s="212"/>
      <c r="K209" s="212"/>
    </row>
    <row r="210" spans="1:11" ht="12.75" customHeight="1">
      <c r="A210" s="212"/>
      <c r="B210" s="212"/>
      <c r="C210" s="212"/>
      <c r="D210" s="212"/>
      <c r="E210" s="212"/>
      <c r="F210" s="212"/>
      <c r="G210" s="212"/>
      <c r="H210" s="212"/>
      <c r="J210" s="212"/>
      <c r="K210" s="212"/>
    </row>
    <row r="211" spans="1:11" ht="12.75" customHeight="1">
      <c r="A211" s="212"/>
      <c r="B211" s="212"/>
      <c r="C211" s="212"/>
      <c r="D211" s="212"/>
      <c r="E211" s="212"/>
      <c r="F211" s="212"/>
      <c r="G211" s="212"/>
      <c r="H211" s="212"/>
      <c r="J211" s="212"/>
      <c r="K211" s="212"/>
    </row>
    <row r="212" spans="1:11" ht="12.75" customHeight="1">
      <c r="A212" s="212"/>
      <c r="B212" s="212"/>
      <c r="C212" s="212"/>
      <c r="D212" s="212"/>
      <c r="E212" s="212"/>
      <c r="F212" s="212"/>
      <c r="G212" s="212"/>
      <c r="H212" s="212"/>
      <c r="J212" s="212"/>
      <c r="K212" s="212"/>
    </row>
    <row r="213" spans="1:11" ht="12.75" customHeight="1">
      <c r="A213" s="212"/>
      <c r="B213" s="212"/>
      <c r="C213" s="212"/>
      <c r="D213" s="212"/>
      <c r="E213" s="212"/>
      <c r="F213" s="212"/>
      <c r="G213" s="212"/>
      <c r="H213" s="212"/>
      <c r="J213" s="212"/>
      <c r="K213" s="212"/>
    </row>
    <row r="214" spans="1:11" ht="12.75" customHeight="1">
      <c r="A214" s="212"/>
      <c r="B214" s="212"/>
      <c r="C214" s="212"/>
      <c r="D214" s="212"/>
      <c r="E214" s="212"/>
      <c r="F214" s="212"/>
      <c r="G214" s="212"/>
      <c r="H214" s="212"/>
      <c r="J214" s="212"/>
      <c r="K214" s="212"/>
    </row>
    <row r="215" spans="1:11" ht="12.75" customHeight="1">
      <c r="A215" s="212"/>
      <c r="B215" s="212"/>
      <c r="C215" s="212"/>
      <c r="D215" s="212"/>
      <c r="E215" s="212"/>
      <c r="F215" s="212"/>
      <c r="G215" s="212"/>
      <c r="H215" s="212"/>
      <c r="J215" s="212"/>
      <c r="K215" s="212"/>
    </row>
    <row r="216" spans="1:11" ht="12.75" customHeight="1">
      <c r="A216" s="212"/>
      <c r="B216" s="212"/>
      <c r="C216" s="212"/>
      <c r="D216" s="212"/>
      <c r="E216" s="212"/>
      <c r="F216" s="212"/>
      <c r="G216" s="212"/>
      <c r="H216" s="212"/>
      <c r="J216" s="212"/>
      <c r="K216" s="212"/>
    </row>
    <row r="217" spans="1:11" ht="12.75" customHeight="1">
      <c r="A217" s="212"/>
      <c r="B217" s="212"/>
      <c r="C217" s="212"/>
      <c r="D217" s="212"/>
      <c r="E217" s="212"/>
      <c r="F217" s="212"/>
      <c r="G217" s="212"/>
      <c r="H217" s="212"/>
      <c r="J217" s="212"/>
      <c r="K217" s="212"/>
    </row>
    <row r="218" spans="1:11" ht="12.75" customHeight="1">
      <c r="A218" s="212"/>
      <c r="B218" s="212"/>
      <c r="C218" s="212"/>
      <c r="D218" s="212"/>
      <c r="E218" s="212"/>
      <c r="F218" s="212"/>
      <c r="G218" s="212"/>
      <c r="H218" s="212"/>
      <c r="J218" s="212"/>
      <c r="K218" s="212"/>
    </row>
    <row r="219" spans="1:11" ht="12.75" customHeight="1">
      <c r="A219" s="212"/>
      <c r="B219" s="212"/>
      <c r="C219" s="212"/>
      <c r="D219" s="212"/>
      <c r="E219" s="212"/>
      <c r="F219" s="212"/>
      <c r="G219" s="212"/>
      <c r="H219" s="212"/>
      <c r="J219" s="212"/>
      <c r="K219" s="212"/>
    </row>
    <row r="220" spans="1:11" ht="12.75" customHeight="1">
      <c r="A220" s="212"/>
      <c r="B220" s="212"/>
      <c r="C220" s="212"/>
      <c r="D220" s="212"/>
      <c r="E220" s="212"/>
      <c r="F220" s="212"/>
      <c r="G220" s="212"/>
      <c r="H220" s="212"/>
      <c r="J220" s="212"/>
      <c r="K220" s="212"/>
    </row>
    <row r="221" spans="1:11" ht="12.75" customHeight="1">
      <c r="A221" s="212"/>
      <c r="B221" s="212"/>
      <c r="C221" s="212"/>
      <c r="D221" s="212"/>
      <c r="E221" s="212"/>
      <c r="F221" s="212"/>
      <c r="G221" s="212"/>
      <c r="H221" s="212"/>
      <c r="J221" s="212"/>
      <c r="K221" s="212"/>
    </row>
    <row r="222" spans="1:11" ht="12.75" customHeight="1">
      <c r="A222" s="212"/>
      <c r="B222" s="212"/>
      <c r="C222" s="212"/>
      <c r="D222" s="212"/>
      <c r="E222" s="212"/>
      <c r="F222" s="212"/>
      <c r="G222" s="212"/>
      <c r="H222" s="212"/>
      <c r="J222" s="212"/>
      <c r="K222" s="212"/>
    </row>
    <row r="223" spans="1:11" ht="12.75" customHeight="1">
      <c r="A223" s="212"/>
      <c r="B223" s="212"/>
      <c r="C223" s="212"/>
      <c r="D223" s="212"/>
      <c r="E223" s="212"/>
      <c r="F223" s="212"/>
      <c r="G223" s="212"/>
      <c r="H223" s="212"/>
      <c r="J223" s="212"/>
      <c r="K223" s="212"/>
    </row>
    <row r="224" spans="1:11" ht="12.75" customHeight="1">
      <c r="A224" s="212"/>
      <c r="B224" s="212"/>
      <c r="C224" s="212"/>
      <c r="D224" s="212"/>
      <c r="E224" s="212"/>
      <c r="F224" s="212"/>
      <c r="G224" s="212"/>
      <c r="H224" s="212"/>
      <c r="J224" s="212"/>
      <c r="K224" s="212"/>
    </row>
    <row r="225" spans="1:11" ht="12.75" customHeight="1">
      <c r="A225" s="212"/>
      <c r="B225" s="212"/>
      <c r="C225" s="212"/>
      <c r="D225" s="212"/>
      <c r="E225" s="212"/>
      <c r="F225" s="212"/>
      <c r="G225" s="212"/>
      <c r="H225" s="212"/>
      <c r="J225" s="212"/>
      <c r="K225" s="212"/>
    </row>
    <row r="226" spans="1:11" ht="12.75" customHeight="1">
      <c r="A226" s="212"/>
      <c r="B226" s="212"/>
      <c r="C226" s="212"/>
      <c r="D226" s="212"/>
      <c r="E226" s="212"/>
      <c r="F226" s="212"/>
      <c r="G226" s="212"/>
      <c r="H226" s="212"/>
      <c r="J226" s="212"/>
      <c r="K226" s="212"/>
    </row>
    <row r="227" spans="1:11" ht="12.75" customHeight="1">
      <c r="A227" s="212"/>
      <c r="B227" s="212"/>
      <c r="C227" s="212"/>
      <c r="D227" s="212"/>
      <c r="E227" s="212"/>
      <c r="F227" s="212"/>
      <c r="G227" s="212"/>
      <c r="H227" s="212"/>
      <c r="J227" s="212"/>
      <c r="K227" s="212"/>
    </row>
    <row r="228" spans="1:11" ht="12.75" customHeight="1">
      <c r="A228" s="212"/>
      <c r="B228" s="212"/>
      <c r="C228" s="212"/>
      <c r="D228" s="212"/>
      <c r="E228" s="212"/>
      <c r="F228" s="212"/>
      <c r="G228" s="212"/>
      <c r="H228" s="212"/>
      <c r="J228" s="212"/>
      <c r="K228" s="212"/>
    </row>
    <row r="229" spans="1:11" ht="12.75" customHeight="1">
      <c r="A229" s="212"/>
      <c r="B229" s="212"/>
      <c r="C229" s="212"/>
      <c r="D229" s="212"/>
      <c r="E229" s="212"/>
      <c r="F229" s="212"/>
      <c r="G229" s="212"/>
      <c r="H229" s="212"/>
      <c r="J229" s="212"/>
      <c r="K229" s="212"/>
    </row>
    <row r="230" spans="1:11" ht="12.75" customHeight="1">
      <c r="A230" s="212"/>
      <c r="B230" s="212"/>
      <c r="C230" s="212"/>
      <c r="D230" s="212"/>
      <c r="E230" s="212"/>
      <c r="F230" s="212"/>
      <c r="G230" s="212"/>
      <c r="H230" s="212"/>
      <c r="J230" s="212"/>
      <c r="K230" s="212"/>
    </row>
    <row r="231" spans="1:11" ht="12.75" customHeight="1">
      <c r="A231" s="212"/>
      <c r="B231" s="212"/>
      <c r="C231" s="212"/>
      <c r="D231" s="212"/>
      <c r="E231" s="212"/>
      <c r="F231" s="212"/>
      <c r="G231" s="212"/>
      <c r="H231" s="212"/>
      <c r="J231" s="212"/>
      <c r="K231" s="212"/>
    </row>
    <row r="232" spans="1:11" ht="12.75" customHeight="1">
      <c r="A232" s="212"/>
      <c r="B232" s="212"/>
      <c r="C232" s="212"/>
      <c r="D232" s="212"/>
      <c r="E232" s="212"/>
      <c r="F232" s="212"/>
      <c r="G232" s="212"/>
      <c r="H232" s="212"/>
      <c r="J232" s="212"/>
      <c r="K232" s="212"/>
    </row>
    <row r="233" spans="1:11" ht="12.75" customHeight="1">
      <c r="A233" s="212"/>
      <c r="B233" s="212"/>
      <c r="C233" s="212"/>
      <c r="D233" s="212"/>
      <c r="E233" s="212"/>
      <c r="F233" s="212"/>
      <c r="G233" s="212"/>
      <c r="H233" s="212"/>
      <c r="J233" s="212"/>
      <c r="K233" s="212"/>
    </row>
    <row r="234" spans="1:11" ht="12.75" customHeight="1">
      <c r="A234" s="212"/>
      <c r="B234" s="212"/>
      <c r="C234" s="212"/>
      <c r="D234" s="212"/>
      <c r="E234" s="212"/>
      <c r="F234" s="212"/>
      <c r="G234" s="212"/>
      <c r="H234" s="212"/>
      <c r="J234" s="212"/>
      <c r="K234" s="212"/>
    </row>
    <row r="235" spans="1:11" ht="12.75" customHeight="1">
      <c r="A235" s="212"/>
      <c r="B235" s="212"/>
      <c r="C235" s="212"/>
      <c r="D235" s="212"/>
      <c r="E235" s="212"/>
      <c r="F235" s="212"/>
      <c r="G235" s="212"/>
      <c r="H235" s="212"/>
      <c r="J235" s="212"/>
      <c r="K235" s="212"/>
    </row>
    <row r="236" spans="1:11" ht="12.75" customHeight="1">
      <c r="A236" s="212"/>
      <c r="B236" s="212"/>
      <c r="C236" s="212"/>
      <c r="D236" s="212"/>
      <c r="E236" s="212"/>
      <c r="F236" s="212"/>
      <c r="G236" s="212"/>
      <c r="H236" s="212"/>
      <c r="J236" s="212"/>
      <c r="K236" s="212"/>
    </row>
    <row r="237" spans="1:11" ht="12.75" customHeight="1">
      <c r="A237" s="212"/>
      <c r="B237" s="212"/>
      <c r="C237" s="212"/>
      <c r="D237" s="212"/>
      <c r="E237" s="212"/>
      <c r="F237" s="212"/>
      <c r="G237" s="212"/>
      <c r="H237" s="212"/>
      <c r="J237" s="212"/>
      <c r="K237" s="212"/>
    </row>
    <row r="238" spans="1:11" ht="12.75" customHeight="1">
      <c r="A238" s="212"/>
      <c r="B238" s="212"/>
      <c r="C238" s="212"/>
      <c r="D238" s="212"/>
      <c r="E238" s="212"/>
      <c r="F238" s="212"/>
      <c r="G238" s="212"/>
      <c r="H238" s="212"/>
      <c r="J238" s="212"/>
      <c r="K238" s="212"/>
    </row>
    <row r="239" spans="1:11" ht="12.75" customHeight="1">
      <c r="A239" s="212"/>
      <c r="B239" s="212"/>
      <c r="C239" s="212"/>
      <c r="D239" s="212"/>
      <c r="E239" s="212"/>
      <c r="F239" s="212"/>
      <c r="G239" s="212"/>
      <c r="H239" s="212"/>
      <c r="J239" s="212"/>
      <c r="K239" s="212"/>
    </row>
    <row r="240" spans="1:11" ht="12.75" customHeight="1">
      <c r="A240" s="212"/>
      <c r="B240" s="212"/>
      <c r="C240" s="212"/>
      <c r="D240" s="212"/>
      <c r="E240" s="212"/>
      <c r="F240" s="212"/>
      <c r="G240" s="212"/>
      <c r="H240" s="212"/>
      <c r="J240" s="212"/>
      <c r="K240" s="212"/>
    </row>
    <row r="241" spans="1:11" ht="12.75" customHeight="1">
      <c r="A241" s="212"/>
      <c r="B241" s="212"/>
      <c r="C241" s="212"/>
      <c r="D241" s="212"/>
      <c r="E241" s="212"/>
      <c r="F241" s="212"/>
      <c r="G241" s="212"/>
      <c r="H241" s="212"/>
      <c r="J241" s="212"/>
      <c r="K241" s="212"/>
    </row>
    <row r="242" spans="1:11" ht="12.75" customHeight="1">
      <c r="A242" s="212"/>
      <c r="B242" s="212"/>
      <c r="C242" s="212"/>
      <c r="D242" s="212"/>
      <c r="E242" s="212"/>
      <c r="F242" s="212"/>
      <c r="G242" s="212"/>
      <c r="H242" s="212"/>
      <c r="J242" s="212"/>
      <c r="K242" s="212"/>
    </row>
    <row r="243" spans="1:11" ht="12.75" customHeight="1">
      <c r="A243" s="212"/>
      <c r="B243" s="212"/>
      <c r="C243" s="212"/>
      <c r="D243" s="212"/>
      <c r="E243" s="212"/>
      <c r="F243" s="212"/>
      <c r="G243" s="212"/>
      <c r="H243" s="212"/>
      <c r="J243" s="212"/>
      <c r="K243" s="212"/>
    </row>
    <row r="244" spans="1:11" ht="12.75" customHeight="1">
      <c r="A244" s="212"/>
      <c r="B244" s="212"/>
      <c r="C244" s="212"/>
      <c r="D244" s="212"/>
      <c r="E244" s="212"/>
      <c r="F244" s="212"/>
      <c r="G244" s="212"/>
      <c r="H244" s="212"/>
      <c r="J244" s="212"/>
      <c r="K244" s="212"/>
    </row>
    <row r="245" spans="1:11" ht="12.75" customHeight="1">
      <c r="A245" s="212"/>
      <c r="B245" s="212"/>
      <c r="C245" s="212"/>
      <c r="D245" s="212"/>
      <c r="E245" s="212"/>
      <c r="F245" s="212"/>
      <c r="G245" s="212"/>
      <c r="H245" s="212"/>
      <c r="J245" s="212"/>
      <c r="K245" s="212"/>
    </row>
    <row r="246" spans="1:11" ht="12.75" customHeight="1">
      <c r="A246" s="212"/>
      <c r="B246" s="212"/>
      <c r="C246" s="212"/>
      <c r="D246" s="212"/>
      <c r="E246" s="212"/>
      <c r="F246" s="212"/>
      <c r="G246" s="212"/>
      <c r="H246" s="212"/>
      <c r="J246" s="212"/>
      <c r="K246" s="212"/>
    </row>
    <row r="247" spans="1:11" ht="12.75" customHeight="1">
      <c r="A247" s="212"/>
      <c r="B247" s="212"/>
      <c r="C247" s="212"/>
      <c r="D247" s="212"/>
      <c r="E247" s="212"/>
      <c r="F247" s="212"/>
      <c r="G247" s="212"/>
      <c r="H247" s="212"/>
      <c r="J247" s="212"/>
      <c r="K247" s="212"/>
    </row>
    <row r="248" spans="1:11" ht="12.75" customHeight="1">
      <c r="A248" s="212"/>
      <c r="B248" s="212"/>
      <c r="C248" s="212"/>
      <c r="D248" s="212"/>
      <c r="E248" s="212"/>
      <c r="F248" s="212"/>
      <c r="G248" s="212"/>
      <c r="H248" s="212"/>
      <c r="J248" s="212"/>
      <c r="K248" s="212"/>
    </row>
    <row r="249" spans="1:11" ht="12.75" customHeight="1">
      <c r="A249" s="212"/>
      <c r="B249" s="212"/>
      <c r="C249" s="212"/>
      <c r="D249" s="212"/>
      <c r="E249" s="212"/>
      <c r="F249" s="212"/>
      <c r="G249" s="212"/>
      <c r="H249" s="212"/>
      <c r="J249" s="212"/>
      <c r="K249" s="212"/>
    </row>
    <row r="250" spans="1:11" ht="12.75" customHeight="1">
      <c r="A250" s="212"/>
      <c r="B250" s="212"/>
      <c r="C250" s="212"/>
      <c r="D250" s="212"/>
      <c r="E250" s="212"/>
      <c r="F250" s="212"/>
      <c r="G250" s="212"/>
      <c r="H250" s="212"/>
      <c r="J250" s="212"/>
      <c r="K250" s="212"/>
    </row>
    <row r="251" spans="1:11" ht="12.75" customHeight="1">
      <c r="A251" s="212"/>
      <c r="B251" s="212"/>
      <c r="C251" s="212"/>
      <c r="D251" s="212"/>
      <c r="E251" s="212"/>
      <c r="F251" s="212"/>
      <c r="G251" s="212"/>
      <c r="H251" s="212"/>
      <c r="J251" s="212"/>
      <c r="K251" s="212"/>
    </row>
    <row r="252" spans="1:11" ht="12.75" customHeight="1">
      <c r="A252" s="212"/>
      <c r="B252" s="212"/>
      <c r="C252" s="212"/>
      <c r="D252" s="212"/>
      <c r="E252" s="212"/>
      <c r="F252" s="212"/>
      <c r="G252" s="212"/>
      <c r="H252" s="212"/>
      <c r="J252" s="212"/>
      <c r="K252" s="212"/>
    </row>
    <row r="253" spans="1:11" ht="12.75" customHeight="1">
      <c r="A253" s="212"/>
      <c r="B253" s="212"/>
      <c r="C253" s="212"/>
      <c r="D253" s="212"/>
      <c r="E253" s="212"/>
      <c r="F253" s="212"/>
      <c r="G253" s="212"/>
      <c r="H253" s="212"/>
      <c r="J253" s="212"/>
      <c r="K253" s="212"/>
    </row>
    <row r="254" spans="1:11" ht="12.75" customHeight="1">
      <c r="A254" s="212"/>
      <c r="B254" s="212"/>
      <c r="C254" s="212"/>
      <c r="D254" s="212"/>
      <c r="E254" s="212"/>
      <c r="F254" s="212"/>
      <c r="G254" s="212"/>
      <c r="H254" s="212"/>
      <c r="J254" s="212"/>
      <c r="K254" s="212"/>
    </row>
    <row r="255" spans="1:11" ht="12.75" customHeight="1">
      <c r="A255" s="212"/>
      <c r="B255" s="212"/>
      <c r="C255" s="212"/>
      <c r="D255" s="212"/>
      <c r="E255" s="212"/>
      <c r="F255" s="212"/>
      <c r="G255" s="212"/>
      <c r="H255" s="212"/>
      <c r="J255" s="212"/>
      <c r="K255" s="212"/>
    </row>
    <row r="256" spans="1:11" ht="12.75" customHeight="1">
      <c r="A256" s="212"/>
      <c r="B256" s="212"/>
      <c r="C256" s="212"/>
      <c r="D256" s="212"/>
      <c r="E256" s="212"/>
      <c r="F256" s="212"/>
      <c r="G256" s="212"/>
      <c r="H256" s="212"/>
      <c r="J256" s="212"/>
      <c r="K256" s="212"/>
    </row>
    <row r="257" spans="1:11" ht="12.75" customHeight="1">
      <c r="A257" s="212"/>
      <c r="B257" s="212"/>
      <c r="C257" s="212"/>
      <c r="D257" s="212"/>
      <c r="E257" s="212"/>
      <c r="F257" s="212"/>
      <c r="G257" s="212"/>
      <c r="H257" s="212"/>
      <c r="J257" s="212"/>
      <c r="K257" s="212"/>
    </row>
    <row r="258" spans="1:11" ht="12.75" customHeight="1">
      <c r="A258" s="212"/>
      <c r="B258" s="212"/>
      <c r="C258" s="212"/>
      <c r="D258" s="212"/>
      <c r="E258" s="212"/>
      <c r="F258" s="212"/>
      <c r="G258" s="212"/>
      <c r="H258" s="212"/>
      <c r="J258" s="212"/>
      <c r="K258" s="212"/>
    </row>
    <row r="259" spans="1:11" ht="12.75" customHeight="1">
      <c r="A259" s="212"/>
      <c r="B259" s="212"/>
      <c r="C259" s="212"/>
      <c r="D259" s="212"/>
      <c r="E259" s="212"/>
      <c r="F259" s="212"/>
      <c r="G259" s="212"/>
      <c r="H259" s="212"/>
      <c r="J259" s="212"/>
      <c r="K259" s="212"/>
    </row>
    <row r="260" spans="1:11" ht="12.75" customHeight="1">
      <c r="A260" s="212"/>
      <c r="B260" s="212"/>
      <c r="C260" s="212"/>
      <c r="D260" s="212"/>
      <c r="E260" s="212"/>
      <c r="F260" s="212"/>
      <c r="G260" s="212"/>
      <c r="H260" s="212"/>
      <c r="J260" s="212"/>
      <c r="K260" s="212"/>
    </row>
    <row r="261" spans="1:11" ht="12.75" customHeight="1">
      <c r="A261" s="212"/>
      <c r="B261" s="212"/>
      <c r="C261" s="212"/>
      <c r="D261" s="212"/>
      <c r="E261" s="212"/>
      <c r="F261" s="212"/>
      <c r="G261" s="212"/>
      <c r="H261" s="212"/>
      <c r="J261" s="212"/>
      <c r="K261" s="212"/>
    </row>
    <row r="262" spans="1:11" ht="12.75" customHeight="1">
      <c r="A262" s="212"/>
      <c r="B262" s="212"/>
      <c r="C262" s="212"/>
      <c r="D262" s="212"/>
      <c r="E262" s="212"/>
      <c r="F262" s="212"/>
      <c r="G262" s="212"/>
      <c r="H262" s="212"/>
      <c r="J262" s="212"/>
      <c r="K262" s="212"/>
    </row>
    <row r="263" spans="1:11" ht="12.75" customHeight="1">
      <c r="A263" s="212"/>
      <c r="B263" s="212"/>
      <c r="C263" s="212"/>
      <c r="D263" s="212"/>
      <c r="E263" s="212"/>
      <c r="F263" s="212"/>
      <c r="G263" s="212"/>
      <c r="H263" s="212"/>
      <c r="J263" s="212"/>
      <c r="K263" s="212"/>
    </row>
    <row r="264" spans="1:11" ht="12.75" customHeight="1">
      <c r="A264" s="212"/>
      <c r="B264" s="212"/>
      <c r="C264" s="212"/>
      <c r="D264" s="212"/>
      <c r="E264" s="212"/>
      <c r="F264" s="212"/>
      <c r="G264" s="212"/>
      <c r="H264" s="212"/>
      <c r="J264" s="212"/>
      <c r="K264" s="212"/>
    </row>
    <row r="265" spans="1:11" ht="12.75" customHeight="1">
      <c r="A265" s="212"/>
      <c r="B265" s="212"/>
      <c r="C265" s="212"/>
      <c r="D265" s="212"/>
      <c r="E265" s="212"/>
      <c r="F265" s="212"/>
      <c r="G265" s="212"/>
      <c r="H265" s="212"/>
      <c r="J265" s="212"/>
      <c r="K265" s="212"/>
    </row>
    <row r="266" spans="1:11" ht="12.75" customHeight="1">
      <c r="A266" s="212"/>
      <c r="B266" s="212"/>
      <c r="C266" s="212"/>
      <c r="D266" s="212"/>
      <c r="E266" s="212"/>
      <c r="F266" s="212"/>
      <c r="G266" s="212"/>
      <c r="H266" s="212"/>
      <c r="J266" s="212"/>
      <c r="K266" s="212"/>
    </row>
    <row r="267" spans="1:11" ht="12.75" customHeight="1">
      <c r="A267" s="212"/>
      <c r="B267" s="212"/>
      <c r="C267" s="212"/>
      <c r="D267" s="212"/>
      <c r="E267" s="212"/>
      <c r="F267" s="212"/>
      <c r="G267" s="212"/>
      <c r="H267" s="212"/>
      <c r="J267" s="212"/>
      <c r="K267" s="212"/>
    </row>
    <row r="268" spans="1:11" ht="12.75" customHeight="1">
      <c r="A268" s="212"/>
      <c r="B268" s="212"/>
      <c r="C268" s="212"/>
      <c r="D268" s="212"/>
      <c r="E268" s="212"/>
      <c r="F268" s="212"/>
      <c r="G268" s="212"/>
      <c r="H268" s="212"/>
      <c r="J268" s="212"/>
      <c r="K268" s="212"/>
    </row>
    <row r="269" spans="1:11" ht="12.75" customHeight="1">
      <c r="A269" s="212"/>
      <c r="B269" s="212"/>
      <c r="C269" s="212"/>
      <c r="D269" s="212"/>
      <c r="E269" s="212"/>
      <c r="F269" s="212"/>
      <c r="G269" s="212"/>
      <c r="H269" s="212"/>
      <c r="J269" s="212"/>
      <c r="K269" s="212"/>
    </row>
    <row r="270" spans="1:11" ht="12.75" customHeight="1">
      <c r="A270" s="212"/>
      <c r="B270" s="212"/>
      <c r="C270" s="212"/>
      <c r="D270" s="212"/>
      <c r="E270" s="212"/>
      <c r="F270" s="212"/>
      <c r="G270" s="212"/>
      <c r="H270" s="212"/>
      <c r="J270" s="212"/>
      <c r="K270" s="212"/>
    </row>
    <row r="271" spans="1:11" ht="12.75" customHeight="1">
      <c r="A271" s="212"/>
      <c r="B271" s="212"/>
      <c r="C271" s="212"/>
      <c r="D271" s="212"/>
      <c r="E271" s="212"/>
      <c r="F271" s="212"/>
      <c r="G271" s="212"/>
      <c r="H271" s="212"/>
      <c r="J271" s="212"/>
      <c r="K271" s="212"/>
    </row>
    <row r="272" spans="1:11" ht="12.75" customHeight="1">
      <c r="A272" s="212"/>
      <c r="B272" s="212"/>
      <c r="C272" s="212"/>
      <c r="D272" s="212"/>
      <c r="E272" s="212"/>
      <c r="F272" s="212"/>
      <c r="G272" s="212"/>
      <c r="H272" s="212"/>
      <c r="J272" s="212"/>
      <c r="K272" s="212"/>
    </row>
    <row r="273" spans="1:11" ht="12.75" customHeight="1">
      <c r="A273" s="212"/>
      <c r="B273" s="212"/>
      <c r="C273" s="212"/>
      <c r="D273" s="212"/>
      <c r="E273" s="212"/>
      <c r="F273" s="212"/>
      <c r="G273" s="212"/>
      <c r="H273" s="212"/>
      <c r="J273" s="212"/>
      <c r="K273" s="212"/>
    </row>
    <row r="274" spans="1:11" ht="12.75" customHeight="1">
      <c r="A274" s="212"/>
      <c r="B274" s="212"/>
      <c r="C274" s="212"/>
      <c r="D274" s="212"/>
      <c r="E274" s="212"/>
      <c r="F274" s="212"/>
      <c r="G274" s="212"/>
      <c r="H274" s="212"/>
      <c r="J274" s="212"/>
      <c r="K274" s="212"/>
    </row>
    <row r="275" spans="1:11" ht="12.75" customHeight="1">
      <c r="A275" s="212"/>
      <c r="B275" s="212"/>
      <c r="C275" s="212"/>
      <c r="D275" s="212"/>
      <c r="E275" s="212"/>
      <c r="F275" s="212"/>
      <c r="G275" s="212"/>
      <c r="H275" s="212"/>
      <c r="J275" s="212"/>
      <c r="K275" s="212"/>
    </row>
    <row r="276" spans="1:11" ht="12.75" customHeight="1">
      <c r="A276" s="212"/>
      <c r="B276" s="212"/>
      <c r="C276" s="212"/>
      <c r="D276" s="212"/>
      <c r="E276" s="212"/>
      <c r="F276" s="212"/>
      <c r="G276" s="212"/>
      <c r="H276" s="212"/>
      <c r="J276" s="212"/>
      <c r="K276" s="212"/>
    </row>
    <row r="277" spans="1:11" ht="12.75" customHeight="1">
      <c r="A277" s="212"/>
      <c r="B277" s="212"/>
      <c r="C277" s="212"/>
      <c r="D277" s="212"/>
      <c r="E277" s="212"/>
      <c r="F277" s="212"/>
      <c r="G277" s="212"/>
      <c r="H277" s="212"/>
      <c r="J277" s="212"/>
      <c r="K277" s="212"/>
    </row>
    <row r="278" spans="1:11" ht="12.75" customHeight="1">
      <c r="A278" s="212"/>
      <c r="B278" s="212"/>
      <c r="C278" s="212"/>
      <c r="D278" s="212"/>
      <c r="E278" s="212"/>
      <c r="F278" s="212"/>
      <c r="G278" s="212"/>
      <c r="H278" s="212"/>
      <c r="J278" s="212"/>
      <c r="K278" s="212"/>
    </row>
    <row r="279" spans="1:11" ht="12.75" customHeight="1">
      <c r="A279" s="212"/>
      <c r="B279" s="212"/>
      <c r="C279" s="212"/>
      <c r="D279" s="212"/>
      <c r="E279" s="212"/>
      <c r="F279" s="212"/>
      <c r="G279" s="212"/>
      <c r="H279" s="212"/>
      <c r="J279" s="212"/>
      <c r="K279" s="212"/>
    </row>
    <row r="280" spans="1:11" ht="12.75" customHeight="1">
      <c r="A280" s="212"/>
      <c r="B280" s="212"/>
      <c r="C280" s="212"/>
      <c r="D280" s="212"/>
      <c r="E280" s="212"/>
      <c r="F280" s="212"/>
      <c r="G280" s="212"/>
      <c r="H280" s="212"/>
      <c r="J280" s="212"/>
      <c r="K280" s="212"/>
    </row>
    <row r="281" spans="1:11" ht="12.75" customHeight="1">
      <c r="A281" s="212"/>
      <c r="B281" s="212"/>
      <c r="C281" s="212"/>
      <c r="D281" s="212"/>
      <c r="E281" s="212"/>
      <c r="F281" s="212"/>
      <c r="G281" s="212"/>
      <c r="H281" s="212"/>
      <c r="J281" s="212"/>
      <c r="K281" s="212"/>
    </row>
    <row r="282" spans="1:11" ht="12.75" customHeight="1">
      <c r="A282" s="212"/>
      <c r="B282" s="212"/>
      <c r="C282" s="212"/>
      <c r="D282" s="212"/>
      <c r="E282" s="212"/>
      <c r="F282" s="212"/>
      <c r="G282" s="212"/>
      <c r="H282" s="212"/>
      <c r="J282" s="212"/>
      <c r="K282" s="212"/>
    </row>
    <row r="283" spans="1:11" ht="12.75" customHeight="1">
      <c r="A283" s="212"/>
      <c r="B283" s="212"/>
      <c r="C283" s="212"/>
      <c r="D283" s="212"/>
      <c r="E283" s="212"/>
      <c r="F283" s="212"/>
      <c r="G283" s="212"/>
      <c r="H283" s="212"/>
      <c r="J283" s="212"/>
      <c r="K283" s="212"/>
    </row>
    <row r="284" spans="1:11" ht="12.75" customHeight="1">
      <c r="A284" s="212"/>
      <c r="B284" s="212"/>
      <c r="C284" s="212"/>
      <c r="D284" s="212"/>
      <c r="E284" s="212"/>
      <c r="F284" s="212"/>
      <c r="G284" s="212"/>
      <c r="H284" s="212"/>
      <c r="J284" s="212"/>
      <c r="K284" s="212"/>
    </row>
    <row r="285" spans="1:11" ht="12.75" customHeight="1">
      <c r="A285" s="212"/>
      <c r="B285" s="212"/>
      <c r="C285" s="212"/>
      <c r="D285" s="212"/>
      <c r="E285" s="212"/>
      <c r="F285" s="212"/>
      <c r="G285" s="212"/>
      <c r="H285" s="212"/>
      <c r="J285" s="212"/>
      <c r="K285" s="212"/>
    </row>
    <row r="286" spans="1:11" ht="12.75" customHeight="1">
      <c r="A286" s="212"/>
      <c r="B286" s="212"/>
      <c r="C286" s="212"/>
      <c r="D286" s="212"/>
      <c r="E286" s="212"/>
      <c r="F286" s="212"/>
      <c r="G286" s="212"/>
      <c r="H286" s="212"/>
      <c r="J286" s="212"/>
      <c r="K286" s="212"/>
    </row>
    <row r="287" spans="1:11" ht="12.75" customHeight="1">
      <c r="A287" s="212"/>
      <c r="B287" s="212"/>
      <c r="C287" s="212"/>
      <c r="D287" s="212"/>
      <c r="E287" s="212"/>
      <c r="F287" s="212"/>
      <c r="G287" s="212"/>
      <c r="H287" s="212"/>
      <c r="J287" s="212"/>
      <c r="K287" s="212"/>
    </row>
    <row r="288" spans="1:11" ht="12.75" customHeight="1">
      <c r="A288" s="212"/>
      <c r="B288" s="212"/>
      <c r="C288" s="212"/>
      <c r="D288" s="212"/>
      <c r="E288" s="212"/>
      <c r="F288" s="212"/>
      <c r="G288" s="212"/>
      <c r="H288" s="212"/>
      <c r="J288" s="212"/>
      <c r="K288" s="212"/>
    </row>
    <row r="289" spans="1:11" ht="12.75" customHeight="1">
      <c r="A289" s="212"/>
      <c r="B289" s="212"/>
      <c r="C289" s="212"/>
      <c r="D289" s="212"/>
      <c r="E289" s="212"/>
      <c r="F289" s="212"/>
      <c r="G289" s="212"/>
      <c r="H289" s="212"/>
      <c r="J289" s="212"/>
      <c r="K289" s="212"/>
    </row>
    <row r="290" spans="1:11" ht="12.75" customHeight="1">
      <c r="A290" s="212"/>
      <c r="B290" s="212"/>
      <c r="C290" s="212"/>
      <c r="D290" s="212"/>
      <c r="E290" s="212"/>
      <c r="F290" s="212"/>
      <c r="G290" s="212"/>
      <c r="H290" s="212"/>
      <c r="J290" s="212"/>
      <c r="K290" s="212"/>
    </row>
    <row r="291" spans="1:11" ht="12.75" customHeight="1">
      <c r="A291" s="212"/>
      <c r="B291" s="212"/>
      <c r="C291" s="212"/>
      <c r="D291" s="212"/>
      <c r="E291" s="212"/>
      <c r="F291" s="212"/>
      <c r="G291" s="212"/>
      <c r="H291" s="212"/>
      <c r="J291" s="212"/>
      <c r="K291" s="212"/>
    </row>
    <row r="292" spans="1:11" ht="12.75" customHeight="1">
      <c r="A292" s="212"/>
      <c r="B292" s="212"/>
      <c r="C292" s="212"/>
      <c r="D292" s="212"/>
      <c r="E292" s="212"/>
      <c r="F292" s="212"/>
      <c r="G292" s="212"/>
      <c r="H292" s="212"/>
      <c r="J292" s="212"/>
      <c r="K292" s="212"/>
    </row>
    <row r="293" spans="1:11" ht="12.75" customHeight="1">
      <c r="A293" s="212"/>
      <c r="B293" s="212"/>
      <c r="C293" s="212"/>
      <c r="D293" s="212"/>
      <c r="E293" s="212"/>
      <c r="F293" s="212"/>
      <c r="G293" s="212"/>
      <c r="H293" s="212"/>
      <c r="J293" s="212"/>
      <c r="K293" s="212"/>
    </row>
    <row r="294" spans="1:11" ht="12.75" customHeight="1">
      <c r="A294" s="212"/>
      <c r="B294" s="212"/>
      <c r="C294" s="212"/>
      <c r="D294" s="212"/>
      <c r="E294" s="212"/>
      <c r="F294" s="212"/>
      <c r="G294" s="212"/>
      <c r="H294" s="212"/>
      <c r="J294" s="212"/>
      <c r="K294" s="212"/>
    </row>
    <row r="295" spans="1:11" ht="12.75" customHeight="1">
      <c r="A295" s="212"/>
      <c r="B295" s="212"/>
      <c r="C295" s="212"/>
      <c r="D295" s="212"/>
      <c r="E295" s="212"/>
      <c r="F295" s="212"/>
      <c r="G295" s="212"/>
      <c r="H295" s="212"/>
      <c r="J295" s="212"/>
      <c r="K295" s="212"/>
    </row>
    <row r="296" spans="1:11" ht="12.75" customHeight="1">
      <c r="A296" s="212"/>
      <c r="B296" s="212"/>
      <c r="C296" s="212"/>
      <c r="D296" s="212"/>
      <c r="E296" s="212"/>
      <c r="F296" s="212"/>
      <c r="G296" s="212"/>
      <c r="H296" s="212"/>
      <c r="J296" s="212"/>
      <c r="K296" s="212"/>
    </row>
    <row r="297" spans="1:11" ht="12.75" customHeight="1">
      <c r="A297" s="212"/>
      <c r="B297" s="212"/>
      <c r="C297" s="212"/>
      <c r="D297" s="212"/>
      <c r="E297" s="212"/>
      <c r="F297" s="212"/>
      <c r="G297" s="212"/>
      <c r="H297" s="212"/>
      <c r="J297" s="212"/>
      <c r="K297" s="212"/>
    </row>
    <row r="298" spans="1:11" ht="12.75" customHeight="1">
      <c r="A298" s="212"/>
      <c r="B298" s="212"/>
      <c r="C298" s="212"/>
      <c r="D298" s="212"/>
      <c r="E298" s="212"/>
      <c r="F298" s="212"/>
      <c r="G298" s="212"/>
      <c r="H298" s="212"/>
      <c r="J298" s="212"/>
      <c r="K298" s="212"/>
    </row>
    <row r="299" spans="1:11" ht="12.75" customHeight="1">
      <c r="A299" s="212"/>
      <c r="B299" s="212"/>
      <c r="C299" s="212"/>
      <c r="D299" s="212"/>
      <c r="E299" s="212"/>
      <c r="F299" s="212"/>
      <c r="G299" s="212"/>
      <c r="H299" s="212"/>
      <c r="J299" s="212"/>
      <c r="K299" s="212"/>
    </row>
    <row r="300" spans="1:11" ht="12.75" customHeight="1">
      <c r="A300" s="212"/>
      <c r="B300" s="212"/>
      <c r="C300" s="212"/>
      <c r="D300" s="212"/>
      <c r="E300" s="212"/>
      <c r="F300" s="212"/>
      <c r="G300" s="212"/>
      <c r="H300" s="212"/>
      <c r="J300" s="212"/>
      <c r="K300" s="212"/>
    </row>
    <row r="301" spans="1:11" ht="12.75" customHeight="1">
      <c r="A301" s="212"/>
      <c r="B301" s="212"/>
      <c r="C301" s="212"/>
      <c r="D301" s="212"/>
      <c r="E301" s="212"/>
      <c r="F301" s="212"/>
      <c r="G301" s="212"/>
      <c r="H301" s="212"/>
      <c r="J301" s="212"/>
      <c r="K301" s="212"/>
    </row>
    <row r="302" spans="1:11" ht="12.75" customHeight="1">
      <c r="A302" s="212"/>
      <c r="B302" s="212"/>
      <c r="C302" s="212"/>
      <c r="D302" s="212"/>
      <c r="E302" s="212"/>
      <c r="F302" s="212"/>
      <c r="G302" s="212"/>
      <c r="H302" s="212"/>
      <c r="J302" s="212"/>
      <c r="K302" s="212"/>
    </row>
    <row r="303" spans="1:11" ht="12.75" customHeight="1">
      <c r="A303" s="212"/>
      <c r="B303" s="212"/>
      <c r="C303" s="212"/>
      <c r="D303" s="212"/>
      <c r="E303" s="212"/>
      <c r="F303" s="212"/>
      <c r="G303" s="212"/>
      <c r="H303" s="212"/>
      <c r="J303" s="212"/>
      <c r="K303" s="212"/>
    </row>
    <row r="304" spans="1:11" ht="12.75" customHeight="1">
      <c r="A304" s="212"/>
      <c r="B304" s="212"/>
      <c r="C304" s="212"/>
      <c r="D304" s="212"/>
      <c r="E304" s="212"/>
      <c r="F304" s="212"/>
      <c r="G304" s="212"/>
      <c r="H304" s="212"/>
      <c r="J304" s="212"/>
      <c r="K304" s="212"/>
    </row>
    <row r="305" spans="1:11" ht="12.75" customHeight="1">
      <c r="A305" s="212"/>
      <c r="B305" s="212"/>
      <c r="C305" s="212"/>
      <c r="D305" s="212"/>
      <c r="E305" s="212"/>
      <c r="F305" s="212"/>
      <c r="G305" s="212"/>
      <c r="H305" s="212"/>
      <c r="J305" s="212"/>
      <c r="K305" s="212"/>
    </row>
    <row r="306" spans="1:11" ht="12.75" customHeight="1">
      <c r="A306" s="212"/>
      <c r="B306" s="212"/>
      <c r="C306" s="212"/>
      <c r="D306" s="212"/>
      <c r="E306" s="212"/>
      <c r="F306" s="212"/>
      <c r="G306" s="212"/>
      <c r="H306" s="212"/>
      <c r="J306" s="212"/>
      <c r="K306" s="212"/>
    </row>
    <row r="307" spans="1:11" ht="12.75" customHeight="1">
      <c r="A307" s="212"/>
      <c r="B307" s="212"/>
      <c r="C307" s="212"/>
      <c r="D307" s="212"/>
      <c r="E307" s="212"/>
      <c r="F307" s="212"/>
      <c r="G307" s="212"/>
      <c r="H307" s="212"/>
      <c r="J307" s="212"/>
      <c r="K307" s="212"/>
    </row>
    <row r="308" spans="1:11" ht="12.75" customHeight="1">
      <c r="A308" s="212"/>
      <c r="B308" s="212"/>
      <c r="C308" s="212"/>
      <c r="D308" s="212"/>
      <c r="E308" s="212"/>
      <c r="F308" s="212"/>
      <c r="G308" s="212"/>
      <c r="H308" s="212"/>
      <c r="J308" s="212"/>
      <c r="K308" s="212"/>
    </row>
    <row r="309" spans="1:11" ht="12.75" customHeight="1">
      <c r="A309" s="212"/>
      <c r="B309" s="212"/>
      <c r="C309" s="212"/>
      <c r="D309" s="212"/>
      <c r="E309" s="212"/>
      <c r="F309" s="212"/>
      <c r="G309" s="212"/>
      <c r="H309" s="212"/>
      <c r="J309" s="212"/>
      <c r="K309" s="212"/>
    </row>
    <row r="310" spans="1:11" ht="12.75" customHeight="1">
      <c r="A310" s="212"/>
      <c r="B310" s="212"/>
      <c r="C310" s="212"/>
      <c r="D310" s="212"/>
      <c r="E310" s="212"/>
      <c r="F310" s="212"/>
      <c r="G310" s="212"/>
      <c r="H310" s="212"/>
      <c r="J310" s="212"/>
      <c r="K310" s="212"/>
    </row>
    <row r="311" spans="1:11" ht="12.75" customHeight="1">
      <c r="A311" s="212"/>
      <c r="B311" s="212"/>
      <c r="C311" s="212"/>
      <c r="D311" s="212"/>
      <c r="E311" s="212"/>
      <c r="F311" s="212"/>
      <c r="G311" s="212"/>
      <c r="H311" s="212"/>
      <c r="J311" s="212"/>
      <c r="K311" s="212"/>
    </row>
    <row r="312" spans="1:11" ht="12.75" customHeight="1">
      <c r="A312" s="212"/>
      <c r="B312" s="212"/>
      <c r="C312" s="212"/>
      <c r="D312" s="212"/>
      <c r="E312" s="212"/>
      <c r="F312" s="212"/>
      <c r="G312" s="212"/>
      <c r="H312" s="212"/>
      <c r="J312" s="212"/>
      <c r="K312" s="212"/>
    </row>
    <row r="313" spans="1:11" ht="12.75" customHeight="1">
      <c r="A313" s="212"/>
      <c r="B313" s="212"/>
      <c r="C313" s="212"/>
      <c r="D313" s="212"/>
      <c r="E313" s="212"/>
      <c r="F313" s="212"/>
      <c r="G313" s="212"/>
      <c r="H313" s="212"/>
      <c r="J313" s="212"/>
      <c r="K313" s="212"/>
    </row>
    <row r="314" spans="1:11" ht="12.75" customHeight="1">
      <c r="A314" s="212"/>
      <c r="B314" s="212"/>
      <c r="C314" s="212"/>
      <c r="D314" s="212"/>
      <c r="E314" s="212"/>
      <c r="F314" s="212"/>
      <c r="G314" s="212"/>
      <c r="H314" s="212"/>
      <c r="J314" s="212"/>
      <c r="K314" s="212"/>
    </row>
    <row r="315" spans="1:11" ht="12.75" customHeight="1">
      <c r="A315" s="212"/>
      <c r="B315" s="212"/>
      <c r="C315" s="212"/>
      <c r="D315" s="212"/>
      <c r="E315" s="212"/>
      <c r="F315" s="212"/>
      <c r="G315" s="212"/>
      <c r="H315" s="212"/>
      <c r="J315" s="212"/>
      <c r="K315" s="212"/>
    </row>
    <row r="316" spans="1:11" ht="12.75" customHeight="1">
      <c r="A316" s="212"/>
      <c r="B316" s="212"/>
      <c r="C316" s="212"/>
      <c r="D316" s="212"/>
      <c r="E316" s="212"/>
      <c r="F316" s="212"/>
      <c r="G316" s="212"/>
      <c r="H316" s="212"/>
      <c r="J316" s="212"/>
      <c r="K316" s="212"/>
    </row>
    <row r="317" spans="1:11" ht="12.75" customHeight="1">
      <c r="A317" s="212"/>
      <c r="B317" s="212"/>
      <c r="C317" s="212"/>
      <c r="D317" s="212"/>
      <c r="E317" s="212"/>
      <c r="F317" s="212"/>
      <c r="G317" s="212"/>
      <c r="H317" s="212"/>
      <c r="J317" s="212"/>
      <c r="K317" s="212"/>
    </row>
    <row r="318" spans="1:11" ht="12.75" customHeight="1">
      <c r="A318" s="212"/>
      <c r="B318" s="212"/>
      <c r="C318" s="212"/>
      <c r="D318" s="212"/>
      <c r="E318" s="212"/>
      <c r="F318" s="212"/>
      <c r="G318" s="212"/>
      <c r="H318" s="212"/>
      <c r="J318" s="212"/>
      <c r="K318" s="212"/>
    </row>
    <row r="319" spans="1:11" ht="12.75" customHeight="1">
      <c r="A319" s="212"/>
      <c r="B319" s="212"/>
      <c r="C319" s="212"/>
      <c r="D319" s="212"/>
      <c r="E319" s="212"/>
      <c r="F319" s="212"/>
      <c r="G319" s="212"/>
      <c r="H319" s="212"/>
      <c r="J319" s="212"/>
      <c r="K319" s="212"/>
    </row>
    <row r="320" spans="1:11" ht="12.75" customHeight="1">
      <c r="A320" s="212"/>
      <c r="B320" s="212"/>
      <c r="C320" s="212"/>
      <c r="D320" s="212"/>
      <c r="E320" s="212"/>
      <c r="F320" s="212"/>
      <c r="G320" s="212"/>
      <c r="H320" s="212"/>
      <c r="J320" s="212"/>
      <c r="K320" s="212"/>
    </row>
    <row r="321" spans="1:11" ht="12.75" customHeight="1">
      <c r="A321" s="212"/>
      <c r="B321" s="212"/>
      <c r="C321" s="212"/>
      <c r="D321" s="212"/>
      <c r="E321" s="212"/>
      <c r="F321" s="212"/>
      <c r="G321" s="212"/>
      <c r="H321" s="212"/>
      <c r="J321" s="212"/>
      <c r="K321" s="212"/>
    </row>
    <row r="322" spans="1:11" ht="12.75" customHeight="1">
      <c r="A322" s="212"/>
      <c r="B322" s="212"/>
      <c r="C322" s="212"/>
      <c r="D322" s="212"/>
      <c r="E322" s="212"/>
      <c r="F322" s="212"/>
      <c r="G322" s="212"/>
      <c r="H322" s="212"/>
      <c r="J322" s="212"/>
      <c r="K322" s="212"/>
    </row>
    <row r="323" spans="1:11" ht="12.75" customHeight="1">
      <c r="A323" s="212"/>
      <c r="B323" s="212"/>
      <c r="C323" s="212"/>
      <c r="D323" s="212"/>
      <c r="E323" s="212"/>
      <c r="F323" s="212"/>
      <c r="G323" s="212"/>
      <c r="H323" s="212"/>
      <c r="J323" s="212"/>
      <c r="K323" s="212"/>
    </row>
    <row r="324" spans="1:11" ht="12.75" customHeight="1">
      <c r="A324" s="212"/>
      <c r="B324" s="212"/>
      <c r="C324" s="212"/>
      <c r="D324" s="212"/>
      <c r="E324" s="212"/>
      <c r="F324" s="212"/>
      <c r="G324" s="212"/>
      <c r="H324" s="212"/>
      <c r="J324" s="212"/>
      <c r="K324" s="212"/>
    </row>
    <row r="325" spans="1:11" ht="12.75" customHeight="1">
      <c r="A325" s="212"/>
      <c r="B325" s="212"/>
      <c r="C325" s="212"/>
      <c r="D325" s="212"/>
      <c r="E325" s="212"/>
      <c r="F325" s="212"/>
      <c r="G325" s="212"/>
      <c r="H325" s="212"/>
      <c r="J325" s="212"/>
      <c r="K325" s="212"/>
    </row>
    <row r="326" spans="1:11" ht="12.75" customHeight="1">
      <c r="A326" s="212"/>
      <c r="B326" s="212"/>
      <c r="C326" s="212"/>
      <c r="D326" s="212"/>
      <c r="E326" s="212"/>
      <c r="F326" s="212"/>
      <c r="G326" s="212"/>
      <c r="H326" s="212"/>
      <c r="J326" s="212"/>
      <c r="K326" s="212"/>
    </row>
    <row r="327" spans="1:11" ht="12.75" customHeight="1">
      <c r="A327" s="212"/>
      <c r="B327" s="212"/>
      <c r="C327" s="212"/>
      <c r="D327" s="212"/>
      <c r="E327" s="212"/>
      <c r="F327" s="212"/>
      <c r="G327" s="212"/>
      <c r="H327" s="212"/>
      <c r="J327" s="212"/>
      <c r="K327" s="212"/>
    </row>
    <row r="328" spans="1:11" ht="12.75" customHeight="1">
      <c r="A328" s="212"/>
      <c r="B328" s="212"/>
      <c r="C328" s="212"/>
      <c r="D328" s="212"/>
      <c r="E328" s="212"/>
      <c r="F328" s="212"/>
      <c r="G328" s="212"/>
      <c r="H328" s="212"/>
      <c r="J328" s="212"/>
      <c r="K328" s="212"/>
    </row>
    <row r="329" spans="1:11" ht="12.75" customHeight="1">
      <c r="A329" s="212"/>
      <c r="B329" s="212"/>
      <c r="C329" s="212"/>
      <c r="D329" s="212"/>
      <c r="E329" s="212"/>
      <c r="F329" s="212"/>
      <c r="G329" s="212"/>
      <c r="H329" s="212"/>
      <c r="J329" s="212"/>
      <c r="K329" s="212"/>
    </row>
    <row r="330" spans="1:11" ht="12.75" customHeight="1">
      <c r="A330" s="212"/>
      <c r="B330" s="212"/>
      <c r="C330" s="212"/>
      <c r="D330" s="212"/>
      <c r="E330" s="212"/>
      <c r="F330" s="212"/>
      <c r="G330" s="212"/>
      <c r="H330" s="212"/>
      <c r="J330" s="212"/>
      <c r="K330" s="212"/>
    </row>
    <row r="331" spans="1:11" ht="12.75" customHeight="1">
      <c r="A331" s="212"/>
      <c r="B331" s="212"/>
      <c r="C331" s="212"/>
      <c r="D331" s="212"/>
      <c r="E331" s="212"/>
      <c r="F331" s="212"/>
      <c r="G331" s="212"/>
      <c r="H331" s="212"/>
      <c r="J331" s="212"/>
      <c r="K331" s="212"/>
    </row>
    <row r="332" spans="1:11" ht="12.75" customHeight="1">
      <c r="A332" s="212"/>
      <c r="B332" s="212"/>
      <c r="C332" s="212"/>
      <c r="D332" s="212"/>
      <c r="E332" s="212"/>
      <c r="F332" s="212"/>
      <c r="G332" s="212"/>
      <c r="H332" s="212"/>
      <c r="J332" s="212"/>
      <c r="K332" s="212"/>
    </row>
    <row r="333" spans="1:11" ht="12.75" customHeight="1">
      <c r="A333" s="212"/>
      <c r="B333" s="212"/>
      <c r="C333" s="212"/>
      <c r="D333" s="212"/>
      <c r="E333" s="212"/>
      <c r="F333" s="212"/>
      <c r="G333" s="212"/>
      <c r="H333" s="212"/>
      <c r="J333" s="212"/>
      <c r="K333" s="212"/>
    </row>
    <row r="334" spans="1:11" ht="12.75" customHeight="1">
      <c r="A334" s="212"/>
      <c r="B334" s="212"/>
      <c r="C334" s="212"/>
      <c r="D334" s="212"/>
      <c r="E334" s="212"/>
      <c r="F334" s="212"/>
      <c r="G334" s="212"/>
      <c r="H334" s="212"/>
      <c r="J334" s="212"/>
      <c r="K334" s="212"/>
    </row>
    <row r="335" spans="1:11" ht="12.75" customHeight="1">
      <c r="A335" s="212"/>
      <c r="B335" s="212"/>
      <c r="C335" s="212"/>
      <c r="D335" s="212"/>
      <c r="E335" s="212"/>
      <c r="F335" s="212"/>
      <c r="G335" s="212"/>
      <c r="H335" s="212"/>
      <c r="J335" s="212"/>
      <c r="K335" s="212"/>
    </row>
    <row r="336" spans="1:11" ht="12.75" customHeight="1">
      <c r="A336" s="212"/>
      <c r="B336" s="212"/>
      <c r="C336" s="212"/>
      <c r="D336" s="212"/>
      <c r="E336" s="212"/>
      <c r="F336" s="212"/>
      <c r="G336" s="212"/>
      <c r="H336" s="212"/>
      <c r="J336" s="212"/>
      <c r="K336" s="212"/>
    </row>
    <row r="337" spans="1:11" ht="12.75" customHeight="1">
      <c r="A337" s="212"/>
      <c r="B337" s="212"/>
      <c r="C337" s="212"/>
      <c r="D337" s="212"/>
      <c r="E337" s="212"/>
      <c r="F337" s="212"/>
      <c r="G337" s="212"/>
      <c r="H337" s="212"/>
      <c r="J337" s="212"/>
      <c r="K337" s="212"/>
    </row>
    <row r="338" spans="1:11" ht="12.75" customHeight="1">
      <c r="A338" s="212"/>
      <c r="B338" s="212"/>
      <c r="C338" s="212"/>
      <c r="D338" s="212"/>
      <c r="E338" s="212"/>
      <c r="F338" s="212"/>
      <c r="G338" s="212"/>
      <c r="H338" s="212"/>
      <c r="J338" s="212"/>
      <c r="K338" s="212"/>
    </row>
    <row r="339" spans="1:11" ht="12.75" customHeight="1">
      <c r="A339" s="212"/>
      <c r="B339" s="212"/>
      <c r="C339" s="212"/>
      <c r="D339" s="212"/>
      <c r="E339" s="212"/>
      <c r="F339" s="212"/>
      <c r="G339" s="212"/>
      <c r="H339" s="212"/>
      <c r="J339" s="212"/>
      <c r="K339" s="212"/>
    </row>
    <row r="340" spans="1:11" ht="12.75" customHeight="1">
      <c r="A340" s="212"/>
      <c r="B340" s="212"/>
      <c r="C340" s="212"/>
      <c r="D340" s="212"/>
      <c r="E340" s="212"/>
      <c r="F340" s="212"/>
      <c r="G340" s="212"/>
      <c r="H340" s="212"/>
      <c r="J340" s="212"/>
      <c r="K340" s="212"/>
    </row>
    <row r="341" spans="1:11" ht="12.75" customHeight="1">
      <c r="A341" s="212"/>
      <c r="B341" s="212"/>
      <c r="C341" s="212"/>
      <c r="D341" s="212"/>
      <c r="E341" s="212"/>
      <c r="F341" s="212"/>
      <c r="G341" s="212"/>
      <c r="H341" s="212"/>
      <c r="J341" s="212"/>
      <c r="K341" s="212"/>
    </row>
    <row r="342" spans="1:11" ht="12.75" customHeight="1">
      <c r="A342" s="212"/>
      <c r="B342" s="212"/>
      <c r="C342" s="212"/>
      <c r="D342" s="212"/>
      <c r="E342" s="212"/>
      <c r="F342" s="212"/>
      <c r="G342" s="212"/>
      <c r="H342" s="212"/>
      <c r="J342" s="212"/>
      <c r="K342" s="212"/>
    </row>
    <row r="343" spans="1:11" ht="12.75" customHeight="1">
      <c r="A343" s="212"/>
      <c r="B343" s="212"/>
      <c r="C343" s="212"/>
      <c r="D343" s="212"/>
      <c r="E343" s="212"/>
      <c r="F343" s="212"/>
      <c r="G343" s="212"/>
      <c r="H343" s="212"/>
      <c r="J343" s="212"/>
      <c r="K343" s="212"/>
    </row>
    <row r="344" spans="1:11" ht="12.75" customHeight="1">
      <c r="A344" s="212"/>
      <c r="B344" s="212"/>
      <c r="C344" s="212"/>
      <c r="D344" s="212"/>
      <c r="E344" s="212"/>
      <c r="F344" s="212"/>
      <c r="G344" s="212"/>
      <c r="H344" s="212"/>
      <c r="J344" s="212"/>
      <c r="K344" s="212"/>
    </row>
    <row r="345" spans="1:11" ht="12.75" customHeight="1">
      <c r="A345" s="212"/>
      <c r="B345" s="212"/>
      <c r="C345" s="212"/>
      <c r="D345" s="212"/>
      <c r="E345" s="212"/>
      <c r="F345" s="212"/>
      <c r="G345" s="212"/>
      <c r="H345" s="212"/>
      <c r="J345" s="212"/>
      <c r="K345" s="212"/>
    </row>
    <row r="346" spans="1:11" ht="12.75" customHeight="1">
      <c r="A346" s="212"/>
      <c r="B346" s="212"/>
      <c r="C346" s="212"/>
      <c r="D346" s="212"/>
      <c r="E346" s="212"/>
      <c r="F346" s="212"/>
      <c r="G346" s="212"/>
      <c r="H346" s="212"/>
      <c r="J346" s="212"/>
      <c r="K346" s="212"/>
    </row>
    <row r="347" spans="1:11" ht="12.75" customHeight="1">
      <c r="A347" s="212"/>
      <c r="B347" s="212"/>
      <c r="C347" s="212"/>
      <c r="D347" s="212"/>
      <c r="E347" s="212"/>
      <c r="F347" s="212"/>
      <c r="G347" s="212"/>
      <c r="H347" s="212"/>
      <c r="J347" s="212"/>
      <c r="K347" s="212"/>
    </row>
    <row r="348" spans="1:11" ht="12.75" customHeight="1">
      <c r="A348" s="212"/>
      <c r="B348" s="212"/>
      <c r="C348" s="212"/>
      <c r="D348" s="212"/>
      <c r="E348" s="212"/>
      <c r="F348" s="212"/>
      <c r="G348" s="212"/>
      <c r="H348" s="212"/>
      <c r="J348" s="212"/>
      <c r="K348" s="212"/>
    </row>
    <row r="349" spans="1:11" ht="12.75" customHeight="1">
      <c r="A349" s="212"/>
      <c r="B349" s="212"/>
      <c r="C349" s="212"/>
      <c r="D349" s="212"/>
      <c r="E349" s="212"/>
      <c r="F349" s="212"/>
      <c r="G349" s="212"/>
      <c r="H349" s="212"/>
      <c r="J349" s="212"/>
      <c r="K349" s="212"/>
    </row>
    <row r="350" spans="1:11" ht="12.75" customHeight="1">
      <c r="A350" s="212"/>
      <c r="B350" s="212"/>
      <c r="C350" s="212"/>
      <c r="D350" s="212"/>
      <c r="E350" s="212"/>
      <c r="F350" s="212"/>
      <c r="G350" s="212"/>
      <c r="H350" s="212"/>
      <c r="J350" s="212"/>
      <c r="K350" s="212"/>
    </row>
    <row r="351" spans="1:11" ht="12.75" customHeight="1">
      <c r="A351" s="212"/>
      <c r="B351" s="212"/>
      <c r="C351" s="212"/>
      <c r="D351" s="212"/>
      <c r="E351" s="212"/>
      <c r="F351" s="212"/>
      <c r="G351" s="212"/>
      <c r="H351" s="212"/>
      <c r="J351" s="212"/>
      <c r="K351" s="212"/>
    </row>
    <row r="352" spans="1:11" ht="12.75" customHeight="1">
      <c r="A352" s="212"/>
      <c r="B352" s="212"/>
      <c r="C352" s="212"/>
      <c r="D352" s="212"/>
      <c r="E352" s="212"/>
      <c r="F352" s="212"/>
      <c r="G352" s="212"/>
      <c r="H352" s="212"/>
      <c r="J352" s="212"/>
      <c r="K352" s="212"/>
    </row>
    <row r="353" spans="1:11" ht="12.75" customHeight="1">
      <c r="A353" s="212"/>
      <c r="B353" s="212"/>
      <c r="C353" s="212"/>
      <c r="D353" s="212"/>
      <c r="E353" s="212"/>
      <c r="F353" s="212"/>
      <c r="G353" s="212"/>
      <c r="H353" s="212"/>
      <c r="J353" s="212"/>
      <c r="K353" s="212"/>
    </row>
    <row r="354" spans="1:11" ht="12.75" customHeight="1">
      <c r="A354" s="212"/>
      <c r="B354" s="212"/>
      <c r="C354" s="212"/>
      <c r="D354" s="212"/>
      <c r="E354" s="212"/>
      <c r="F354" s="212"/>
      <c r="G354" s="212"/>
      <c r="H354" s="212"/>
      <c r="J354" s="212"/>
      <c r="K354" s="212"/>
    </row>
    <row r="355" spans="1:11" ht="12.75" customHeight="1">
      <c r="A355" s="212"/>
      <c r="B355" s="212"/>
      <c r="C355" s="212"/>
      <c r="D355" s="212"/>
      <c r="E355" s="212"/>
      <c r="F355" s="212"/>
      <c r="G355" s="212"/>
      <c r="H355" s="212"/>
      <c r="J355" s="212"/>
      <c r="K355" s="212"/>
    </row>
    <row r="356" spans="1:11" ht="12.75" customHeight="1">
      <c r="A356" s="212"/>
      <c r="B356" s="212"/>
      <c r="C356" s="212"/>
      <c r="D356" s="212"/>
      <c r="E356" s="212"/>
      <c r="F356" s="212"/>
      <c r="G356" s="212"/>
      <c r="H356" s="212"/>
      <c r="J356" s="212"/>
      <c r="K356" s="212"/>
    </row>
    <row r="357" spans="1:11" ht="12.75" customHeight="1">
      <c r="A357" s="212"/>
      <c r="B357" s="212"/>
      <c r="C357" s="212"/>
      <c r="D357" s="212"/>
      <c r="E357" s="212"/>
      <c r="F357" s="212"/>
      <c r="G357" s="212"/>
      <c r="H357" s="212"/>
      <c r="J357" s="212"/>
      <c r="K357" s="212"/>
    </row>
    <row r="358" spans="1:11" ht="12.75" customHeight="1">
      <c r="A358" s="212"/>
      <c r="B358" s="212"/>
      <c r="C358" s="212"/>
      <c r="D358" s="212"/>
      <c r="E358" s="212"/>
      <c r="F358" s="212"/>
      <c r="G358" s="212"/>
      <c r="H358" s="212"/>
      <c r="J358" s="212"/>
      <c r="K358" s="212"/>
    </row>
    <row r="359" spans="1:11" ht="12.75" customHeight="1">
      <c r="A359" s="212"/>
      <c r="B359" s="212"/>
      <c r="C359" s="212"/>
      <c r="D359" s="212"/>
      <c r="E359" s="212"/>
      <c r="F359" s="212"/>
      <c r="G359" s="212"/>
      <c r="H359" s="212"/>
      <c r="J359" s="212"/>
      <c r="K359" s="212"/>
    </row>
    <row r="360" spans="1:11" ht="12.75" customHeight="1">
      <c r="A360" s="212"/>
      <c r="B360" s="212"/>
      <c r="C360" s="212"/>
      <c r="D360" s="212"/>
      <c r="E360" s="212"/>
      <c r="F360" s="212"/>
      <c r="G360" s="212"/>
      <c r="H360" s="212"/>
      <c r="J360" s="212"/>
      <c r="K360" s="212"/>
    </row>
    <row r="361" spans="1:11" ht="12.75" customHeight="1">
      <c r="A361" s="212"/>
      <c r="B361" s="212"/>
      <c r="C361" s="212"/>
      <c r="D361" s="212"/>
      <c r="E361" s="212"/>
      <c r="F361" s="212"/>
      <c r="G361" s="212"/>
      <c r="H361" s="212"/>
      <c r="J361" s="212"/>
      <c r="K361" s="212"/>
    </row>
    <row r="362" spans="1:11" ht="12.75" customHeight="1">
      <c r="A362" s="212"/>
      <c r="B362" s="212"/>
      <c r="C362" s="212"/>
      <c r="D362" s="212"/>
      <c r="E362" s="212"/>
      <c r="F362" s="212"/>
      <c r="G362" s="212"/>
      <c r="H362" s="212"/>
      <c r="J362" s="212"/>
      <c r="K362" s="212"/>
    </row>
    <row r="363" spans="1:11" ht="12.75" customHeight="1">
      <c r="A363" s="212"/>
      <c r="B363" s="212"/>
      <c r="C363" s="212"/>
      <c r="D363" s="212"/>
      <c r="E363" s="212"/>
      <c r="F363" s="212"/>
      <c r="G363" s="212"/>
      <c r="H363" s="212"/>
      <c r="J363" s="212"/>
      <c r="K363" s="212"/>
    </row>
    <row r="364" spans="1:11" ht="12.75" customHeight="1">
      <c r="A364" s="212"/>
      <c r="B364" s="212"/>
      <c r="C364" s="212"/>
      <c r="D364" s="212"/>
      <c r="E364" s="212"/>
      <c r="F364" s="212"/>
      <c r="G364" s="212"/>
      <c r="H364" s="212"/>
      <c r="J364" s="212"/>
      <c r="K364" s="212"/>
    </row>
    <row r="365" spans="1:11" ht="12.75" customHeight="1">
      <c r="A365" s="212"/>
      <c r="B365" s="212"/>
      <c r="C365" s="212"/>
      <c r="D365" s="212"/>
      <c r="E365" s="212"/>
      <c r="F365" s="212"/>
      <c r="G365" s="212"/>
      <c r="H365" s="212"/>
      <c r="J365" s="212"/>
      <c r="K365" s="212"/>
    </row>
    <row r="366" spans="1:11" ht="12.75" customHeight="1">
      <c r="A366" s="212"/>
      <c r="B366" s="212"/>
      <c r="C366" s="212"/>
      <c r="D366" s="212"/>
      <c r="E366" s="212"/>
      <c r="F366" s="212"/>
      <c r="G366" s="212"/>
      <c r="H366" s="212"/>
      <c r="J366" s="212"/>
      <c r="K366" s="212"/>
    </row>
    <row r="367" spans="1:11" ht="12.75" customHeight="1">
      <c r="A367" s="212"/>
      <c r="B367" s="212"/>
      <c r="C367" s="212"/>
      <c r="D367" s="212"/>
      <c r="E367" s="212"/>
      <c r="F367" s="212"/>
      <c r="G367" s="212"/>
      <c r="H367" s="212"/>
      <c r="J367" s="212"/>
      <c r="K367" s="212"/>
    </row>
    <row r="368" spans="1:11" ht="12.75" customHeight="1">
      <c r="A368" s="212"/>
      <c r="B368" s="212"/>
      <c r="C368" s="212"/>
      <c r="D368" s="212"/>
      <c r="E368" s="212"/>
      <c r="F368" s="212"/>
      <c r="G368" s="212"/>
      <c r="H368" s="212"/>
      <c r="J368" s="212"/>
      <c r="K368" s="212"/>
    </row>
    <row r="369" spans="1:11" ht="12.75" customHeight="1">
      <c r="A369" s="212"/>
      <c r="B369" s="212"/>
      <c r="C369" s="212"/>
      <c r="D369" s="212"/>
      <c r="E369" s="212"/>
      <c r="F369" s="212"/>
      <c r="G369" s="212"/>
      <c r="H369" s="212"/>
      <c r="J369" s="212"/>
      <c r="K369" s="212"/>
    </row>
    <row r="370" spans="1:11" ht="12.75" customHeight="1">
      <c r="A370" s="212"/>
      <c r="B370" s="212"/>
      <c r="C370" s="212"/>
      <c r="D370" s="212"/>
      <c r="E370" s="212"/>
      <c r="F370" s="212"/>
      <c r="G370" s="212"/>
      <c r="H370" s="212"/>
      <c r="J370" s="212"/>
      <c r="K370" s="212"/>
    </row>
    <row r="371" spans="1:11" ht="12.75" customHeight="1">
      <c r="A371" s="212"/>
      <c r="B371" s="212"/>
      <c r="C371" s="212"/>
      <c r="D371" s="212"/>
      <c r="E371" s="212"/>
      <c r="F371" s="212"/>
      <c r="G371" s="212"/>
      <c r="H371" s="212"/>
      <c r="J371" s="212"/>
      <c r="K371" s="212"/>
    </row>
    <row r="372" spans="1:11" ht="12.75" customHeight="1">
      <c r="A372" s="212"/>
      <c r="B372" s="212"/>
      <c r="C372" s="212"/>
      <c r="D372" s="212"/>
      <c r="E372" s="212"/>
      <c r="F372" s="212"/>
      <c r="G372" s="212"/>
      <c r="H372" s="212"/>
      <c r="J372" s="212"/>
      <c r="K372" s="212"/>
    </row>
    <row r="373" spans="1:11" ht="12.75" customHeight="1">
      <c r="A373" s="212"/>
      <c r="B373" s="212"/>
      <c r="C373" s="212"/>
      <c r="D373" s="212"/>
      <c r="E373" s="212"/>
      <c r="F373" s="212"/>
      <c r="G373" s="212"/>
      <c r="H373" s="212"/>
      <c r="J373" s="212"/>
      <c r="K373" s="212"/>
    </row>
    <row r="374" spans="1:11" ht="12.75" customHeight="1">
      <c r="A374" s="212"/>
      <c r="B374" s="212"/>
      <c r="C374" s="212"/>
      <c r="D374" s="212"/>
      <c r="E374" s="212"/>
      <c r="F374" s="212"/>
      <c r="G374" s="212"/>
      <c r="H374" s="212"/>
      <c r="J374" s="212"/>
      <c r="K374" s="212"/>
    </row>
    <row r="375" spans="1:11" ht="12.75" customHeight="1">
      <c r="A375" s="212"/>
      <c r="B375" s="212"/>
      <c r="C375" s="212"/>
      <c r="D375" s="212"/>
      <c r="E375" s="212"/>
      <c r="F375" s="212"/>
      <c r="G375" s="212"/>
      <c r="H375" s="212"/>
      <c r="J375" s="212"/>
      <c r="K375" s="212"/>
    </row>
    <row r="376" spans="1:11" ht="12.75" customHeight="1">
      <c r="A376" s="212"/>
      <c r="B376" s="212"/>
      <c r="C376" s="212"/>
      <c r="D376" s="212"/>
      <c r="E376" s="212"/>
      <c r="F376" s="212"/>
      <c r="G376" s="212"/>
      <c r="H376" s="212"/>
      <c r="J376" s="212"/>
      <c r="K376" s="212"/>
    </row>
    <row r="377" spans="1:11" ht="12.75" customHeight="1">
      <c r="A377" s="212"/>
      <c r="B377" s="212"/>
      <c r="C377" s="212"/>
      <c r="D377" s="212"/>
      <c r="E377" s="212"/>
      <c r="F377" s="212"/>
      <c r="G377" s="212"/>
      <c r="H377" s="212"/>
      <c r="J377" s="212"/>
      <c r="K377" s="212"/>
    </row>
    <row r="378" spans="1:11" ht="12.75" customHeight="1">
      <c r="A378" s="212"/>
      <c r="B378" s="212"/>
      <c r="C378" s="212"/>
      <c r="D378" s="212"/>
      <c r="E378" s="212"/>
      <c r="F378" s="212"/>
      <c r="G378" s="212"/>
      <c r="H378" s="212"/>
      <c r="J378" s="212"/>
      <c r="K378" s="212"/>
    </row>
    <row r="379" spans="1:11" ht="12.75" customHeight="1">
      <c r="A379" s="212"/>
      <c r="B379" s="212"/>
      <c r="C379" s="212"/>
      <c r="D379" s="212"/>
      <c r="E379" s="212"/>
      <c r="F379" s="212"/>
      <c r="G379" s="212"/>
      <c r="H379" s="212"/>
      <c r="J379" s="212"/>
      <c r="K379" s="212"/>
    </row>
    <row r="380" spans="1:11" ht="12.75" customHeight="1">
      <c r="A380" s="212"/>
      <c r="B380" s="212"/>
      <c r="C380" s="212"/>
      <c r="D380" s="212"/>
      <c r="E380" s="212"/>
      <c r="F380" s="212"/>
      <c r="G380" s="212"/>
      <c r="H380" s="212"/>
      <c r="J380" s="212"/>
      <c r="K380" s="212"/>
    </row>
    <row r="381" spans="1:11" ht="12.75" customHeight="1">
      <c r="A381" s="212"/>
      <c r="B381" s="212"/>
      <c r="C381" s="212"/>
      <c r="D381" s="212"/>
      <c r="E381" s="212"/>
      <c r="F381" s="212"/>
      <c r="G381" s="212"/>
      <c r="H381" s="212"/>
      <c r="J381" s="212"/>
      <c r="K381" s="212"/>
    </row>
    <row r="382" spans="1:11" ht="12.75" customHeight="1">
      <c r="A382" s="212"/>
      <c r="B382" s="212"/>
      <c r="C382" s="212"/>
      <c r="D382" s="212"/>
      <c r="E382" s="212"/>
      <c r="F382" s="212"/>
      <c r="G382" s="212"/>
      <c r="H382" s="212"/>
      <c r="J382" s="212"/>
      <c r="K382" s="212"/>
    </row>
    <row r="383" spans="1:11" ht="12.75" customHeight="1">
      <c r="A383" s="212"/>
      <c r="B383" s="212"/>
      <c r="C383" s="212"/>
      <c r="D383" s="212"/>
      <c r="E383" s="212"/>
      <c r="F383" s="212"/>
      <c r="G383" s="212"/>
      <c r="H383" s="212"/>
      <c r="J383" s="212"/>
      <c r="K383" s="212"/>
    </row>
    <row r="384" spans="1:11" ht="12.75" customHeight="1">
      <c r="A384" s="212"/>
      <c r="B384" s="212"/>
      <c r="C384" s="212"/>
      <c r="D384" s="212"/>
      <c r="E384" s="212"/>
      <c r="F384" s="212"/>
      <c r="G384" s="212"/>
      <c r="H384" s="212"/>
      <c r="J384" s="212"/>
      <c r="K384" s="212"/>
    </row>
    <row r="385" spans="1:11" ht="12.75" customHeight="1">
      <c r="A385" s="212"/>
      <c r="B385" s="212"/>
      <c r="C385" s="212"/>
      <c r="D385" s="212"/>
      <c r="E385" s="212"/>
      <c r="F385" s="212"/>
      <c r="G385" s="212"/>
      <c r="H385" s="212"/>
      <c r="J385" s="212"/>
      <c r="K385" s="212"/>
    </row>
    <row r="386" spans="1:11" ht="12.75" customHeight="1">
      <c r="A386" s="212"/>
      <c r="B386" s="212"/>
      <c r="C386" s="212"/>
      <c r="D386" s="212"/>
      <c r="E386" s="212"/>
      <c r="F386" s="212"/>
      <c r="G386" s="212"/>
      <c r="H386" s="212"/>
      <c r="J386" s="212"/>
      <c r="K386" s="212"/>
    </row>
    <row r="387" spans="1:11" ht="12.75" customHeight="1">
      <c r="A387" s="212"/>
      <c r="B387" s="212"/>
      <c r="C387" s="212"/>
      <c r="D387" s="212"/>
      <c r="E387" s="212"/>
      <c r="F387" s="212"/>
      <c r="G387" s="212"/>
      <c r="H387" s="212"/>
      <c r="J387" s="212"/>
      <c r="K387" s="212"/>
    </row>
    <row r="388" spans="1:11" ht="12.75" customHeight="1">
      <c r="A388" s="212"/>
      <c r="B388" s="212"/>
      <c r="C388" s="212"/>
      <c r="D388" s="212"/>
      <c r="E388" s="212"/>
      <c r="F388" s="212"/>
      <c r="G388" s="212"/>
      <c r="H388" s="212"/>
      <c r="J388" s="212"/>
      <c r="K388" s="212"/>
    </row>
    <row r="389" spans="1:11" ht="12.75" customHeight="1">
      <c r="A389" s="212"/>
      <c r="B389" s="212"/>
      <c r="C389" s="212"/>
      <c r="D389" s="212"/>
      <c r="E389" s="212"/>
      <c r="F389" s="212"/>
      <c r="G389" s="212"/>
      <c r="H389" s="212"/>
      <c r="J389" s="212"/>
      <c r="K389" s="212"/>
    </row>
    <row r="390" spans="1:11" ht="12.75" customHeight="1">
      <c r="A390" s="212"/>
      <c r="B390" s="212"/>
      <c r="C390" s="212"/>
      <c r="D390" s="212"/>
      <c r="E390" s="212"/>
      <c r="F390" s="212"/>
      <c r="G390" s="212"/>
      <c r="H390" s="212"/>
      <c r="J390" s="212"/>
      <c r="K390" s="212"/>
    </row>
    <row r="391" spans="1:11" ht="12.75" customHeight="1">
      <c r="A391" s="212"/>
      <c r="B391" s="212"/>
      <c r="C391" s="212"/>
      <c r="D391" s="212"/>
      <c r="E391" s="212"/>
      <c r="F391" s="212"/>
      <c r="G391" s="212"/>
      <c r="H391" s="212"/>
      <c r="J391" s="212"/>
      <c r="K391" s="212"/>
    </row>
    <row r="392" spans="1:11" ht="12.75" customHeight="1">
      <c r="A392" s="212"/>
      <c r="B392" s="212"/>
      <c r="C392" s="212"/>
      <c r="D392" s="212"/>
      <c r="E392" s="212"/>
      <c r="F392" s="212"/>
      <c r="G392" s="212"/>
      <c r="H392" s="212"/>
      <c r="J392" s="212"/>
      <c r="K392" s="212"/>
    </row>
    <row r="393" spans="1:11" ht="12.75" customHeight="1">
      <c r="A393" s="212"/>
      <c r="B393" s="212"/>
      <c r="C393" s="212"/>
      <c r="D393" s="212"/>
      <c r="E393" s="212"/>
      <c r="F393" s="212"/>
      <c r="G393" s="212"/>
      <c r="H393" s="212"/>
      <c r="J393" s="212"/>
      <c r="K393" s="212"/>
    </row>
    <row r="394" spans="1:11" ht="12.75" customHeight="1">
      <c r="A394" s="212"/>
      <c r="B394" s="212"/>
      <c r="C394" s="212"/>
      <c r="D394" s="212"/>
      <c r="E394" s="212"/>
      <c r="F394" s="212"/>
      <c r="G394" s="212"/>
      <c r="H394" s="212"/>
      <c r="J394" s="212"/>
      <c r="K394" s="212"/>
    </row>
    <row r="395" spans="1:11" ht="12.75" customHeight="1">
      <c r="A395" s="212"/>
      <c r="B395" s="212"/>
      <c r="C395" s="212"/>
      <c r="D395" s="212"/>
      <c r="E395" s="212"/>
      <c r="F395" s="212"/>
      <c r="G395" s="212"/>
      <c r="H395" s="212"/>
      <c r="J395" s="212"/>
      <c r="K395" s="212"/>
    </row>
    <row r="396" spans="1:11" ht="12.75" customHeight="1">
      <c r="A396" s="212"/>
      <c r="B396" s="212"/>
      <c r="C396" s="212"/>
      <c r="D396" s="212"/>
      <c r="E396" s="212"/>
      <c r="F396" s="212"/>
      <c r="G396" s="212"/>
      <c r="H396" s="212"/>
      <c r="J396" s="212"/>
      <c r="K396" s="212"/>
    </row>
    <row r="397" spans="1:11" ht="12.75" customHeight="1">
      <c r="A397" s="212"/>
      <c r="B397" s="212"/>
      <c r="C397" s="212"/>
      <c r="D397" s="212"/>
      <c r="E397" s="212"/>
      <c r="F397" s="212"/>
      <c r="G397" s="212"/>
      <c r="H397" s="212"/>
      <c r="J397" s="212"/>
      <c r="K397" s="212"/>
    </row>
    <row r="398" spans="1:11" ht="12.75" customHeight="1">
      <c r="A398" s="212"/>
      <c r="B398" s="212"/>
      <c r="C398" s="212"/>
      <c r="D398" s="212"/>
      <c r="E398" s="212"/>
      <c r="F398" s="212"/>
      <c r="G398" s="212"/>
      <c r="H398" s="212"/>
      <c r="J398" s="212"/>
      <c r="K398" s="212"/>
    </row>
    <row r="399" spans="1:11" ht="12.75" customHeight="1">
      <c r="A399" s="212"/>
      <c r="B399" s="212"/>
      <c r="C399" s="212"/>
      <c r="D399" s="212"/>
      <c r="E399" s="212"/>
      <c r="F399" s="212"/>
      <c r="G399" s="212"/>
      <c r="H399" s="212"/>
      <c r="J399" s="212"/>
      <c r="K399" s="212"/>
    </row>
    <row r="400" spans="1:11" ht="12.75" customHeight="1">
      <c r="A400" s="212"/>
      <c r="B400" s="212"/>
      <c r="C400" s="212"/>
      <c r="D400" s="212"/>
      <c r="E400" s="212"/>
      <c r="F400" s="212"/>
      <c r="G400" s="212"/>
      <c r="H400" s="212"/>
      <c r="J400" s="212"/>
      <c r="K400" s="212"/>
    </row>
    <row r="401" spans="1:11" ht="12.75" customHeight="1">
      <c r="A401" s="212"/>
      <c r="B401" s="212"/>
      <c r="C401" s="212"/>
      <c r="D401" s="212"/>
      <c r="E401" s="212"/>
      <c r="F401" s="212"/>
      <c r="G401" s="212"/>
      <c r="H401" s="212"/>
      <c r="J401" s="212"/>
      <c r="K401" s="212"/>
    </row>
    <row r="402" spans="1:11" ht="12.75" customHeight="1">
      <c r="A402" s="212"/>
      <c r="B402" s="212"/>
      <c r="C402" s="212"/>
      <c r="D402" s="212"/>
      <c r="E402" s="212"/>
      <c r="F402" s="212"/>
      <c r="G402" s="212"/>
      <c r="H402" s="212"/>
      <c r="J402" s="212"/>
      <c r="K402" s="212"/>
    </row>
    <row r="403" spans="1:11" ht="12.75" customHeight="1">
      <c r="A403" s="212"/>
      <c r="B403" s="212"/>
      <c r="C403" s="212"/>
      <c r="D403" s="212"/>
      <c r="E403" s="212"/>
      <c r="F403" s="212"/>
      <c r="G403" s="212"/>
      <c r="H403" s="212"/>
      <c r="J403" s="212"/>
      <c r="K403" s="212"/>
    </row>
    <row r="404" spans="1:11" ht="12.75" customHeight="1">
      <c r="A404" s="212"/>
      <c r="B404" s="212"/>
      <c r="C404" s="212"/>
      <c r="D404" s="212"/>
      <c r="E404" s="212"/>
      <c r="F404" s="212"/>
      <c r="G404" s="212"/>
      <c r="H404" s="212"/>
      <c r="J404" s="212"/>
      <c r="K404" s="212"/>
    </row>
    <row r="405" spans="1:11" ht="12.75" customHeight="1">
      <c r="A405" s="212"/>
      <c r="B405" s="212"/>
      <c r="C405" s="212"/>
      <c r="D405" s="212"/>
      <c r="E405" s="212"/>
      <c r="F405" s="212"/>
      <c r="G405" s="212"/>
      <c r="H405" s="212"/>
      <c r="J405" s="212"/>
      <c r="K405" s="212"/>
    </row>
    <row r="406" spans="1:11" ht="12.75" customHeight="1">
      <c r="A406" s="212"/>
      <c r="B406" s="212"/>
      <c r="C406" s="212"/>
      <c r="D406" s="212"/>
      <c r="E406" s="212"/>
      <c r="F406" s="212"/>
      <c r="G406" s="212"/>
      <c r="H406" s="212"/>
      <c r="J406" s="212"/>
      <c r="K406" s="212"/>
    </row>
    <row r="407" spans="1:11" ht="12.75" customHeight="1">
      <c r="A407" s="212"/>
      <c r="B407" s="212"/>
      <c r="C407" s="212"/>
      <c r="D407" s="212"/>
      <c r="E407" s="212"/>
      <c r="F407" s="212"/>
      <c r="G407" s="212"/>
      <c r="H407" s="212"/>
      <c r="J407" s="212"/>
      <c r="K407" s="212"/>
    </row>
    <row r="408" spans="1:11" ht="12.75" customHeight="1">
      <c r="A408" s="212"/>
      <c r="B408" s="212"/>
      <c r="C408" s="212"/>
      <c r="D408" s="212"/>
      <c r="E408" s="212"/>
      <c r="F408" s="212"/>
      <c r="G408" s="212"/>
      <c r="H408" s="212"/>
      <c r="J408" s="212"/>
      <c r="K408" s="212"/>
    </row>
    <row r="409" spans="1:11" ht="12.75" customHeight="1">
      <c r="A409" s="212"/>
      <c r="B409" s="212"/>
      <c r="C409" s="212"/>
      <c r="D409" s="212"/>
      <c r="E409" s="212"/>
      <c r="F409" s="212"/>
      <c r="G409" s="212"/>
      <c r="H409" s="212"/>
      <c r="J409" s="212"/>
      <c r="K409" s="212"/>
    </row>
    <row r="410" spans="1:11" ht="12.75" customHeight="1">
      <c r="A410" s="212"/>
      <c r="B410" s="212"/>
      <c r="C410" s="212"/>
      <c r="D410" s="212"/>
      <c r="E410" s="212"/>
      <c r="F410" s="212"/>
      <c r="G410" s="212"/>
      <c r="H410" s="212"/>
      <c r="J410" s="212"/>
      <c r="K410" s="212"/>
    </row>
    <row r="411" spans="1:11" ht="12.75" customHeight="1">
      <c r="A411" s="212"/>
      <c r="B411" s="212"/>
      <c r="C411" s="212"/>
      <c r="D411" s="212"/>
      <c r="E411" s="212"/>
      <c r="F411" s="212"/>
      <c r="G411" s="212"/>
      <c r="H411" s="212"/>
      <c r="J411" s="212"/>
      <c r="K411" s="212"/>
    </row>
    <row r="412" spans="1:11" ht="12.75" customHeight="1">
      <c r="A412" s="212"/>
      <c r="B412" s="212"/>
      <c r="C412" s="212"/>
      <c r="D412" s="212"/>
      <c r="E412" s="212"/>
      <c r="F412" s="212"/>
      <c r="G412" s="212"/>
      <c r="H412" s="212"/>
      <c r="J412" s="212"/>
      <c r="K412" s="212"/>
    </row>
    <row r="413" spans="1:11" ht="12.75" customHeight="1">
      <c r="A413" s="212"/>
      <c r="B413" s="212"/>
      <c r="C413" s="212"/>
      <c r="D413" s="212"/>
      <c r="E413" s="212"/>
      <c r="F413" s="212"/>
      <c r="G413" s="212"/>
      <c r="H413" s="212"/>
      <c r="J413" s="212"/>
      <c r="K413" s="212"/>
    </row>
    <row r="414" spans="1:11" ht="12.75" customHeight="1">
      <c r="A414" s="212"/>
      <c r="B414" s="212"/>
      <c r="C414" s="212"/>
      <c r="D414" s="212"/>
      <c r="E414" s="212"/>
      <c r="F414" s="212"/>
      <c r="G414" s="212"/>
      <c r="H414" s="212"/>
      <c r="J414" s="212"/>
      <c r="K414" s="212"/>
    </row>
    <row r="415" spans="1:11" ht="12.75" customHeight="1">
      <c r="A415" s="212"/>
      <c r="B415" s="212"/>
      <c r="C415" s="212"/>
      <c r="D415" s="212"/>
      <c r="E415" s="212"/>
      <c r="F415" s="212"/>
      <c r="G415" s="212"/>
      <c r="H415" s="212"/>
      <c r="J415" s="212"/>
      <c r="K415" s="212"/>
    </row>
    <row r="416" spans="1:11" ht="12.75" customHeight="1">
      <c r="A416" s="212"/>
      <c r="B416" s="212"/>
      <c r="C416" s="212"/>
      <c r="D416" s="212"/>
      <c r="E416" s="212"/>
      <c r="F416" s="212"/>
      <c r="G416" s="212"/>
      <c r="H416" s="212"/>
      <c r="J416" s="212"/>
      <c r="K416" s="212"/>
    </row>
    <row r="417" spans="1:11" ht="12.75" customHeight="1">
      <c r="A417" s="212"/>
      <c r="B417" s="212"/>
      <c r="C417" s="212"/>
      <c r="D417" s="212"/>
      <c r="E417" s="212"/>
      <c r="F417" s="212"/>
      <c r="G417" s="212"/>
      <c r="H417" s="212"/>
      <c r="J417" s="212"/>
      <c r="K417" s="212"/>
    </row>
    <row r="418" spans="1:11" ht="12.75" customHeight="1">
      <c r="A418" s="212"/>
      <c r="B418" s="212"/>
      <c r="C418" s="212"/>
      <c r="D418" s="212"/>
      <c r="E418" s="212"/>
      <c r="F418" s="212"/>
      <c r="G418" s="212"/>
      <c r="H418" s="212"/>
      <c r="J418" s="212"/>
      <c r="K418" s="212"/>
    </row>
    <row r="419" spans="1:11" ht="12.75" customHeight="1">
      <c r="A419" s="212"/>
      <c r="B419" s="212"/>
      <c r="C419" s="212"/>
      <c r="D419" s="212"/>
      <c r="E419" s="212"/>
      <c r="F419" s="212"/>
      <c r="G419" s="212"/>
      <c r="H419" s="212"/>
      <c r="J419" s="212"/>
      <c r="K419" s="212"/>
    </row>
    <row r="420" spans="1:11" ht="12.75" customHeight="1">
      <c r="A420" s="212"/>
      <c r="B420" s="212"/>
      <c r="C420" s="212"/>
      <c r="D420" s="212"/>
      <c r="E420" s="212"/>
      <c r="F420" s="212"/>
      <c r="G420" s="212"/>
      <c r="H420" s="212"/>
      <c r="J420" s="212"/>
      <c r="K420" s="212"/>
    </row>
    <row r="421" spans="1:11" ht="12.75" customHeight="1">
      <c r="A421" s="212"/>
      <c r="B421" s="212"/>
      <c r="C421" s="212"/>
      <c r="D421" s="212"/>
      <c r="E421" s="212"/>
      <c r="F421" s="212"/>
      <c r="G421" s="212"/>
      <c r="H421" s="212"/>
      <c r="J421" s="212"/>
      <c r="K421" s="212"/>
    </row>
    <row r="422" spans="1:11" ht="12.75" customHeight="1">
      <c r="A422" s="212"/>
      <c r="B422" s="212"/>
      <c r="C422" s="212"/>
      <c r="D422" s="212"/>
      <c r="E422" s="212"/>
      <c r="F422" s="212"/>
      <c r="G422" s="212"/>
      <c r="H422" s="212"/>
      <c r="J422" s="212"/>
      <c r="K422" s="212"/>
    </row>
    <row r="423" spans="1:11" ht="12.75" customHeight="1">
      <c r="A423" s="212"/>
      <c r="B423" s="212"/>
      <c r="C423" s="212"/>
      <c r="D423" s="212"/>
      <c r="E423" s="212"/>
      <c r="F423" s="212"/>
      <c r="G423" s="212"/>
      <c r="H423" s="212"/>
      <c r="J423" s="212"/>
      <c r="K423" s="212"/>
    </row>
    <row r="424" spans="1:11" ht="12.75" customHeight="1">
      <c r="A424" s="212"/>
      <c r="B424" s="212"/>
      <c r="C424" s="212"/>
      <c r="D424" s="212"/>
      <c r="E424" s="212"/>
      <c r="F424" s="212"/>
      <c r="G424" s="212"/>
      <c r="H424" s="212"/>
      <c r="J424" s="212"/>
      <c r="K424" s="212"/>
    </row>
    <row r="425" spans="1:11" ht="12.75" customHeight="1">
      <c r="A425" s="212"/>
      <c r="B425" s="212"/>
      <c r="C425" s="212"/>
      <c r="D425" s="212"/>
      <c r="E425" s="212"/>
      <c r="F425" s="212"/>
      <c r="G425" s="212"/>
      <c r="H425" s="212"/>
      <c r="J425" s="212"/>
      <c r="K425" s="212"/>
    </row>
    <row r="426" spans="1:11" ht="12.75" customHeight="1">
      <c r="A426" s="212"/>
      <c r="B426" s="212"/>
      <c r="C426" s="212"/>
      <c r="D426" s="212"/>
      <c r="E426" s="212"/>
      <c r="F426" s="212"/>
      <c r="G426" s="212"/>
      <c r="H426" s="212"/>
      <c r="J426" s="212"/>
      <c r="K426" s="212"/>
    </row>
    <row r="427" spans="1:11" ht="12.75" customHeight="1">
      <c r="A427" s="212"/>
      <c r="B427" s="212"/>
      <c r="C427" s="212"/>
      <c r="D427" s="212"/>
      <c r="E427" s="212"/>
      <c r="F427" s="212"/>
      <c r="G427" s="212"/>
      <c r="H427" s="212"/>
      <c r="J427" s="212"/>
      <c r="K427" s="212"/>
    </row>
    <row r="428" spans="1:11" ht="12.75" customHeight="1">
      <c r="A428" s="212"/>
      <c r="B428" s="212"/>
      <c r="C428" s="212"/>
      <c r="D428" s="212"/>
      <c r="E428" s="212"/>
      <c r="F428" s="212"/>
      <c r="G428" s="212"/>
      <c r="H428" s="212"/>
      <c r="J428" s="212"/>
      <c r="K428" s="212"/>
    </row>
    <row r="429" spans="1:11" ht="12.75" customHeight="1">
      <c r="A429" s="212"/>
      <c r="B429" s="212"/>
      <c r="C429" s="212"/>
      <c r="D429" s="212"/>
      <c r="E429" s="212"/>
      <c r="F429" s="212"/>
      <c r="G429" s="212"/>
      <c r="H429" s="212"/>
      <c r="J429" s="212"/>
      <c r="K429" s="212"/>
    </row>
    <row r="430" spans="1:11" ht="12.75" customHeight="1">
      <c r="A430" s="212"/>
      <c r="B430" s="212"/>
      <c r="C430" s="212"/>
      <c r="D430" s="212"/>
      <c r="E430" s="212"/>
      <c r="F430" s="212"/>
      <c r="G430" s="212"/>
      <c r="H430" s="212"/>
      <c r="J430" s="212"/>
      <c r="K430" s="212"/>
    </row>
    <row r="431" spans="1:11" ht="12.75" customHeight="1">
      <c r="A431" s="212"/>
      <c r="B431" s="212"/>
      <c r="C431" s="212"/>
      <c r="D431" s="212"/>
      <c r="E431" s="212"/>
      <c r="F431" s="212"/>
      <c r="G431" s="212"/>
      <c r="H431" s="212"/>
      <c r="J431" s="212"/>
      <c r="K431" s="212"/>
    </row>
    <row r="432" spans="1:11" ht="12.75" customHeight="1">
      <c r="A432" s="212"/>
      <c r="B432" s="212"/>
      <c r="C432" s="212"/>
      <c r="D432" s="212"/>
      <c r="E432" s="212"/>
      <c r="F432" s="212"/>
      <c r="G432" s="212"/>
      <c r="H432" s="212"/>
      <c r="J432" s="212"/>
      <c r="K432" s="212"/>
    </row>
    <row r="433" spans="1:11" ht="12.75" customHeight="1">
      <c r="A433" s="212"/>
      <c r="B433" s="212"/>
      <c r="C433" s="212"/>
      <c r="D433" s="212"/>
      <c r="E433" s="212"/>
      <c r="F433" s="212"/>
      <c r="G433" s="212"/>
      <c r="H433" s="212"/>
      <c r="J433" s="212"/>
      <c r="K433" s="212"/>
    </row>
    <row r="434" spans="1:11" ht="12.75" customHeight="1">
      <c r="A434" s="212"/>
      <c r="B434" s="212"/>
      <c r="C434" s="212"/>
      <c r="D434" s="212"/>
      <c r="E434" s="212"/>
      <c r="F434" s="212"/>
      <c r="G434" s="212"/>
      <c r="H434" s="212"/>
      <c r="J434" s="212"/>
      <c r="K434" s="212"/>
    </row>
    <row r="435" spans="1:11" ht="12.75" customHeight="1">
      <c r="A435" s="212"/>
      <c r="B435" s="212"/>
      <c r="C435" s="212"/>
      <c r="D435" s="212"/>
      <c r="E435" s="212"/>
      <c r="F435" s="212"/>
      <c r="G435" s="212"/>
      <c r="H435" s="212"/>
      <c r="J435" s="212"/>
      <c r="K435" s="212"/>
    </row>
    <row r="436" spans="1:11" ht="12.75" customHeight="1">
      <c r="A436" s="212"/>
      <c r="B436" s="212"/>
      <c r="C436" s="212"/>
      <c r="D436" s="212"/>
      <c r="E436" s="212"/>
      <c r="F436" s="212"/>
      <c r="G436" s="212"/>
      <c r="H436" s="212"/>
      <c r="J436" s="212"/>
      <c r="K436" s="212"/>
    </row>
    <row r="437" spans="1:11" ht="12.75" customHeight="1">
      <c r="A437" s="212"/>
      <c r="B437" s="212"/>
      <c r="C437" s="212"/>
      <c r="D437" s="212"/>
      <c r="E437" s="212"/>
      <c r="F437" s="212"/>
      <c r="G437" s="212"/>
      <c r="H437" s="212"/>
      <c r="J437" s="212"/>
      <c r="K437" s="212"/>
    </row>
    <row r="438" spans="1:11" ht="12.75" customHeight="1">
      <c r="A438" s="212"/>
      <c r="B438" s="212"/>
      <c r="C438" s="212"/>
      <c r="D438" s="212"/>
      <c r="E438" s="212"/>
      <c r="F438" s="212"/>
      <c r="G438" s="212"/>
      <c r="H438" s="212"/>
      <c r="J438" s="212"/>
      <c r="K438" s="212"/>
    </row>
    <row r="439" spans="1:11" ht="12.75" customHeight="1">
      <c r="A439" s="212"/>
      <c r="B439" s="212"/>
      <c r="C439" s="212"/>
      <c r="D439" s="212"/>
      <c r="E439" s="212"/>
      <c r="F439" s="212"/>
      <c r="G439" s="212"/>
      <c r="H439" s="212"/>
      <c r="J439" s="212"/>
      <c r="K439" s="212"/>
    </row>
    <row r="440" spans="1:11" ht="12.75" customHeight="1">
      <c r="A440" s="212"/>
      <c r="B440" s="212"/>
      <c r="C440" s="212"/>
      <c r="D440" s="212"/>
      <c r="E440" s="212"/>
      <c r="F440" s="212"/>
      <c r="G440" s="212"/>
      <c r="H440" s="212"/>
      <c r="J440" s="212"/>
      <c r="K440" s="212"/>
    </row>
    <row r="441" spans="1:11" ht="12.75" customHeight="1">
      <c r="A441" s="212"/>
      <c r="B441" s="212"/>
      <c r="C441" s="212"/>
      <c r="D441" s="212"/>
      <c r="E441" s="212"/>
      <c r="F441" s="212"/>
      <c r="G441" s="212"/>
      <c r="H441" s="212"/>
      <c r="J441" s="212"/>
      <c r="K441" s="212"/>
    </row>
    <row r="442" spans="1:11" ht="12.75" customHeight="1">
      <c r="A442" s="212"/>
      <c r="B442" s="212"/>
      <c r="C442" s="212"/>
      <c r="D442" s="212"/>
      <c r="E442" s="212"/>
      <c r="F442" s="212"/>
      <c r="G442" s="212"/>
      <c r="H442" s="212"/>
      <c r="J442" s="212"/>
      <c r="K442" s="212"/>
    </row>
    <row r="443" spans="1:11" ht="12.75" customHeight="1">
      <c r="A443" s="212"/>
      <c r="B443" s="212"/>
      <c r="C443" s="212"/>
      <c r="D443" s="212"/>
      <c r="E443" s="212"/>
      <c r="F443" s="212"/>
      <c r="G443" s="212"/>
      <c r="H443" s="212"/>
      <c r="J443" s="212"/>
      <c r="K443" s="212"/>
    </row>
    <row r="444" spans="1:11" ht="12.75" customHeight="1">
      <c r="A444" s="212"/>
      <c r="B444" s="212"/>
      <c r="C444" s="212"/>
      <c r="D444" s="212"/>
      <c r="E444" s="212"/>
      <c r="F444" s="212"/>
      <c r="G444" s="212"/>
      <c r="H444" s="212"/>
      <c r="J444" s="212"/>
      <c r="K444" s="212"/>
    </row>
    <row r="445" spans="1:11" ht="12.75" customHeight="1">
      <c r="A445" s="212"/>
      <c r="B445" s="212"/>
      <c r="C445" s="212"/>
      <c r="D445" s="212"/>
      <c r="E445" s="212"/>
      <c r="F445" s="212"/>
      <c r="G445" s="212"/>
      <c r="H445" s="212"/>
      <c r="J445" s="212"/>
      <c r="K445" s="212"/>
    </row>
    <row r="446" spans="1:11" ht="12.75" customHeight="1">
      <c r="A446" s="212"/>
      <c r="B446" s="212"/>
      <c r="C446" s="212"/>
      <c r="D446" s="212"/>
      <c r="E446" s="212"/>
      <c r="F446" s="212"/>
      <c r="G446" s="212"/>
      <c r="H446" s="212"/>
      <c r="J446" s="212"/>
      <c r="K446" s="212"/>
    </row>
    <row r="447" spans="1:11" ht="12.75" customHeight="1">
      <c r="A447" s="212"/>
      <c r="B447" s="212"/>
      <c r="C447" s="212"/>
      <c r="D447" s="212"/>
      <c r="E447" s="212"/>
      <c r="F447" s="212"/>
      <c r="G447" s="212"/>
      <c r="H447" s="212"/>
      <c r="J447" s="212"/>
      <c r="K447" s="212"/>
    </row>
    <row r="448" spans="1:11" ht="12.75" customHeight="1">
      <c r="A448" s="212"/>
      <c r="B448" s="212"/>
      <c r="C448" s="212"/>
      <c r="D448" s="212"/>
      <c r="E448" s="212"/>
      <c r="F448" s="212"/>
      <c r="G448" s="212"/>
      <c r="H448" s="212"/>
      <c r="J448" s="212"/>
      <c r="K448" s="212"/>
    </row>
    <row r="449" spans="1:11" ht="12.75" customHeight="1">
      <c r="A449" s="212"/>
      <c r="B449" s="212"/>
      <c r="C449" s="212"/>
      <c r="D449" s="212"/>
      <c r="E449" s="212"/>
      <c r="F449" s="212"/>
      <c r="G449" s="212"/>
      <c r="H449" s="212"/>
      <c r="J449" s="212"/>
      <c r="K449" s="212"/>
    </row>
    <row r="450" spans="1:11" ht="12.75" customHeight="1">
      <c r="A450" s="212"/>
      <c r="B450" s="212"/>
      <c r="C450" s="212"/>
      <c r="D450" s="212"/>
      <c r="E450" s="212"/>
      <c r="F450" s="212"/>
      <c r="G450" s="212"/>
      <c r="H450" s="212"/>
      <c r="J450" s="212"/>
      <c r="K450" s="212"/>
    </row>
    <row r="451" spans="1:11" ht="12.75" customHeight="1">
      <c r="A451" s="212"/>
      <c r="B451" s="212"/>
      <c r="C451" s="212"/>
      <c r="D451" s="212"/>
      <c r="E451" s="212"/>
      <c r="F451" s="212"/>
      <c r="G451" s="212"/>
      <c r="H451" s="212"/>
      <c r="J451" s="212"/>
      <c r="K451" s="212"/>
    </row>
    <row r="452" spans="1:11" ht="12.75" customHeight="1">
      <c r="A452" s="212"/>
      <c r="B452" s="212"/>
      <c r="C452" s="212"/>
      <c r="D452" s="212"/>
      <c r="E452" s="212"/>
      <c r="F452" s="212"/>
      <c r="G452" s="212"/>
      <c r="H452" s="212"/>
      <c r="J452" s="212"/>
      <c r="K452" s="212"/>
    </row>
    <row r="453" spans="1:11" ht="12.75" customHeight="1">
      <c r="A453" s="212"/>
      <c r="B453" s="212"/>
      <c r="C453" s="212"/>
      <c r="D453" s="212"/>
      <c r="E453" s="212"/>
      <c r="F453" s="212"/>
      <c r="G453" s="212"/>
      <c r="H453" s="212"/>
      <c r="J453" s="212"/>
      <c r="K453" s="212"/>
    </row>
    <row r="454" spans="1:11" ht="12.75" customHeight="1">
      <c r="A454" s="212"/>
      <c r="B454" s="212"/>
      <c r="C454" s="212"/>
      <c r="D454" s="212"/>
      <c r="E454" s="212"/>
      <c r="F454" s="212"/>
      <c r="G454" s="212"/>
      <c r="H454" s="212"/>
      <c r="J454" s="212"/>
      <c r="K454" s="212"/>
    </row>
    <row r="455" spans="1:11" ht="12.75" customHeight="1">
      <c r="A455" s="212"/>
      <c r="B455" s="212"/>
      <c r="C455" s="212"/>
      <c r="D455" s="212"/>
      <c r="E455" s="212"/>
      <c r="F455" s="212"/>
      <c r="G455" s="212"/>
      <c r="H455" s="212"/>
      <c r="J455" s="212"/>
      <c r="K455" s="212"/>
    </row>
    <row r="456" spans="1:11" ht="12.75" customHeight="1">
      <c r="A456" s="212"/>
      <c r="B456" s="212"/>
      <c r="C456" s="212"/>
      <c r="D456" s="212"/>
      <c r="E456" s="212"/>
      <c r="F456" s="212"/>
      <c r="G456" s="212"/>
      <c r="H456" s="212"/>
      <c r="J456" s="212"/>
      <c r="K456" s="212"/>
    </row>
    <row r="457" spans="1:11" ht="12.75" customHeight="1">
      <c r="A457" s="212"/>
      <c r="B457" s="212"/>
      <c r="C457" s="212"/>
      <c r="D457" s="212"/>
      <c r="E457" s="212"/>
      <c r="F457" s="212"/>
      <c r="G457" s="212"/>
      <c r="H457" s="212"/>
      <c r="J457" s="212"/>
      <c r="K457" s="212"/>
    </row>
    <row r="458" spans="1:11" ht="12.75" customHeight="1">
      <c r="A458" s="212"/>
      <c r="B458" s="212"/>
      <c r="C458" s="212"/>
      <c r="D458" s="212"/>
      <c r="E458" s="212"/>
      <c r="F458" s="212"/>
      <c r="G458" s="212"/>
      <c r="H458" s="212"/>
      <c r="J458" s="212"/>
      <c r="K458" s="212"/>
    </row>
    <row r="459" spans="1:11" ht="12.75" customHeight="1">
      <c r="A459" s="212"/>
      <c r="B459" s="212"/>
      <c r="C459" s="212"/>
      <c r="D459" s="212"/>
      <c r="E459" s="212"/>
      <c r="F459" s="212"/>
      <c r="G459" s="212"/>
      <c r="H459" s="212"/>
      <c r="J459" s="212"/>
      <c r="K459" s="212"/>
    </row>
    <row r="460" spans="1:11" ht="12.75" customHeight="1">
      <c r="A460" s="212"/>
      <c r="B460" s="212"/>
      <c r="C460" s="212"/>
      <c r="D460" s="212"/>
      <c r="E460" s="212"/>
      <c r="F460" s="212"/>
      <c r="G460" s="212"/>
      <c r="H460" s="212"/>
      <c r="J460" s="212"/>
      <c r="K460" s="212"/>
    </row>
    <row r="461" spans="1:11" ht="12.75" customHeight="1">
      <c r="A461" s="212"/>
      <c r="B461" s="212"/>
      <c r="C461" s="212"/>
      <c r="D461" s="212"/>
      <c r="E461" s="212"/>
      <c r="F461" s="212"/>
      <c r="G461" s="212"/>
      <c r="H461" s="212"/>
      <c r="J461" s="212"/>
      <c r="K461" s="212"/>
    </row>
    <row r="462" spans="1:11" ht="12.75" customHeight="1">
      <c r="A462" s="212"/>
      <c r="B462" s="212"/>
      <c r="C462" s="212"/>
      <c r="D462" s="212"/>
      <c r="E462" s="212"/>
      <c r="F462" s="212"/>
      <c r="G462" s="212"/>
      <c r="H462" s="212"/>
      <c r="J462" s="212"/>
      <c r="K462" s="212"/>
    </row>
    <row r="463" spans="1:11" ht="12.75" customHeight="1">
      <c r="A463" s="212"/>
      <c r="B463" s="212"/>
      <c r="C463" s="212"/>
      <c r="D463" s="212"/>
      <c r="E463" s="212"/>
      <c r="F463" s="212"/>
      <c r="G463" s="212"/>
      <c r="H463" s="212"/>
      <c r="J463" s="212"/>
      <c r="K463" s="212"/>
    </row>
    <row r="464" spans="1:11" ht="12.75" customHeight="1">
      <c r="A464" s="212"/>
      <c r="B464" s="212"/>
      <c r="C464" s="212"/>
      <c r="D464" s="212"/>
      <c r="E464" s="212"/>
      <c r="F464" s="212"/>
      <c r="G464" s="212"/>
      <c r="H464" s="212"/>
      <c r="J464" s="212"/>
      <c r="K464" s="212"/>
    </row>
    <row r="465" spans="1:11" ht="12.75" customHeight="1">
      <c r="A465" s="212"/>
      <c r="B465" s="212"/>
      <c r="C465" s="212"/>
      <c r="D465" s="212"/>
      <c r="E465" s="212"/>
      <c r="F465" s="212"/>
      <c r="G465" s="212"/>
      <c r="H465" s="212"/>
      <c r="J465" s="212"/>
      <c r="K465" s="212"/>
    </row>
    <row r="466" spans="1:11" ht="12.75" customHeight="1">
      <c r="A466" s="212"/>
      <c r="B466" s="212"/>
      <c r="C466" s="212"/>
      <c r="D466" s="212"/>
      <c r="E466" s="212"/>
      <c r="F466" s="212"/>
      <c r="G466" s="212"/>
      <c r="H466" s="212"/>
      <c r="J466" s="212"/>
      <c r="K466" s="212"/>
    </row>
    <row r="467" spans="1:11" ht="12.75" customHeight="1">
      <c r="A467" s="212"/>
      <c r="B467" s="212"/>
      <c r="C467" s="212"/>
      <c r="D467" s="212"/>
      <c r="E467" s="212"/>
      <c r="F467" s="212"/>
      <c r="G467" s="212"/>
      <c r="H467" s="212"/>
      <c r="J467" s="212"/>
      <c r="K467" s="212"/>
    </row>
    <row r="468" spans="1:11" ht="12.75" customHeight="1">
      <c r="A468" s="212"/>
      <c r="B468" s="212"/>
      <c r="C468" s="212"/>
      <c r="D468" s="212"/>
      <c r="E468" s="212"/>
      <c r="F468" s="212"/>
      <c r="G468" s="212"/>
      <c r="H468" s="212"/>
      <c r="J468" s="212"/>
      <c r="K468" s="212"/>
    </row>
    <row r="469" spans="1:11" ht="12.75" customHeight="1">
      <c r="A469" s="212"/>
      <c r="B469" s="212"/>
      <c r="C469" s="212"/>
      <c r="D469" s="212"/>
      <c r="E469" s="212"/>
      <c r="F469" s="212"/>
      <c r="G469" s="212"/>
      <c r="H469" s="212"/>
      <c r="J469" s="212"/>
      <c r="K469" s="212"/>
    </row>
    <row r="470" spans="1:11" ht="12.75" customHeight="1">
      <c r="A470" s="212"/>
      <c r="B470" s="212"/>
      <c r="C470" s="212"/>
      <c r="D470" s="212"/>
      <c r="E470" s="212"/>
      <c r="F470" s="212"/>
      <c r="G470" s="212"/>
      <c r="H470" s="212"/>
      <c r="J470" s="212"/>
      <c r="K470" s="212"/>
    </row>
    <row r="471" spans="1:11" ht="12.75" customHeight="1">
      <c r="A471" s="212"/>
      <c r="B471" s="212"/>
      <c r="C471" s="212"/>
      <c r="D471" s="212"/>
      <c r="E471" s="212"/>
      <c r="F471" s="212"/>
      <c r="G471" s="212"/>
      <c r="H471" s="212"/>
      <c r="J471" s="212"/>
      <c r="K471" s="212"/>
    </row>
    <row r="472" spans="1:11" ht="12.75" customHeight="1">
      <c r="A472" s="212"/>
      <c r="B472" s="212"/>
      <c r="C472" s="212"/>
      <c r="D472" s="212"/>
      <c r="E472" s="212"/>
      <c r="F472" s="212"/>
      <c r="G472" s="212"/>
      <c r="H472" s="212"/>
      <c r="J472" s="212"/>
      <c r="K472" s="212"/>
    </row>
    <row r="473" spans="1:11" ht="12.75" customHeight="1">
      <c r="A473" s="212"/>
      <c r="B473" s="212"/>
      <c r="C473" s="212"/>
      <c r="D473" s="212"/>
      <c r="E473" s="212"/>
      <c r="F473" s="212"/>
      <c r="G473" s="212"/>
      <c r="H473" s="212"/>
      <c r="J473" s="212"/>
      <c r="K473" s="212"/>
    </row>
    <row r="474" spans="1:11" ht="12.75" customHeight="1">
      <c r="A474" s="212"/>
      <c r="B474" s="212"/>
      <c r="C474" s="212"/>
      <c r="D474" s="212"/>
      <c r="E474" s="212"/>
      <c r="F474" s="212"/>
      <c r="G474" s="212"/>
      <c r="H474" s="212"/>
      <c r="J474" s="212"/>
      <c r="K474" s="212"/>
    </row>
    <row r="475" spans="1:11" ht="12.75" customHeight="1">
      <c r="A475" s="212"/>
      <c r="B475" s="212"/>
      <c r="C475" s="212"/>
      <c r="D475" s="212"/>
      <c r="E475" s="212"/>
      <c r="F475" s="212"/>
      <c r="G475" s="212"/>
      <c r="H475" s="212"/>
      <c r="J475" s="212"/>
      <c r="K475" s="212"/>
    </row>
    <row r="476" spans="1:11" ht="12.75" customHeight="1">
      <c r="A476" s="212"/>
      <c r="B476" s="212"/>
      <c r="C476" s="212"/>
      <c r="D476" s="212"/>
      <c r="E476" s="212"/>
      <c r="F476" s="212"/>
      <c r="G476" s="212"/>
      <c r="H476" s="212"/>
      <c r="J476" s="212"/>
      <c r="K476" s="212"/>
    </row>
    <row r="477" spans="1:11" ht="12.75" customHeight="1">
      <c r="A477" s="212"/>
      <c r="B477" s="212"/>
      <c r="C477" s="212"/>
      <c r="D477" s="212"/>
      <c r="E477" s="212"/>
      <c r="F477" s="212"/>
      <c r="G477" s="212"/>
      <c r="H477" s="212"/>
      <c r="J477" s="212"/>
      <c r="K477" s="212"/>
    </row>
    <row r="478" spans="1:11" ht="12.75" customHeight="1">
      <c r="A478" s="212"/>
      <c r="B478" s="212"/>
      <c r="C478" s="212"/>
      <c r="D478" s="212"/>
      <c r="E478" s="212"/>
      <c r="F478" s="212"/>
      <c r="G478" s="212"/>
      <c r="H478" s="212"/>
      <c r="J478" s="212"/>
      <c r="K478" s="212"/>
    </row>
    <row r="479" spans="1:11" ht="12.75" customHeight="1">
      <c r="A479" s="212"/>
      <c r="B479" s="212"/>
      <c r="C479" s="212"/>
      <c r="D479" s="212"/>
      <c r="E479" s="212"/>
      <c r="F479" s="212"/>
      <c r="G479" s="212"/>
      <c r="H479" s="212"/>
      <c r="J479" s="212"/>
      <c r="K479" s="212"/>
    </row>
    <row r="480" spans="1:11" ht="12.75" customHeight="1">
      <c r="A480" s="212"/>
      <c r="B480" s="212"/>
      <c r="C480" s="212"/>
      <c r="D480" s="212"/>
      <c r="E480" s="212"/>
      <c r="F480" s="212"/>
      <c r="G480" s="212"/>
      <c r="H480" s="212"/>
      <c r="J480" s="212"/>
      <c r="K480" s="212"/>
    </row>
    <row r="481" spans="1:11" ht="12.75" customHeight="1">
      <c r="A481" s="212"/>
      <c r="B481" s="212"/>
      <c r="C481" s="212"/>
      <c r="D481" s="212"/>
      <c r="E481" s="212"/>
      <c r="F481" s="212"/>
      <c r="G481" s="212"/>
      <c r="H481" s="212"/>
      <c r="J481" s="212"/>
      <c r="K481" s="212"/>
    </row>
    <row r="482" spans="1:11" ht="12.75" customHeight="1">
      <c r="A482" s="212"/>
      <c r="B482" s="212"/>
      <c r="C482" s="212"/>
      <c r="D482" s="212"/>
      <c r="E482" s="212"/>
      <c r="F482" s="212"/>
      <c r="G482" s="212"/>
      <c r="H482" s="212"/>
      <c r="J482" s="212"/>
      <c r="K482" s="212"/>
    </row>
    <row r="483" spans="1:11" ht="12.75" customHeight="1">
      <c r="A483" s="212"/>
      <c r="B483" s="212"/>
      <c r="C483" s="212"/>
      <c r="D483" s="212"/>
      <c r="E483" s="212"/>
      <c r="F483" s="212"/>
      <c r="G483" s="212"/>
      <c r="H483" s="212"/>
      <c r="J483" s="212"/>
      <c r="K483" s="212"/>
    </row>
    <row r="484" spans="1:11" ht="12.75" customHeight="1">
      <c r="A484" s="212"/>
      <c r="B484" s="212"/>
      <c r="C484" s="212"/>
      <c r="D484" s="212"/>
      <c r="E484" s="212"/>
      <c r="F484" s="212"/>
      <c r="G484" s="212"/>
      <c r="H484" s="212"/>
      <c r="J484" s="212"/>
      <c r="K484" s="212"/>
    </row>
    <row r="485" spans="1:11" ht="12.75" customHeight="1">
      <c r="A485" s="212"/>
      <c r="B485" s="212"/>
      <c r="C485" s="212"/>
      <c r="D485" s="212"/>
      <c r="E485" s="212"/>
      <c r="F485" s="212"/>
      <c r="G485" s="212"/>
      <c r="H485" s="212"/>
      <c r="J485" s="212"/>
      <c r="K485" s="212"/>
    </row>
    <row r="486" spans="1:11" ht="12.75" customHeight="1">
      <c r="A486" s="212"/>
      <c r="B486" s="212"/>
      <c r="C486" s="212"/>
      <c r="D486" s="212"/>
      <c r="E486" s="212"/>
      <c r="F486" s="212"/>
      <c r="G486" s="212"/>
      <c r="H486" s="212"/>
      <c r="J486" s="212"/>
      <c r="K486" s="212"/>
    </row>
    <row r="487" spans="1:11" ht="12.75" customHeight="1">
      <c r="A487" s="212"/>
      <c r="B487" s="212"/>
      <c r="C487" s="212"/>
      <c r="D487" s="212"/>
      <c r="E487" s="212"/>
      <c r="F487" s="212"/>
      <c r="G487" s="212"/>
      <c r="H487" s="212"/>
      <c r="J487" s="212"/>
      <c r="K487" s="212"/>
    </row>
    <row r="488" spans="1:11" ht="12.75" customHeight="1">
      <c r="A488" s="212"/>
      <c r="B488" s="212"/>
      <c r="C488" s="212"/>
      <c r="D488" s="212"/>
      <c r="E488" s="212"/>
      <c r="F488" s="212"/>
      <c r="G488" s="212"/>
      <c r="H488" s="212"/>
      <c r="J488" s="212"/>
      <c r="K488" s="212"/>
    </row>
    <row r="489" spans="1:11" ht="12.75" customHeight="1">
      <c r="A489" s="212"/>
      <c r="B489" s="212"/>
      <c r="C489" s="212"/>
      <c r="D489" s="212"/>
      <c r="E489" s="212"/>
      <c r="F489" s="212"/>
      <c r="G489" s="212"/>
      <c r="H489" s="212"/>
      <c r="J489" s="212"/>
      <c r="K489" s="212"/>
    </row>
    <row r="490" spans="1:11" ht="12.75" customHeight="1">
      <c r="A490" s="212"/>
      <c r="B490" s="212"/>
      <c r="C490" s="212"/>
      <c r="D490" s="212"/>
      <c r="E490" s="212"/>
      <c r="F490" s="212"/>
      <c r="G490" s="212"/>
      <c r="H490" s="212"/>
      <c r="J490" s="212"/>
      <c r="K490" s="212"/>
    </row>
    <row r="491" spans="1:11" ht="12.75" customHeight="1">
      <c r="A491" s="212"/>
      <c r="B491" s="212"/>
      <c r="C491" s="212"/>
      <c r="D491" s="212"/>
      <c r="E491" s="212"/>
      <c r="F491" s="212"/>
      <c r="G491" s="212"/>
      <c r="H491" s="212"/>
      <c r="J491" s="212"/>
      <c r="K491" s="212"/>
    </row>
    <row r="492" spans="1:11" ht="12.75" customHeight="1">
      <c r="A492" s="212"/>
      <c r="B492" s="212"/>
      <c r="C492" s="212"/>
      <c r="D492" s="212"/>
      <c r="E492" s="212"/>
      <c r="F492" s="212"/>
      <c r="G492" s="212"/>
      <c r="H492" s="212"/>
      <c r="J492" s="212"/>
      <c r="K492" s="212"/>
    </row>
    <row r="493" spans="1:11" ht="12.75" customHeight="1">
      <c r="A493" s="212"/>
      <c r="B493" s="212"/>
      <c r="C493" s="212"/>
      <c r="D493" s="212"/>
      <c r="E493" s="212"/>
      <c r="F493" s="212"/>
      <c r="G493" s="212"/>
      <c r="H493" s="212"/>
      <c r="J493" s="212"/>
      <c r="K493" s="212"/>
    </row>
    <row r="494" spans="1:11" ht="12.75" customHeight="1">
      <c r="A494" s="212"/>
      <c r="B494" s="212"/>
      <c r="C494" s="212"/>
      <c r="D494" s="212"/>
      <c r="E494" s="212"/>
      <c r="F494" s="212"/>
      <c r="G494" s="212"/>
      <c r="H494" s="212"/>
      <c r="J494" s="212"/>
      <c r="K494" s="212"/>
    </row>
    <row r="495" spans="1:11" ht="12.75" customHeight="1">
      <c r="A495" s="212"/>
      <c r="B495" s="212"/>
      <c r="C495" s="212"/>
      <c r="D495" s="212"/>
      <c r="E495" s="212"/>
      <c r="F495" s="212"/>
      <c r="G495" s="212"/>
      <c r="H495" s="212"/>
      <c r="J495" s="212"/>
      <c r="K495" s="212"/>
    </row>
    <row r="496" spans="1:11" ht="12.75" customHeight="1">
      <c r="A496" s="212"/>
      <c r="B496" s="212"/>
      <c r="C496" s="212"/>
      <c r="D496" s="212"/>
      <c r="E496" s="212"/>
      <c r="F496" s="212"/>
      <c r="G496" s="212"/>
      <c r="H496" s="212"/>
      <c r="J496" s="212"/>
      <c r="K496" s="212"/>
    </row>
    <row r="497" spans="1:11" ht="12.75" customHeight="1">
      <c r="A497" s="212"/>
      <c r="B497" s="212"/>
      <c r="C497" s="212"/>
      <c r="D497" s="212"/>
      <c r="E497" s="212"/>
      <c r="F497" s="212"/>
      <c r="G497" s="212"/>
      <c r="H497" s="212"/>
      <c r="J497" s="212"/>
      <c r="K497" s="212"/>
    </row>
    <row r="498" spans="1:11" ht="12.75" customHeight="1">
      <c r="A498" s="212"/>
      <c r="B498" s="212"/>
      <c r="C498" s="212"/>
      <c r="D498" s="212"/>
      <c r="E498" s="212"/>
      <c r="F498" s="212"/>
      <c r="G498" s="212"/>
      <c r="H498" s="212"/>
      <c r="J498" s="212"/>
      <c r="K498" s="212"/>
    </row>
    <row r="499" spans="1:11" ht="12.75" customHeight="1">
      <c r="A499" s="212"/>
      <c r="B499" s="212"/>
      <c r="C499" s="212"/>
      <c r="D499" s="212"/>
      <c r="E499" s="212"/>
      <c r="F499" s="212"/>
      <c r="G499" s="212"/>
      <c r="H499" s="212"/>
      <c r="J499" s="212"/>
      <c r="K499" s="212"/>
    </row>
    <row r="500" spans="1:11" ht="12.75" customHeight="1">
      <c r="A500" s="212"/>
      <c r="B500" s="212"/>
      <c r="C500" s="212"/>
      <c r="D500" s="212"/>
      <c r="E500" s="212"/>
      <c r="F500" s="212"/>
      <c r="G500" s="212"/>
      <c r="H500" s="212"/>
      <c r="J500" s="212"/>
      <c r="K500" s="212"/>
    </row>
    <row r="501" spans="1:11" ht="12.75" customHeight="1">
      <c r="A501" s="212"/>
      <c r="B501" s="212"/>
      <c r="C501" s="212"/>
      <c r="D501" s="212"/>
      <c r="E501" s="212"/>
      <c r="F501" s="212"/>
      <c r="G501" s="212"/>
      <c r="H501" s="212"/>
      <c r="J501" s="212"/>
      <c r="K501" s="212"/>
    </row>
    <row r="502" spans="1:11" ht="12.75" customHeight="1">
      <c r="A502" s="212"/>
      <c r="B502" s="212"/>
      <c r="C502" s="212"/>
      <c r="D502" s="212"/>
      <c r="E502" s="212"/>
      <c r="F502" s="212"/>
      <c r="G502" s="212"/>
      <c r="H502" s="212"/>
      <c r="J502" s="212"/>
      <c r="K502" s="212"/>
    </row>
    <row r="503" spans="1:11" ht="12.75" customHeight="1">
      <c r="A503" s="212"/>
      <c r="B503" s="212"/>
      <c r="C503" s="212"/>
      <c r="D503" s="212"/>
      <c r="E503" s="212"/>
      <c r="F503" s="212"/>
      <c r="G503" s="212"/>
      <c r="H503" s="212"/>
      <c r="J503" s="212"/>
      <c r="K503" s="212"/>
    </row>
    <row r="504" spans="1:11" ht="12.75" customHeight="1">
      <c r="A504" s="212"/>
      <c r="B504" s="212"/>
      <c r="C504" s="212"/>
      <c r="D504" s="212"/>
      <c r="E504" s="212"/>
      <c r="F504" s="212"/>
      <c r="G504" s="212"/>
      <c r="H504" s="212"/>
      <c r="J504" s="212"/>
      <c r="K504" s="212"/>
    </row>
    <row r="505" spans="1:11" ht="12.75" customHeight="1">
      <c r="A505" s="212"/>
      <c r="B505" s="212"/>
      <c r="C505" s="212"/>
      <c r="D505" s="212"/>
      <c r="E505" s="212"/>
      <c r="F505" s="212"/>
      <c r="G505" s="212"/>
      <c r="H505" s="212"/>
      <c r="J505" s="212"/>
      <c r="K505" s="212"/>
    </row>
    <row r="506" spans="1:11" ht="12.75" customHeight="1">
      <c r="A506" s="212"/>
      <c r="B506" s="212"/>
      <c r="C506" s="212"/>
      <c r="D506" s="212"/>
      <c r="E506" s="212"/>
      <c r="F506" s="212"/>
      <c r="G506" s="212"/>
      <c r="H506" s="212"/>
      <c r="J506" s="212"/>
      <c r="K506" s="212"/>
    </row>
    <row r="507" spans="1:11" ht="12.75" customHeight="1">
      <c r="A507" s="212"/>
      <c r="B507" s="212"/>
      <c r="C507" s="212"/>
      <c r="D507" s="212"/>
      <c r="E507" s="212"/>
      <c r="F507" s="212"/>
      <c r="G507" s="212"/>
      <c r="H507" s="212"/>
      <c r="J507" s="212"/>
      <c r="K507" s="212"/>
    </row>
    <row r="508" spans="1:11" ht="12.75" customHeight="1">
      <c r="A508" s="212"/>
      <c r="B508" s="212"/>
      <c r="C508" s="212"/>
      <c r="D508" s="212"/>
      <c r="E508" s="212"/>
      <c r="F508" s="212"/>
      <c r="G508" s="212"/>
      <c r="H508" s="212"/>
      <c r="J508" s="212"/>
      <c r="K508" s="212"/>
    </row>
    <row r="509" spans="1:11" ht="12.75" customHeight="1">
      <c r="A509" s="212"/>
      <c r="B509" s="212"/>
      <c r="C509" s="212"/>
      <c r="D509" s="212"/>
      <c r="E509" s="212"/>
      <c r="F509" s="212"/>
      <c r="G509" s="212"/>
      <c r="H509" s="212"/>
      <c r="J509" s="212"/>
      <c r="K509" s="212"/>
    </row>
    <row r="510" spans="1:11" ht="12.75" customHeight="1">
      <c r="A510" s="212"/>
      <c r="B510" s="212"/>
      <c r="C510" s="212"/>
      <c r="D510" s="212"/>
      <c r="E510" s="212"/>
      <c r="F510" s="212"/>
      <c r="G510" s="212"/>
      <c r="H510" s="212"/>
      <c r="J510" s="212"/>
      <c r="K510" s="212"/>
    </row>
    <row r="511" spans="1:11" ht="12.75" customHeight="1">
      <c r="A511" s="212"/>
      <c r="B511" s="212"/>
      <c r="C511" s="212"/>
      <c r="D511" s="212"/>
      <c r="E511" s="212"/>
      <c r="F511" s="212"/>
      <c r="G511" s="212"/>
      <c r="H511" s="212"/>
      <c r="J511" s="212"/>
      <c r="K511" s="212"/>
    </row>
    <row r="512" spans="1:11" ht="12.75" customHeight="1">
      <c r="A512" s="212"/>
      <c r="B512" s="212"/>
      <c r="C512" s="212"/>
      <c r="D512" s="212"/>
      <c r="E512" s="212"/>
      <c r="F512" s="212"/>
      <c r="G512" s="212"/>
      <c r="H512" s="212"/>
      <c r="J512" s="212"/>
      <c r="K512" s="212"/>
    </row>
    <row r="513" spans="1:11" ht="12.75" customHeight="1">
      <c r="A513" s="212"/>
      <c r="B513" s="212"/>
      <c r="C513" s="212"/>
      <c r="D513" s="212"/>
      <c r="E513" s="212"/>
      <c r="F513" s="212"/>
      <c r="G513" s="212"/>
      <c r="H513" s="212"/>
      <c r="J513" s="212"/>
      <c r="K513" s="212"/>
    </row>
    <row r="514" spans="1:11" ht="12.75" customHeight="1">
      <c r="A514" s="212"/>
      <c r="B514" s="212"/>
      <c r="C514" s="212"/>
      <c r="D514" s="212"/>
      <c r="E514" s="212"/>
      <c r="F514" s="212"/>
      <c r="G514" s="212"/>
      <c r="H514" s="212"/>
      <c r="J514" s="212"/>
      <c r="K514" s="212"/>
    </row>
    <row r="515" spans="1:11" ht="12.75" customHeight="1">
      <c r="A515" s="212"/>
      <c r="B515" s="212"/>
      <c r="C515" s="212"/>
      <c r="D515" s="212"/>
      <c r="E515" s="212"/>
      <c r="F515" s="212"/>
      <c r="G515" s="212"/>
      <c r="H515" s="212"/>
      <c r="J515" s="212"/>
      <c r="K515" s="212"/>
    </row>
    <row r="516" spans="1:11" ht="12.75" customHeight="1">
      <c r="A516" s="212"/>
      <c r="B516" s="212"/>
      <c r="C516" s="212"/>
      <c r="D516" s="212"/>
      <c r="E516" s="212"/>
      <c r="F516" s="212"/>
      <c r="G516" s="212"/>
      <c r="H516" s="212"/>
      <c r="J516" s="212"/>
      <c r="K516" s="212"/>
    </row>
    <row r="517" spans="1:11" ht="12.75" customHeight="1">
      <c r="A517" s="212"/>
      <c r="B517" s="212"/>
      <c r="C517" s="212"/>
      <c r="D517" s="212"/>
      <c r="E517" s="212"/>
      <c r="F517" s="212"/>
      <c r="G517" s="212"/>
      <c r="H517" s="212"/>
      <c r="J517" s="212"/>
      <c r="K517" s="212"/>
    </row>
    <row r="518" spans="1:11" ht="12.75" customHeight="1">
      <c r="A518" s="212"/>
      <c r="B518" s="212"/>
      <c r="C518" s="212"/>
      <c r="D518" s="212"/>
      <c r="E518" s="212"/>
      <c r="F518" s="212"/>
      <c r="G518" s="212"/>
      <c r="H518" s="212"/>
      <c r="J518" s="212"/>
      <c r="K518" s="212"/>
    </row>
    <row r="519" spans="1:11" ht="12.75" customHeight="1">
      <c r="A519" s="212"/>
      <c r="B519" s="212"/>
      <c r="C519" s="212"/>
      <c r="D519" s="212"/>
      <c r="E519" s="212"/>
      <c r="F519" s="212"/>
      <c r="G519" s="212"/>
      <c r="H519" s="212"/>
      <c r="J519" s="212"/>
      <c r="K519" s="212"/>
    </row>
    <row r="520" spans="1:11" ht="12.75" customHeight="1">
      <c r="A520" s="212"/>
      <c r="B520" s="212"/>
      <c r="C520" s="212"/>
      <c r="D520" s="212"/>
      <c r="E520" s="212"/>
      <c r="F520" s="212"/>
      <c r="G520" s="212"/>
      <c r="H520" s="212"/>
      <c r="J520" s="212"/>
      <c r="K520" s="212"/>
    </row>
    <row r="521" spans="1:11" ht="12.75" customHeight="1">
      <c r="A521" s="212"/>
      <c r="B521" s="212"/>
      <c r="C521" s="212"/>
      <c r="D521" s="212"/>
      <c r="E521" s="212"/>
      <c r="F521" s="212"/>
      <c r="G521" s="212"/>
      <c r="H521" s="212"/>
      <c r="J521" s="212"/>
      <c r="K521" s="212"/>
    </row>
    <row r="522" spans="1:11" ht="12.75" customHeight="1">
      <c r="A522" s="212"/>
      <c r="B522" s="212"/>
      <c r="C522" s="212"/>
      <c r="D522" s="212"/>
      <c r="E522" s="212"/>
      <c r="F522" s="212"/>
      <c r="G522" s="212"/>
      <c r="H522" s="212"/>
      <c r="J522" s="212"/>
      <c r="K522" s="212"/>
    </row>
    <row r="523" spans="1:11" ht="12.75" customHeight="1">
      <c r="A523" s="212"/>
      <c r="B523" s="212"/>
      <c r="C523" s="212"/>
      <c r="D523" s="212"/>
      <c r="E523" s="212"/>
      <c r="F523" s="212"/>
      <c r="G523" s="212"/>
      <c r="H523" s="212"/>
      <c r="J523" s="212"/>
      <c r="K523" s="212"/>
    </row>
    <row r="524" spans="1:11" ht="12.75" customHeight="1">
      <c r="A524" s="212"/>
      <c r="B524" s="212"/>
      <c r="C524" s="212"/>
      <c r="D524" s="212"/>
      <c r="E524" s="212"/>
      <c r="F524" s="212"/>
      <c r="G524" s="212"/>
      <c r="H524" s="212"/>
      <c r="J524" s="212"/>
      <c r="K524" s="212"/>
    </row>
    <row r="525" spans="1:11" ht="12.75" customHeight="1">
      <c r="A525" s="212"/>
      <c r="B525" s="212"/>
      <c r="C525" s="212"/>
      <c r="D525" s="212"/>
      <c r="E525" s="212"/>
      <c r="F525" s="212"/>
      <c r="G525" s="212"/>
      <c r="H525" s="212"/>
      <c r="J525" s="212"/>
      <c r="K525" s="212"/>
    </row>
    <row r="526" spans="1:11" ht="12.75" customHeight="1">
      <c r="A526" s="212"/>
      <c r="B526" s="212"/>
      <c r="C526" s="212"/>
      <c r="D526" s="212"/>
      <c r="E526" s="212"/>
      <c r="F526" s="212"/>
      <c r="G526" s="212"/>
      <c r="H526" s="212"/>
      <c r="J526" s="212"/>
      <c r="K526" s="212"/>
    </row>
    <row r="527" spans="1:11" ht="12.75" customHeight="1">
      <c r="A527" s="212"/>
      <c r="B527" s="212"/>
      <c r="C527" s="212"/>
      <c r="D527" s="212"/>
      <c r="E527" s="212"/>
      <c r="F527" s="212"/>
      <c r="G527" s="212"/>
      <c r="H527" s="212"/>
      <c r="J527" s="212"/>
      <c r="K527" s="212"/>
    </row>
    <row r="528" spans="1:11" ht="12.75" customHeight="1">
      <c r="A528" s="212"/>
      <c r="B528" s="212"/>
      <c r="C528" s="212"/>
      <c r="D528" s="212"/>
      <c r="E528" s="212"/>
      <c r="F528" s="212"/>
      <c r="G528" s="212"/>
      <c r="H528" s="212"/>
      <c r="J528" s="212"/>
      <c r="K528" s="212"/>
    </row>
    <row r="529" spans="1:11" ht="12.75" customHeight="1">
      <c r="A529" s="212"/>
      <c r="B529" s="212"/>
      <c r="C529" s="212"/>
      <c r="D529" s="212"/>
      <c r="E529" s="212"/>
      <c r="F529" s="212"/>
      <c r="G529" s="212"/>
      <c r="H529" s="212"/>
      <c r="J529" s="212"/>
      <c r="K529" s="212"/>
    </row>
    <row r="530" spans="1:11" ht="12.75" customHeight="1">
      <c r="A530" s="212"/>
      <c r="B530" s="212"/>
      <c r="C530" s="212"/>
      <c r="D530" s="212"/>
      <c r="E530" s="212"/>
      <c r="F530" s="212"/>
      <c r="G530" s="212"/>
      <c r="H530" s="212"/>
      <c r="J530" s="212"/>
      <c r="K530" s="212"/>
    </row>
    <row r="531" spans="1:11" ht="12.75" customHeight="1">
      <c r="A531" s="212"/>
      <c r="B531" s="212"/>
      <c r="C531" s="212"/>
      <c r="D531" s="212"/>
      <c r="E531" s="212"/>
      <c r="F531" s="212"/>
      <c r="G531" s="212"/>
      <c r="H531" s="212"/>
      <c r="J531" s="212"/>
      <c r="K531" s="212"/>
    </row>
    <row r="532" spans="1:11" ht="12.75" customHeight="1">
      <c r="A532" s="212"/>
      <c r="B532" s="212"/>
      <c r="C532" s="212"/>
      <c r="D532" s="212"/>
      <c r="E532" s="212"/>
      <c r="F532" s="212"/>
      <c r="G532" s="212"/>
      <c r="H532" s="212"/>
      <c r="J532" s="212"/>
      <c r="K532" s="212"/>
    </row>
    <row r="533" spans="1:11" ht="12.75" customHeight="1">
      <c r="A533" s="212"/>
      <c r="B533" s="212"/>
      <c r="C533" s="212"/>
      <c r="D533" s="212"/>
      <c r="E533" s="212"/>
      <c r="F533" s="212"/>
      <c r="G533" s="212"/>
      <c r="H533" s="212"/>
      <c r="J533" s="212"/>
      <c r="K533" s="212"/>
    </row>
    <row r="534" spans="1:11" ht="12.75" customHeight="1">
      <c r="A534" s="212"/>
      <c r="B534" s="212"/>
      <c r="C534" s="212"/>
      <c r="D534" s="212"/>
      <c r="E534" s="212"/>
      <c r="F534" s="212"/>
      <c r="G534" s="212"/>
      <c r="H534" s="212"/>
      <c r="J534" s="212"/>
      <c r="K534" s="212"/>
    </row>
    <row r="535" spans="1:11" ht="12.75" customHeight="1">
      <c r="A535" s="212"/>
      <c r="B535" s="212"/>
      <c r="C535" s="212"/>
      <c r="D535" s="212"/>
      <c r="E535" s="212"/>
      <c r="F535" s="212"/>
      <c r="G535" s="212"/>
      <c r="H535" s="212"/>
      <c r="J535" s="212"/>
      <c r="K535" s="212"/>
    </row>
    <row r="536" spans="1:11" ht="12.75" customHeight="1">
      <c r="A536" s="212"/>
      <c r="B536" s="212"/>
      <c r="C536" s="212"/>
      <c r="D536" s="212"/>
      <c r="E536" s="212"/>
      <c r="F536" s="212"/>
      <c r="G536" s="212"/>
      <c r="H536" s="212"/>
      <c r="J536" s="212"/>
      <c r="K536" s="212"/>
    </row>
    <row r="537" spans="1:11" ht="12.75" customHeight="1">
      <c r="A537" s="212"/>
      <c r="B537" s="212"/>
      <c r="C537" s="212"/>
      <c r="D537" s="212"/>
      <c r="E537" s="212"/>
      <c r="F537" s="212"/>
      <c r="G537" s="212"/>
      <c r="H537" s="212"/>
      <c r="J537" s="212"/>
      <c r="K537" s="212"/>
    </row>
    <row r="538" spans="1:11" ht="12.75" customHeight="1">
      <c r="A538" s="212"/>
      <c r="B538" s="212"/>
      <c r="C538" s="212"/>
      <c r="D538" s="212"/>
      <c r="E538" s="212"/>
      <c r="F538" s="212"/>
      <c r="G538" s="212"/>
      <c r="H538" s="212"/>
      <c r="J538" s="212"/>
      <c r="K538" s="212"/>
    </row>
    <row r="539" spans="1:11" ht="12.75" customHeight="1">
      <c r="A539" s="212"/>
      <c r="B539" s="212"/>
      <c r="C539" s="212"/>
      <c r="D539" s="212"/>
      <c r="E539" s="212"/>
      <c r="F539" s="212"/>
      <c r="G539" s="212"/>
      <c r="H539" s="212"/>
      <c r="J539" s="212"/>
      <c r="K539" s="212"/>
    </row>
    <row r="540" spans="1:11" ht="12.75" customHeight="1">
      <c r="A540" s="212"/>
      <c r="B540" s="212"/>
      <c r="C540" s="212"/>
      <c r="D540" s="212"/>
      <c r="E540" s="212"/>
      <c r="F540" s="212"/>
      <c r="G540" s="212"/>
      <c r="H540" s="212"/>
      <c r="J540" s="212"/>
      <c r="K540" s="212"/>
    </row>
    <row r="541" spans="1:11" ht="12.75" customHeight="1">
      <c r="A541" s="212"/>
      <c r="B541" s="212"/>
      <c r="C541" s="212"/>
      <c r="D541" s="212"/>
      <c r="E541" s="212"/>
      <c r="F541" s="212"/>
      <c r="G541" s="212"/>
      <c r="H541" s="212"/>
      <c r="J541" s="212"/>
      <c r="K541" s="212"/>
    </row>
    <row r="542" spans="1:11" ht="12.75" customHeight="1">
      <c r="A542" s="212"/>
      <c r="B542" s="212"/>
      <c r="C542" s="212"/>
      <c r="D542" s="212"/>
      <c r="E542" s="212"/>
      <c r="F542" s="212"/>
      <c r="G542" s="212"/>
      <c r="H542" s="212"/>
      <c r="J542" s="212"/>
      <c r="K542" s="212"/>
    </row>
    <row r="543" spans="1:11" ht="12.75" customHeight="1">
      <c r="A543" s="212"/>
      <c r="B543" s="212"/>
      <c r="C543" s="212"/>
      <c r="D543" s="212"/>
      <c r="E543" s="212"/>
      <c r="F543" s="212"/>
      <c r="G543" s="212"/>
      <c r="H543" s="212"/>
      <c r="J543" s="212"/>
      <c r="K543" s="212"/>
    </row>
    <row r="544" spans="1:11" ht="12.75" customHeight="1">
      <c r="A544" s="212"/>
      <c r="B544" s="212"/>
      <c r="C544" s="212"/>
      <c r="D544" s="212"/>
      <c r="E544" s="212"/>
      <c r="F544" s="212"/>
      <c r="G544" s="212"/>
      <c r="H544" s="212"/>
      <c r="J544" s="212"/>
      <c r="K544" s="212"/>
    </row>
    <row r="545" spans="1:11" ht="12.75" customHeight="1">
      <c r="A545" s="212"/>
      <c r="B545" s="212"/>
      <c r="C545" s="212"/>
      <c r="D545" s="212"/>
      <c r="E545" s="212"/>
      <c r="F545" s="212"/>
      <c r="G545" s="212"/>
      <c r="H545" s="212"/>
      <c r="J545" s="212"/>
      <c r="K545" s="212"/>
    </row>
    <row r="546" spans="1:11" ht="12.75" customHeight="1">
      <c r="A546" s="212"/>
      <c r="B546" s="212"/>
      <c r="C546" s="212"/>
      <c r="D546" s="212"/>
      <c r="E546" s="212"/>
      <c r="F546" s="212"/>
      <c r="G546" s="212"/>
      <c r="H546" s="212"/>
      <c r="J546" s="212"/>
      <c r="K546" s="212"/>
    </row>
    <row r="547" spans="1:11" ht="12.75" customHeight="1">
      <c r="A547" s="212"/>
      <c r="B547" s="212"/>
      <c r="C547" s="212"/>
      <c r="D547" s="212"/>
      <c r="E547" s="212"/>
      <c r="F547" s="212"/>
      <c r="G547" s="212"/>
      <c r="H547" s="212"/>
      <c r="J547" s="212"/>
      <c r="K547" s="212"/>
    </row>
    <row r="548" spans="1:11" ht="12.75" customHeight="1">
      <c r="A548" s="212"/>
      <c r="B548" s="212"/>
      <c r="C548" s="212"/>
      <c r="D548" s="212"/>
      <c r="E548" s="212"/>
      <c r="F548" s="212"/>
      <c r="G548" s="212"/>
      <c r="H548" s="212"/>
      <c r="J548" s="212"/>
      <c r="K548" s="212"/>
    </row>
    <row r="549" spans="1:11" ht="12.75" customHeight="1">
      <c r="A549" s="212"/>
      <c r="B549" s="212"/>
      <c r="C549" s="212"/>
      <c r="D549" s="212"/>
      <c r="E549" s="212"/>
      <c r="F549" s="212"/>
      <c r="G549" s="212"/>
      <c r="H549" s="212"/>
      <c r="J549" s="212"/>
      <c r="K549" s="212"/>
    </row>
    <row r="550" spans="1:11" ht="12.75" customHeight="1">
      <c r="A550" s="212"/>
      <c r="B550" s="212"/>
      <c r="C550" s="212"/>
      <c r="D550" s="212"/>
      <c r="E550" s="212"/>
      <c r="F550" s="212"/>
      <c r="G550" s="212"/>
      <c r="H550" s="212"/>
      <c r="J550" s="212"/>
      <c r="K550" s="212"/>
    </row>
    <row r="551" spans="1:11" ht="12.75" customHeight="1">
      <c r="A551" s="212"/>
      <c r="B551" s="212"/>
      <c r="C551" s="212"/>
      <c r="D551" s="212"/>
      <c r="E551" s="212"/>
      <c r="F551" s="212"/>
      <c r="G551" s="212"/>
      <c r="H551" s="212"/>
      <c r="J551" s="212"/>
      <c r="K551" s="212"/>
    </row>
    <row r="552" spans="1:11" ht="12.75" customHeight="1">
      <c r="A552" s="212"/>
      <c r="B552" s="212"/>
      <c r="C552" s="212"/>
      <c r="D552" s="212"/>
      <c r="E552" s="212"/>
      <c r="F552" s="212"/>
      <c r="G552" s="212"/>
      <c r="H552" s="212"/>
      <c r="J552" s="212"/>
      <c r="K552" s="212"/>
    </row>
    <row r="553" spans="1:11" ht="12.75" customHeight="1">
      <c r="A553" s="212"/>
      <c r="B553" s="212"/>
      <c r="C553" s="212"/>
      <c r="D553" s="212"/>
      <c r="E553" s="212"/>
      <c r="F553" s="212"/>
      <c r="G553" s="212"/>
      <c r="H553" s="212"/>
      <c r="J553" s="212"/>
      <c r="K553" s="212"/>
    </row>
    <row r="554" spans="1:11" ht="12.75" customHeight="1">
      <c r="A554" s="212"/>
      <c r="B554" s="212"/>
      <c r="C554" s="212"/>
      <c r="D554" s="212"/>
      <c r="E554" s="212"/>
      <c r="F554" s="212"/>
      <c r="G554" s="212"/>
      <c r="H554" s="212"/>
      <c r="J554" s="212"/>
      <c r="K554" s="212"/>
    </row>
    <row r="555" spans="1:11" ht="12.75" customHeight="1">
      <c r="A555" s="212"/>
      <c r="B555" s="212"/>
      <c r="C555" s="212"/>
      <c r="D555" s="212"/>
      <c r="E555" s="212"/>
      <c r="F555" s="212"/>
      <c r="G555" s="212"/>
      <c r="H555" s="212"/>
      <c r="J555" s="212"/>
      <c r="K555" s="212"/>
    </row>
    <row r="556" spans="1:11" ht="12.75" customHeight="1">
      <c r="A556" s="212"/>
      <c r="B556" s="212"/>
      <c r="C556" s="212"/>
      <c r="D556" s="212"/>
      <c r="E556" s="212"/>
      <c r="F556" s="212"/>
      <c r="G556" s="212"/>
      <c r="H556" s="212"/>
      <c r="J556" s="212"/>
      <c r="K556" s="212"/>
    </row>
    <row r="557" spans="1:11" ht="12.75" customHeight="1">
      <c r="A557" s="212"/>
      <c r="B557" s="212"/>
      <c r="C557" s="212"/>
      <c r="D557" s="212"/>
      <c r="E557" s="212"/>
      <c r="F557" s="212"/>
      <c r="G557" s="212"/>
      <c r="H557" s="212"/>
      <c r="J557" s="212"/>
      <c r="K557" s="212"/>
    </row>
    <row r="558" spans="1:11" ht="12.75" customHeight="1">
      <c r="A558" s="212"/>
      <c r="B558" s="212"/>
      <c r="C558" s="212"/>
      <c r="D558" s="212"/>
      <c r="E558" s="212"/>
      <c r="F558" s="212"/>
      <c r="G558" s="212"/>
      <c r="H558" s="212"/>
      <c r="J558" s="212"/>
      <c r="K558" s="212"/>
    </row>
    <row r="559" spans="1:11" ht="12.75" customHeight="1">
      <c r="A559" s="212"/>
      <c r="B559" s="212"/>
      <c r="C559" s="212"/>
      <c r="D559" s="212"/>
      <c r="E559" s="212"/>
      <c r="F559" s="212"/>
      <c r="G559" s="212"/>
      <c r="H559" s="212"/>
      <c r="J559" s="212"/>
      <c r="K559" s="212"/>
    </row>
    <row r="560" spans="1:11" ht="12.75" customHeight="1">
      <c r="A560" s="212"/>
      <c r="B560" s="212"/>
      <c r="C560" s="212"/>
      <c r="D560" s="212"/>
      <c r="E560" s="212"/>
      <c r="F560" s="212"/>
      <c r="G560" s="212"/>
      <c r="H560" s="212"/>
      <c r="J560" s="212"/>
      <c r="K560" s="212"/>
    </row>
    <row r="561" spans="1:11" ht="12.75" customHeight="1">
      <c r="A561" s="212"/>
      <c r="B561" s="212"/>
      <c r="C561" s="212"/>
      <c r="D561" s="212"/>
      <c r="E561" s="212"/>
      <c r="F561" s="212"/>
      <c r="G561" s="212"/>
      <c r="H561" s="212"/>
      <c r="J561" s="212"/>
      <c r="K561" s="212"/>
    </row>
    <row r="562" spans="1:11" ht="12.75" customHeight="1">
      <c r="A562" s="212"/>
      <c r="B562" s="212"/>
      <c r="C562" s="212"/>
      <c r="D562" s="212"/>
      <c r="E562" s="212"/>
      <c r="F562" s="212"/>
      <c r="G562" s="212"/>
      <c r="H562" s="212"/>
      <c r="J562" s="212"/>
      <c r="K562" s="212"/>
    </row>
    <row r="563" spans="1:11" ht="12.75" customHeight="1">
      <c r="A563" s="212"/>
      <c r="B563" s="212"/>
      <c r="C563" s="212"/>
      <c r="D563" s="212"/>
      <c r="E563" s="212"/>
      <c r="F563" s="212"/>
      <c r="G563" s="212"/>
      <c r="H563" s="212"/>
      <c r="J563" s="212"/>
      <c r="K563" s="212"/>
    </row>
    <row r="564" spans="1:11" ht="12.75" customHeight="1">
      <c r="A564" s="212"/>
      <c r="B564" s="212"/>
      <c r="C564" s="212"/>
      <c r="D564" s="212"/>
      <c r="E564" s="212"/>
      <c r="F564" s="212"/>
      <c r="G564" s="212"/>
      <c r="H564" s="212"/>
      <c r="J564" s="212"/>
      <c r="K564" s="212"/>
    </row>
    <row r="565" spans="1:11" ht="12.75" customHeight="1">
      <c r="A565" s="212"/>
      <c r="B565" s="212"/>
      <c r="C565" s="212"/>
      <c r="D565" s="212"/>
      <c r="E565" s="212"/>
      <c r="F565" s="212"/>
      <c r="G565" s="212"/>
      <c r="H565" s="212"/>
      <c r="J565" s="212"/>
      <c r="K565" s="212"/>
    </row>
    <row r="566" spans="1:11" ht="12.75" customHeight="1">
      <c r="A566" s="212"/>
      <c r="B566" s="212"/>
      <c r="C566" s="212"/>
      <c r="D566" s="212"/>
      <c r="E566" s="212"/>
      <c r="F566" s="212"/>
      <c r="G566" s="212"/>
      <c r="H566" s="212"/>
      <c r="J566" s="212"/>
      <c r="K566" s="212"/>
    </row>
    <row r="567" spans="1:11" ht="12.75" customHeight="1">
      <c r="A567" s="212"/>
      <c r="B567" s="212"/>
      <c r="C567" s="212"/>
      <c r="D567" s="212"/>
      <c r="E567" s="212"/>
      <c r="F567" s="212"/>
      <c r="G567" s="212"/>
      <c r="H567" s="212"/>
      <c r="J567" s="212"/>
      <c r="K567" s="212"/>
    </row>
    <row r="568" spans="1:11" ht="12.75" customHeight="1">
      <c r="A568" s="212"/>
      <c r="B568" s="212"/>
      <c r="C568" s="212"/>
      <c r="D568" s="212"/>
      <c r="E568" s="212"/>
      <c r="F568" s="212"/>
      <c r="G568" s="212"/>
      <c r="H568" s="212"/>
      <c r="J568" s="212"/>
      <c r="K568" s="212"/>
    </row>
    <row r="569" spans="1:11" ht="12.75" customHeight="1">
      <c r="A569" s="212"/>
      <c r="B569" s="212"/>
      <c r="C569" s="212"/>
      <c r="D569" s="212"/>
      <c r="E569" s="212"/>
      <c r="F569" s="212"/>
      <c r="G569" s="212"/>
      <c r="H569" s="212"/>
      <c r="J569" s="212"/>
      <c r="K569" s="212"/>
    </row>
    <row r="570" spans="1:11" ht="12.75" customHeight="1">
      <c r="A570" s="212"/>
      <c r="B570" s="212"/>
      <c r="C570" s="212"/>
      <c r="D570" s="212"/>
      <c r="E570" s="212"/>
      <c r="F570" s="212"/>
      <c r="G570" s="212"/>
      <c r="H570" s="212"/>
      <c r="J570" s="212"/>
      <c r="K570" s="212"/>
    </row>
    <row r="571" spans="1:11" ht="12.75" customHeight="1">
      <c r="A571" s="212"/>
      <c r="B571" s="212"/>
      <c r="C571" s="212"/>
      <c r="D571" s="212"/>
      <c r="E571" s="212"/>
      <c r="F571" s="212"/>
      <c r="G571" s="212"/>
      <c r="H571" s="212"/>
      <c r="J571" s="212"/>
      <c r="K571" s="212"/>
    </row>
    <row r="572" spans="1:11" ht="12.75" customHeight="1">
      <c r="A572" s="212"/>
      <c r="B572" s="212"/>
      <c r="C572" s="212"/>
      <c r="D572" s="212"/>
      <c r="E572" s="212"/>
      <c r="F572" s="212"/>
      <c r="G572" s="212"/>
      <c r="H572" s="212"/>
      <c r="J572" s="212"/>
      <c r="K572" s="212"/>
    </row>
    <row r="573" spans="1:11" ht="12.75" customHeight="1">
      <c r="A573" s="212"/>
      <c r="B573" s="212"/>
      <c r="C573" s="212"/>
      <c r="D573" s="212"/>
      <c r="E573" s="212"/>
      <c r="F573" s="212"/>
      <c r="G573" s="212"/>
      <c r="H573" s="212"/>
      <c r="J573" s="212"/>
      <c r="K573" s="212"/>
    </row>
    <row r="574" spans="1:11" ht="12.75" customHeight="1">
      <c r="A574" s="212"/>
      <c r="B574" s="212"/>
      <c r="C574" s="212"/>
      <c r="D574" s="212"/>
      <c r="E574" s="212"/>
      <c r="F574" s="212"/>
      <c r="G574" s="212"/>
      <c r="H574" s="212"/>
      <c r="J574" s="212"/>
      <c r="K574" s="212"/>
    </row>
    <row r="575" spans="1:11" ht="12.75" customHeight="1">
      <c r="A575" s="212"/>
      <c r="B575" s="212"/>
      <c r="C575" s="212"/>
      <c r="D575" s="212"/>
      <c r="E575" s="212"/>
      <c r="F575" s="212"/>
      <c r="G575" s="212"/>
      <c r="H575" s="212"/>
      <c r="J575" s="212"/>
      <c r="K575" s="212"/>
    </row>
    <row r="576" spans="1:11" ht="12.75" customHeight="1">
      <c r="A576" s="212"/>
      <c r="B576" s="212"/>
      <c r="C576" s="212"/>
      <c r="D576" s="212"/>
      <c r="E576" s="212"/>
      <c r="F576" s="212"/>
      <c r="G576" s="212"/>
      <c r="H576" s="212"/>
      <c r="J576" s="212"/>
      <c r="K576" s="212"/>
    </row>
    <row r="577" spans="1:11" ht="12.75" customHeight="1">
      <c r="A577" s="212"/>
      <c r="B577" s="212"/>
      <c r="C577" s="212"/>
      <c r="D577" s="212"/>
      <c r="E577" s="212"/>
      <c r="F577" s="212"/>
      <c r="G577" s="212"/>
      <c r="H577" s="212"/>
      <c r="J577" s="212"/>
      <c r="K577" s="212"/>
    </row>
    <row r="578" spans="1:11" ht="12.75" customHeight="1">
      <c r="A578" s="212"/>
      <c r="B578" s="212"/>
      <c r="C578" s="212"/>
      <c r="D578" s="212"/>
      <c r="E578" s="212"/>
      <c r="F578" s="212"/>
      <c r="G578" s="212"/>
      <c r="H578" s="212"/>
      <c r="J578" s="212"/>
      <c r="K578" s="212"/>
    </row>
    <row r="579" spans="1:11" ht="12.75" customHeight="1">
      <c r="A579" s="212"/>
      <c r="B579" s="212"/>
      <c r="C579" s="212"/>
      <c r="D579" s="212"/>
      <c r="E579" s="212"/>
      <c r="F579" s="212"/>
      <c r="G579" s="212"/>
      <c r="H579" s="212"/>
      <c r="J579" s="212"/>
      <c r="K579" s="212"/>
    </row>
    <row r="580" spans="1:11" ht="12.75" customHeight="1">
      <c r="A580" s="212"/>
      <c r="B580" s="212"/>
      <c r="C580" s="212"/>
      <c r="D580" s="212"/>
      <c r="E580" s="212"/>
      <c r="F580" s="212"/>
      <c r="G580" s="212"/>
      <c r="H580" s="212"/>
      <c r="J580" s="212"/>
      <c r="K580" s="212"/>
    </row>
    <row r="581" spans="1:11" ht="12.75" customHeight="1">
      <c r="A581" s="212"/>
      <c r="B581" s="212"/>
      <c r="C581" s="212"/>
      <c r="D581" s="212"/>
      <c r="E581" s="212"/>
      <c r="F581" s="212"/>
      <c r="G581" s="212"/>
      <c r="H581" s="212"/>
      <c r="J581" s="212"/>
      <c r="K581" s="212"/>
    </row>
    <row r="582" spans="1:11" ht="12.75" customHeight="1">
      <c r="A582" s="212"/>
      <c r="B582" s="212"/>
      <c r="C582" s="212"/>
      <c r="D582" s="212"/>
      <c r="E582" s="212"/>
      <c r="F582" s="212"/>
      <c r="G582" s="212"/>
      <c r="H582" s="212"/>
      <c r="J582" s="212"/>
      <c r="K582" s="212"/>
    </row>
    <row r="583" spans="1:11" ht="12.75" customHeight="1">
      <c r="A583" s="212"/>
      <c r="B583" s="212"/>
      <c r="C583" s="212"/>
      <c r="D583" s="212"/>
      <c r="E583" s="212"/>
      <c r="F583" s="212"/>
      <c r="G583" s="212"/>
      <c r="H583" s="212"/>
      <c r="J583" s="212"/>
      <c r="K583" s="212"/>
    </row>
    <row r="584" spans="1:11" ht="12.75" customHeight="1">
      <c r="A584" s="212"/>
      <c r="B584" s="212"/>
      <c r="C584" s="212"/>
      <c r="D584" s="212"/>
      <c r="E584" s="212"/>
      <c r="F584" s="212"/>
      <c r="G584" s="212"/>
      <c r="H584" s="212"/>
      <c r="J584" s="212"/>
      <c r="K584" s="212"/>
    </row>
    <row r="585" spans="1:11" ht="12.75" customHeight="1">
      <c r="A585" s="212"/>
      <c r="B585" s="212"/>
      <c r="C585" s="212"/>
      <c r="D585" s="212"/>
      <c r="E585" s="212"/>
      <c r="F585" s="212"/>
      <c r="G585" s="212"/>
      <c r="H585" s="212"/>
      <c r="J585" s="212"/>
      <c r="K585" s="212"/>
    </row>
    <row r="586" spans="1:11" ht="12.75" customHeight="1">
      <c r="A586" s="212"/>
      <c r="B586" s="212"/>
      <c r="C586" s="212"/>
      <c r="D586" s="212"/>
      <c r="E586" s="212"/>
      <c r="F586" s="212"/>
      <c r="G586" s="212"/>
      <c r="H586" s="212"/>
      <c r="J586" s="212"/>
      <c r="K586" s="212"/>
    </row>
    <row r="587" spans="1:11" ht="12.75" customHeight="1">
      <c r="A587" s="212"/>
      <c r="B587" s="212"/>
      <c r="C587" s="212"/>
      <c r="D587" s="212"/>
      <c r="E587" s="212"/>
      <c r="F587" s="212"/>
      <c r="G587" s="212"/>
      <c r="H587" s="212"/>
      <c r="J587" s="212"/>
      <c r="K587" s="212"/>
    </row>
    <row r="588" spans="1:11" ht="12.75" customHeight="1">
      <c r="A588" s="212"/>
      <c r="B588" s="212"/>
      <c r="C588" s="212"/>
      <c r="D588" s="212"/>
      <c r="E588" s="212"/>
      <c r="F588" s="212"/>
      <c r="G588" s="212"/>
      <c r="H588" s="212"/>
      <c r="J588" s="212"/>
      <c r="K588" s="212"/>
    </row>
    <row r="589" spans="1:11" ht="12.75" customHeight="1">
      <c r="A589" s="212"/>
      <c r="B589" s="212"/>
      <c r="C589" s="212"/>
      <c r="D589" s="212"/>
      <c r="E589" s="212"/>
      <c r="F589" s="212"/>
      <c r="G589" s="212"/>
      <c r="H589" s="212"/>
      <c r="J589" s="212"/>
      <c r="K589" s="212"/>
    </row>
    <row r="590" spans="1:11" ht="12.75" customHeight="1">
      <c r="A590" s="212"/>
      <c r="B590" s="212"/>
      <c r="C590" s="212"/>
      <c r="D590" s="212"/>
      <c r="E590" s="212"/>
      <c r="F590" s="212"/>
      <c r="G590" s="212"/>
      <c r="H590" s="212"/>
      <c r="J590" s="212"/>
      <c r="K590" s="212"/>
    </row>
    <row r="591" spans="1:11" ht="12.75" customHeight="1">
      <c r="A591" s="212"/>
      <c r="B591" s="212"/>
      <c r="C591" s="212"/>
      <c r="D591" s="212"/>
      <c r="E591" s="212"/>
      <c r="F591" s="212"/>
      <c r="G591" s="212"/>
      <c r="H591" s="212"/>
      <c r="J591" s="212"/>
      <c r="K591" s="212"/>
    </row>
    <row r="592" spans="1:11" ht="12.75" customHeight="1">
      <c r="A592" s="212"/>
      <c r="B592" s="212"/>
      <c r="C592" s="212"/>
      <c r="D592" s="212"/>
      <c r="E592" s="212"/>
      <c r="F592" s="212"/>
      <c r="G592" s="212"/>
      <c r="H592" s="212"/>
      <c r="J592" s="212"/>
      <c r="K592" s="212"/>
    </row>
    <row r="593" spans="1:11" ht="12.75" customHeight="1">
      <c r="A593" s="212"/>
      <c r="B593" s="212"/>
      <c r="C593" s="212"/>
      <c r="D593" s="212"/>
      <c r="E593" s="212"/>
      <c r="F593" s="212"/>
      <c r="G593" s="212"/>
      <c r="H593" s="212"/>
      <c r="J593" s="212"/>
      <c r="K593" s="212"/>
    </row>
    <row r="594" spans="1:11" ht="12.75" customHeight="1">
      <c r="A594" s="212"/>
      <c r="B594" s="212"/>
      <c r="C594" s="212"/>
      <c r="D594" s="212"/>
      <c r="E594" s="212"/>
      <c r="F594" s="212"/>
      <c r="G594" s="212"/>
      <c r="H594" s="212"/>
      <c r="J594" s="212"/>
      <c r="K594" s="212"/>
    </row>
    <row r="595" spans="1:11" ht="12.75" customHeight="1">
      <c r="A595" s="212"/>
      <c r="B595" s="212"/>
      <c r="C595" s="212"/>
      <c r="D595" s="212"/>
      <c r="E595" s="212"/>
      <c r="F595" s="212"/>
      <c r="G595" s="212"/>
      <c r="H595" s="212"/>
      <c r="J595" s="212"/>
      <c r="K595" s="212"/>
    </row>
    <row r="596" spans="1:11" ht="12.75" customHeight="1">
      <c r="A596" s="212"/>
      <c r="B596" s="212"/>
      <c r="C596" s="212"/>
      <c r="D596" s="212"/>
      <c r="E596" s="212"/>
      <c r="F596" s="212"/>
      <c r="G596" s="212"/>
      <c r="H596" s="212"/>
      <c r="J596" s="212"/>
      <c r="K596" s="212"/>
    </row>
    <row r="597" spans="1:11" ht="12.75" customHeight="1">
      <c r="A597" s="212"/>
      <c r="B597" s="212"/>
      <c r="C597" s="212"/>
      <c r="D597" s="212"/>
      <c r="E597" s="212"/>
      <c r="F597" s="212"/>
      <c r="G597" s="212"/>
      <c r="H597" s="212"/>
      <c r="J597" s="212"/>
      <c r="K597" s="212"/>
    </row>
    <row r="598" spans="1:11" ht="12.75" customHeight="1">
      <c r="A598" s="212"/>
      <c r="B598" s="212"/>
      <c r="C598" s="212"/>
      <c r="D598" s="212"/>
      <c r="E598" s="212"/>
      <c r="F598" s="212"/>
      <c r="G598" s="212"/>
      <c r="H598" s="212"/>
      <c r="J598" s="212"/>
      <c r="K598" s="212"/>
    </row>
    <row r="599" spans="1:11" ht="12.75" customHeight="1">
      <c r="A599" s="212"/>
      <c r="B599" s="212"/>
      <c r="C599" s="212"/>
      <c r="D599" s="212"/>
      <c r="E599" s="212"/>
      <c r="F599" s="212"/>
      <c r="G599" s="212"/>
      <c r="H599" s="212"/>
      <c r="J599" s="212"/>
      <c r="K599" s="212"/>
    </row>
    <row r="600" spans="1:11" ht="12.75" customHeight="1">
      <c r="A600" s="212"/>
      <c r="B600" s="212"/>
      <c r="C600" s="212"/>
      <c r="D600" s="212"/>
      <c r="E600" s="212"/>
      <c r="F600" s="212"/>
      <c r="G600" s="212"/>
      <c r="H600" s="212"/>
      <c r="J600" s="212"/>
      <c r="K600" s="212"/>
    </row>
    <row r="601" spans="1:11" ht="12.75" customHeight="1">
      <c r="A601" s="212"/>
      <c r="B601" s="212"/>
      <c r="C601" s="212"/>
      <c r="D601" s="212"/>
      <c r="E601" s="212"/>
      <c r="F601" s="212"/>
      <c r="G601" s="212"/>
      <c r="H601" s="212"/>
      <c r="J601" s="212"/>
      <c r="K601" s="212"/>
    </row>
    <row r="602" spans="1:11" ht="12.75" customHeight="1">
      <c r="A602" s="212"/>
      <c r="B602" s="212"/>
      <c r="C602" s="212"/>
      <c r="D602" s="212"/>
      <c r="E602" s="212"/>
      <c r="F602" s="212"/>
      <c r="G602" s="212"/>
      <c r="H602" s="212"/>
      <c r="J602" s="212"/>
      <c r="K602" s="212"/>
    </row>
    <row r="603" spans="1:11" ht="12.75" customHeight="1">
      <c r="A603" s="212"/>
      <c r="B603" s="212"/>
      <c r="C603" s="212"/>
      <c r="D603" s="212"/>
      <c r="E603" s="212"/>
      <c r="F603" s="212"/>
      <c r="G603" s="212"/>
      <c r="H603" s="212"/>
      <c r="J603" s="212"/>
      <c r="K603" s="212"/>
    </row>
    <row r="604" spans="1:11" ht="12.75" customHeight="1">
      <c r="A604" s="212"/>
      <c r="B604" s="212"/>
      <c r="C604" s="212"/>
      <c r="D604" s="212"/>
      <c r="E604" s="212"/>
      <c r="F604" s="212"/>
      <c r="G604" s="212"/>
      <c r="H604" s="212"/>
      <c r="J604" s="212"/>
      <c r="K604" s="212"/>
    </row>
    <row r="605" spans="1:11" ht="12.75" customHeight="1">
      <c r="A605" s="212"/>
      <c r="B605" s="212"/>
      <c r="C605" s="212"/>
      <c r="D605" s="212"/>
      <c r="E605" s="212"/>
      <c r="F605" s="212"/>
      <c r="G605" s="212"/>
      <c r="H605" s="212"/>
      <c r="J605" s="212"/>
      <c r="K605" s="212"/>
    </row>
    <row r="606" spans="1:11" ht="12.75" customHeight="1">
      <c r="A606" s="212"/>
      <c r="B606" s="212"/>
      <c r="C606" s="212"/>
      <c r="D606" s="212"/>
      <c r="E606" s="212"/>
      <c r="F606" s="212"/>
      <c r="G606" s="212"/>
      <c r="H606" s="212"/>
      <c r="J606" s="212"/>
      <c r="K606" s="212"/>
    </row>
    <row r="607" spans="1:11" ht="12.75" customHeight="1">
      <c r="A607" s="212"/>
      <c r="B607" s="212"/>
      <c r="C607" s="212"/>
      <c r="D607" s="212"/>
      <c r="E607" s="212"/>
      <c r="F607" s="212"/>
      <c r="G607" s="212"/>
      <c r="H607" s="212"/>
      <c r="J607" s="212"/>
      <c r="K607" s="212"/>
    </row>
    <row r="608" spans="1:11" ht="12.75" customHeight="1">
      <c r="A608" s="212"/>
      <c r="B608" s="212"/>
      <c r="C608" s="212"/>
      <c r="D608" s="212"/>
      <c r="E608" s="212"/>
      <c r="F608" s="212"/>
      <c r="G608" s="212"/>
      <c r="H608" s="212"/>
      <c r="J608" s="212"/>
      <c r="K608" s="212"/>
    </row>
    <row r="609" spans="1:11" ht="12.75" customHeight="1">
      <c r="A609" s="212"/>
      <c r="B609" s="212"/>
      <c r="C609" s="212"/>
      <c r="D609" s="212"/>
      <c r="E609" s="212"/>
      <c r="F609" s="212"/>
      <c r="G609" s="212"/>
      <c r="H609" s="212"/>
      <c r="J609" s="212"/>
      <c r="K609" s="212"/>
    </row>
    <row r="610" spans="1:11" ht="12.75" customHeight="1">
      <c r="A610" s="212"/>
      <c r="B610" s="212"/>
      <c r="C610" s="212"/>
      <c r="D610" s="212"/>
      <c r="E610" s="212"/>
      <c r="F610" s="212"/>
      <c r="G610" s="212"/>
      <c r="H610" s="212"/>
      <c r="J610" s="212"/>
      <c r="K610" s="212"/>
    </row>
    <row r="611" spans="1:11" ht="12.75" customHeight="1">
      <c r="A611" s="212"/>
      <c r="B611" s="212"/>
      <c r="C611" s="212"/>
      <c r="D611" s="212"/>
      <c r="E611" s="212"/>
      <c r="F611" s="212"/>
      <c r="G611" s="212"/>
      <c r="H611" s="212"/>
      <c r="J611" s="212"/>
      <c r="K611" s="212"/>
    </row>
    <row r="612" spans="1:11" ht="12.75" customHeight="1">
      <c r="A612" s="212"/>
      <c r="B612" s="212"/>
      <c r="C612" s="212"/>
      <c r="D612" s="212"/>
      <c r="E612" s="212"/>
      <c r="F612" s="212"/>
      <c r="G612" s="212"/>
      <c r="H612" s="212"/>
      <c r="J612" s="212"/>
      <c r="K612" s="212"/>
    </row>
    <row r="613" spans="1:11" ht="12.75" customHeight="1">
      <c r="A613" s="212"/>
      <c r="B613" s="212"/>
      <c r="C613" s="212"/>
      <c r="D613" s="212"/>
      <c r="E613" s="212"/>
      <c r="F613" s="212"/>
      <c r="G613" s="212"/>
      <c r="H613" s="212"/>
      <c r="J613" s="212"/>
      <c r="K613" s="212"/>
    </row>
    <row r="614" spans="1:11" ht="12.75" customHeight="1">
      <c r="A614" s="212"/>
      <c r="B614" s="212"/>
      <c r="C614" s="212"/>
      <c r="D614" s="212"/>
      <c r="E614" s="212"/>
      <c r="F614" s="212"/>
      <c r="G614" s="212"/>
      <c r="H614" s="212"/>
      <c r="J614" s="212"/>
      <c r="K614" s="212"/>
    </row>
    <row r="615" spans="1:11" ht="12.75" customHeight="1">
      <c r="A615" s="212"/>
      <c r="B615" s="212"/>
      <c r="C615" s="212"/>
      <c r="D615" s="212"/>
      <c r="E615" s="212"/>
      <c r="F615" s="212"/>
      <c r="G615" s="212"/>
      <c r="H615" s="212"/>
      <c r="J615" s="212"/>
      <c r="K615" s="212"/>
    </row>
    <row r="616" spans="1:11" ht="12.75" customHeight="1">
      <c r="A616" s="212"/>
      <c r="B616" s="212"/>
      <c r="C616" s="212"/>
      <c r="D616" s="212"/>
      <c r="E616" s="212"/>
      <c r="F616" s="212"/>
      <c r="G616" s="212"/>
      <c r="H616" s="212"/>
      <c r="J616" s="212"/>
      <c r="K616" s="212"/>
    </row>
    <row r="617" spans="1:11" ht="12.75" customHeight="1">
      <c r="A617" s="212"/>
      <c r="B617" s="212"/>
      <c r="C617" s="212"/>
      <c r="D617" s="212"/>
      <c r="E617" s="212"/>
      <c r="F617" s="212"/>
      <c r="G617" s="212"/>
      <c r="H617" s="212"/>
      <c r="J617" s="212"/>
      <c r="K617" s="212"/>
    </row>
    <row r="618" spans="1:11" ht="12.75" customHeight="1">
      <c r="A618" s="212"/>
      <c r="B618" s="212"/>
      <c r="C618" s="212"/>
      <c r="D618" s="212"/>
      <c r="E618" s="212"/>
      <c r="F618" s="212"/>
      <c r="G618" s="212"/>
      <c r="H618" s="212"/>
      <c r="J618" s="212"/>
      <c r="K618" s="212"/>
    </row>
    <row r="619" spans="1:11" ht="12.75" customHeight="1">
      <c r="A619" s="212"/>
      <c r="B619" s="212"/>
      <c r="C619" s="212"/>
      <c r="D619" s="212"/>
      <c r="E619" s="212"/>
      <c r="F619" s="212"/>
      <c r="G619" s="212"/>
      <c r="H619" s="212"/>
      <c r="J619" s="212"/>
      <c r="K619" s="212"/>
    </row>
    <row r="620" spans="1:11" ht="12.75" customHeight="1">
      <c r="A620" s="212"/>
      <c r="B620" s="212"/>
      <c r="C620" s="212"/>
      <c r="D620" s="212"/>
      <c r="E620" s="212"/>
      <c r="F620" s="212"/>
      <c r="G620" s="212"/>
      <c r="H620" s="212"/>
      <c r="J620" s="212"/>
      <c r="K620" s="212"/>
    </row>
    <row r="621" spans="1:11" ht="12.75" customHeight="1">
      <c r="A621" s="212"/>
      <c r="B621" s="212"/>
      <c r="C621" s="212"/>
      <c r="D621" s="212"/>
      <c r="E621" s="212"/>
      <c r="F621" s="212"/>
      <c r="G621" s="212"/>
      <c r="H621" s="212"/>
      <c r="J621" s="212"/>
      <c r="K621" s="212"/>
    </row>
    <row r="622" spans="1:11" ht="12.75" customHeight="1">
      <c r="A622" s="212"/>
      <c r="B622" s="212"/>
      <c r="C622" s="212"/>
      <c r="D622" s="212"/>
      <c r="E622" s="212"/>
      <c r="F622" s="212"/>
      <c r="G622" s="212"/>
      <c r="H622" s="212"/>
      <c r="J622" s="212"/>
      <c r="K622" s="212"/>
    </row>
    <row r="623" spans="1:11" ht="12.75" customHeight="1">
      <c r="A623" s="212"/>
      <c r="B623" s="212"/>
      <c r="C623" s="212"/>
      <c r="D623" s="212"/>
      <c r="E623" s="212"/>
      <c r="F623" s="212"/>
      <c r="G623" s="212"/>
      <c r="H623" s="212"/>
      <c r="J623" s="212"/>
      <c r="K623" s="212"/>
    </row>
    <row r="624" spans="1:11" ht="12.75" customHeight="1">
      <c r="A624" s="212"/>
      <c r="B624" s="212"/>
      <c r="C624" s="212"/>
      <c r="D624" s="212"/>
      <c r="E624" s="212"/>
      <c r="F624" s="212"/>
      <c r="G624" s="212"/>
      <c r="H624" s="212"/>
      <c r="J624" s="212"/>
      <c r="K624" s="212"/>
    </row>
    <row r="625" spans="1:11" ht="12.75" customHeight="1">
      <c r="A625" s="212"/>
      <c r="B625" s="212"/>
      <c r="C625" s="212"/>
      <c r="D625" s="212"/>
      <c r="E625" s="212"/>
      <c r="F625" s="212"/>
      <c r="G625" s="212"/>
      <c r="H625" s="212"/>
      <c r="J625" s="212"/>
      <c r="K625" s="212"/>
    </row>
    <row r="626" spans="1:11" ht="12.75" customHeight="1">
      <c r="A626" s="212"/>
      <c r="B626" s="212"/>
      <c r="C626" s="212"/>
      <c r="D626" s="212"/>
      <c r="E626" s="212"/>
      <c r="F626" s="212"/>
      <c r="G626" s="212"/>
      <c r="H626" s="212"/>
      <c r="J626" s="212"/>
      <c r="K626" s="212"/>
    </row>
    <row r="627" spans="1:11" ht="12.75" customHeight="1">
      <c r="A627" s="212"/>
      <c r="B627" s="212"/>
      <c r="C627" s="212"/>
      <c r="D627" s="212"/>
      <c r="E627" s="212"/>
      <c r="F627" s="212"/>
      <c r="G627" s="212"/>
      <c r="H627" s="212"/>
      <c r="J627" s="212"/>
      <c r="K627" s="212"/>
    </row>
    <row r="628" spans="1:11" ht="12.75" customHeight="1">
      <c r="A628" s="212"/>
      <c r="B628" s="212"/>
      <c r="C628" s="212"/>
      <c r="D628" s="212"/>
      <c r="E628" s="212"/>
      <c r="F628" s="212"/>
      <c r="G628" s="212"/>
      <c r="H628" s="212"/>
      <c r="J628" s="212"/>
      <c r="K628" s="212"/>
    </row>
    <row r="629" spans="1:11" ht="12.75" customHeight="1">
      <c r="A629" s="212"/>
      <c r="B629" s="212"/>
      <c r="C629" s="212"/>
      <c r="D629" s="212"/>
      <c r="E629" s="212"/>
      <c r="F629" s="212"/>
      <c r="G629" s="212"/>
      <c r="H629" s="212"/>
      <c r="J629" s="212"/>
      <c r="K629" s="212"/>
    </row>
    <row r="630" spans="1:11" ht="12.75" customHeight="1">
      <c r="A630" s="212"/>
      <c r="B630" s="212"/>
      <c r="C630" s="212"/>
      <c r="D630" s="212"/>
      <c r="E630" s="212"/>
      <c r="F630" s="212"/>
      <c r="G630" s="212"/>
      <c r="H630" s="212"/>
      <c r="J630" s="212"/>
      <c r="K630" s="212"/>
    </row>
    <row r="631" spans="1:11" ht="12.75" customHeight="1">
      <c r="A631" s="212"/>
      <c r="B631" s="212"/>
      <c r="C631" s="212"/>
      <c r="D631" s="212"/>
      <c r="E631" s="212"/>
      <c r="F631" s="212"/>
      <c r="G631" s="212"/>
      <c r="H631" s="212"/>
      <c r="J631" s="212"/>
      <c r="K631" s="212"/>
    </row>
    <row r="632" spans="1:11" ht="12.75" customHeight="1">
      <c r="A632" s="212"/>
      <c r="B632" s="212"/>
      <c r="C632" s="212"/>
      <c r="D632" s="212"/>
      <c r="E632" s="212"/>
      <c r="F632" s="212"/>
      <c r="G632" s="212"/>
      <c r="H632" s="212"/>
      <c r="J632" s="212"/>
      <c r="K632" s="212"/>
    </row>
    <row r="633" spans="1:11" ht="12.75" customHeight="1">
      <c r="A633" s="212"/>
      <c r="B633" s="212"/>
      <c r="C633" s="212"/>
      <c r="D633" s="212"/>
      <c r="E633" s="212"/>
      <c r="F633" s="212"/>
      <c r="G633" s="212"/>
      <c r="H633" s="212"/>
      <c r="J633" s="212"/>
      <c r="K633" s="212"/>
    </row>
    <row r="634" spans="1:11" ht="12.75" customHeight="1">
      <c r="A634" s="212"/>
      <c r="B634" s="212"/>
      <c r="C634" s="212"/>
      <c r="D634" s="212"/>
      <c r="E634" s="212"/>
      <c r="F634" s="212"/>
      <c r="G634" s="212"/>
      <c r="H634" s="212"/>
      <c r="J634" s="212"/>
      <c r="K634" s="212"/>
    </row>
    <row r="635" spans="1:11" ht="12.75" customHeight="1">
      <c r="A635" s="212"/>
      <c r="B635" s="212"/>
      <c r="C635" s="212"/>
      <c r="D635" s="212"/>
      <c r="E635" s="212"/>
      <c r="F635" s="212"/>
      <c r="G635" s="212"/>
      <c r="H635" s="212"/>
      <c r="J635" s="212"/>
      <c r="K635" s="212"/>
    </row>
    <row r="636" spans="1:11" ht="12.75" customHeight="1">
      <c r="A636" s="212"/>
      <c r="B636" s="212"/>
      <c r="C636" s="212"/>
      <c r="D636" s="212"/>
      <c r="E636" s="212"/>
      <c r="F636" s="212"/>
      <c r="G636" s="212"/>
      <c r="H636" s="212"/>
      <c r="J636" s="212"/>
      <c r="K636" s="212"/>
    </row>
    <row r="637" spans="1:11" ht="12.75" customHeight="1">
      <c r="A637" s="212"/>
      <c r="B637" s="212"/>
      <c r="C637" s="212"/>
      <c r="D637" s="212"/>
      <c r="E637" s="212"/>
      <c r="F637" s="212"/>
      <c r="G637" s="212"/>
      <c r="H637" s="212"/>
      <c r="J637" s="212"/>
      <c r="K637" s="212"/>
    </row>
    <row r="638" spans="1:11" ht="12.75" customHeight="1">
      <c r="A638" s="212"/>
      <c r="B638" s="212"/>
      <c r="C638" s="212"/>
      <c r="D638" s="212"/>
      <c r="E638" s="212"/>
      <c r="F638" s="212"/>
      <c r="G638" s="212"/>
      <c r="H638" s="212"/>
      <c r="J638" s="212"/>
      <c r="K638" s="212"/>
    </row>
    <row r="639" spans="1:11" ht="12.75" customHeight="1">
      <c r="A639" s="212"/>
      <c r="B639" s="212"/>
      <c r="C639" s="212"/>
      <c r="D639" s="212"/>
      <c r="E639" s="212"/>
      <c r="F639" s="212"/>
      <c r="G639" s="212"/>
      <c r="H639" s="212"/>
      <c r="J639" s="212"/>
      <c r="K639" s="212"/>
    </row>
    <row r="640" spans="1:11" ht="12.75" customHeight="1">
      <c r="A640" s="212"/>
      <c r="B640" s="212"/>
      <c r="C640" s="212"/>
      <c r="D640" s="212"/>
      <c r="E640" s="212"/>
      <c r="F640" s="212"/>
      <c r="G640" s="212"/>
      <c r="H640" s="212"/>
      <c r="J640" s="212"/>
      <c r="K640" s="212"/>
    </row>
    <row r="641" spans="1:11" ht="12.75" customHeight="1">
      <c r="A641" s="212"/>
      <c r="B641" s="212"/>
      <c r="C641" s="212"/>
      <c r="D641" s="212"/>
      <c r="E641" s="212"/>
      <c r="F641" s="212"/>
      <c r="G641" s="212"/>
      <c r="H641" s="212"/>
      <c r="J641" s="212"/>
      <c r="K641" s="212"/>
    </row>
    <row r="642" spans="1:11" ht="12.75" customHeight="1">
      <c r="A642" s="212"/>
      <c r="B642" s="212"/>
      <c r="C642" s="212"/>
      <c r="D642" s="212"/>
      <c r="E642" s="212"/>
      <c r="F642" s="212"/>
      <c r="G642" s="212"/>
      <c r="H642" s="212"/>
      <c r="J642" s="212"/>
      <c r="K642" s="212"/>
    </row>
    <row r="643" spans="1:11" ht="12.75" customHeight="1">
      <c r="A643" s="212"/>
      <c r="B643" s="212"/>
      <c r="C643" s="212"/>
      <c r="D643" s="212"/>
      <c r="E643" s="212"/>
      <c r="F643" s="212"/>
      <c r="G643" s="212"/>
      <c r="H643" s="212"/>
      <c r="J643" s="212"/>
      <c r="K643" s="212"/>
    </row>
    <row r="644" spans="1:11" ht="12.75" customHeight="1">
      <c r="A644" s="212"/>
      <c r="B644" s="212"/>
      <c r="C644" s="212"/>
      <c r="D644" s="212"/>
      <c r="E644" s="212"/>
      <c r="F644" s="212"/>
      <c r="G644" s="212"/>
      <c r="H644" s="212"/>
      <c r="J644" s="212"/>
      <c r="K644" s="212"/>
    </row>
    <row r="645" spans="1:11" ht="12.75" customHeight="1">
      <c r="A645" s="212"/>
      <c r="B645" s="212"/>
      <c r="C645" s="212"/>
      <c r="D645" s="212"/>
      <c r="E645" s="212"/>
      <c r="F645" s="212"/>
      <c r="G645" s="212"/>
      <c r="H645" s="212"/>
      <c r="J645" s="212"/>
      <c r="K645" s="212"/>
    </row>
    <row r="646" spans="1:11" ht="12.75" customHeight="1">
      <c r="A646" s="212"/>
      <c r="B646" s="212"/>
      <c r="C646" s="212"/>
      <c r="D646" s="212"/>
      <c r="E646" s="212"/>
      <c r="F646" s="212"/>
      <c r="G646" s="212"/>
      <c r="H646" s="212"/>
      <c r="J646" s="212"/>
      <c r="K646" s="212"/>
    </row>
    <row r="647" spans="1:11" ht="12.75" customHeight="1">
      <c r="A647" s="212"/>
      <c r="B647" s="212"/>
      <c r="C647" s="212"/>
      <c r="D647" s="212"/>
      <c r="E647" s="212"/>
      <c r="F647" s="212"/>
      <c r="G647" s="212"/>
      <c r="H647" s="212"/>
      <c r="J647" s="212"/>
      <c r="K647" s="212"/>
    </row>
    <row r="648" spans="1:11" ht="12.75" customHeight="1">
      <c r="A648" s="212"/>
      <c r="B648" s="212"/>
      <c r="C648" s="212"/>
      <c r="D648" s="212"/>
      <c r="E648" s="212"/>
      <c r="F648" s="212"/>
      <c r="G648" s="212"/>
      <c r="H648" s="212"/>
      <c r="J648" s="212"/>
      <c r="K648" s="212"/>
    </row>
    <row r="649" spans="1:11" ht="12.75" customHeight="1">
      <c r="A649" s="212"/>
      <c r="B649" s="212"/>
      <c r="C649" s="212"/>
      <c r="D649" s="212"/>
      <c r="E649" s="212"/>
      <c r="F649" s="212"/>
      <c r="G649" s="212"/>
      <c r="H649" s="212"/>
      <c r="J649" s="212"/>
      <c r="K649" s="212"/>
    </row>
    <row r="650" spans="1:11" ht="12.75" customHeight="1">
      <c r="A650" s="212"/>
      <c r="B650" s="212"/>
      <c r="C650" s="212"/>
      <c r="D650" s="212"/>
      <c r="E650" s="212"/>
      <c r="F650" s="212"/>
      <c r="G650" s="212"/>
      <c r="H650" s="212"/>
      <c r="J650" s="212"/>
      <c r="K650" s="212"/>
    </row>
    <row r="651" spans="1:11" ht="12.75" customHeight="1">
      <c r="A651" s="212"/>
      <c r="B651" s="212"/>
      <c r="C651" s="212"/>
      <c r="D651" s="212"/>
      <c r="E651" s="212"/>
      <c r="F651" s="212"/>
      <c r="G651" s="212"/>
      <c r="H651" s="212"/>
      <c r="J651" s="212"/>
      <c r="K651" s="212"/>
    </row>
    <row r="652" spans="1:11" ht="12.75" customHeight="1">
      <c r="A652" s="212"/>
      <c r="B652" s="212"/>
      <c r="C652" s="212"/>
      <c r="D652" s="212"/>
      <c r="E652" s="212"/>
      <c r="F652" s="212"/>
      <c r="G652" s="212"/>
      <c r="H652" s="212"/>
      <c r="J652" s="212"/>
      <c r="K652" s="212"/>
    </row>
    <row r="653" spans="1:11" ht="12.75" customHeight="1">
      <c r="A653" s="212"/>
      <c r="B653" s="212"/>
      <c r="C653" s="212"/>
      <c r="D653" s="212"/>
      <c r="E653" s="212"/>
      <c r="F653" s="212"/>
      <c r="G653" s="212"/>
      <c r="H653" s="212"/>
      <c r="J653" s="212"/>
      <c r="K653" s="212"/>
    </row>
    <row r="654" spans="1:11" ht="12.75" customHeight="1">
      <c r="A654" s="212"/>
      <c r="B654" s="212"/>
      <c r="C654" s="212"/>
      <c r="D654" s="212"/>
      <c r="E654" s="212"/>
      <c r="F654" s="212"/>
      <c r="G654" s="212"/>
      <c r="H654" s="212"/>
      <c r="J654" s="212"/>
      <c r="K654" s="212"/>
    </row>
    <row r="655" spans="1:11" ht="12.75" customHeight="1">
      <c r="A655" s="212"/>
      <c r="B655" s="212"/>
      <c r="C655" s="212"/>
      <c r="D655" s="212"/>
      <c r="E655" s="212"/>
      <c r="F655" s="212"/>
      <c r="G655" s="212"/>
      <c r="H655" s="212"/>
      <c r="J655" s="212"/>
      <c r="K655" s="212"/>
    </row>
    <row r="656" spans="1:11" ht="12.75" customHeight="1">
      <c r="A656" s="212"/>
      <c r="B656" s="212"/>
      <c r="C656" s="212"/>
      <c r="D656" s="212"/>
      <c r="E656" s="212"/>
      <c r="F656" s="212"/>
      <c r="G656" s="212"/>
      <c r="H656" s="212"/>
      <c r="J656" s="212"/>
      <c r="K656" s="212"/>
    </row>
    <row r="657" spans="1:11" ht="12.75" customHeight="1">
      <c r="A657" s="212"/>
      <c r="B657" s="212"/>
      <c r="C657" s="212"/>
      <c r="D657" s="212"/>
      <c r="E657" s="212"/>
      <c r="F657" s="212"/>
      <c r="G657" s="212"/>
      <c r="H657" s="212"/>
      <c r="J657" s="212"/>
      <c r="K657" s="212"/>
    </row>
    <row r="658" spans="1:11" ht="12.75" customHeight="1">
      <c r="A658" s="212"/>
      <c r="B658" s="212"/>
      <c r="C658" s="212"/>
      <c r="D658" s="212"/>
      <c r="E658" s="212"/>
      <c r="F658" s="212"/>
      <c r="G658" s="212"/>
      <c r="H658" s="212"/>
      <c r="J658" s="212"/>
      <c r="K658" s="212"/>
    </row>
    <row r="659" spans="1:11" ht="12.75" customHeight="1">
      <c r="A659" s="212"/>
      <c r="B659" s="212"/>
      <c r="C659" s="212"/>
      <c r="D659" s="212"/>
      <c r="E659" s="212"/>
      <c r="F659" s="212"/>
      <c r="G659" s="212"/>
      <c r="H659" s="212"/>
      <c r="J659" s="212"/>
      <c r="K659" s="212"/>
    </row>
    <row r="660" spans="1:11" ht="12.75" customHeight="1">
      <c r="A660" s="212"/>
      <c r="B660" s="212"/>
      <c r="C660" s="212"/>
      <c r="D660" s="212"/>
      <c r="E660" s="212"/>
      <c r="F660" s="212"/>
      <c r="G660" s="212"/>
      <c r="H660" s="212"/>
      <c r="J660" s="212"/>
      <c r="K660" s="212"/>
    </row>
    <row r="661" spans="1:11" ht="12.75" customHeight="1">
      <c r="A661" s="212"/>
      <c r="B661" s="212"/>
      <c r="C661" s="212"/>
      <c r="D661" s="212"/>
      <c r="E661" s="212"/>
      <c r="F661" s="212"/>
      <c r="G661" s="212"/>
      <c r="H661" s="212"/>
      <c r="J661" s="212"/>
      <c r="K661" s="212"/>
    </row>
    <row r="662" spans="1:11" ht="12.75" customHeight="1">
      <c r="A662" s="212"/>
      <c r="B662" s="212"/>
      <c r="C662" s="212"/>
      <c r="D662" s="212"/>
      <c r="E662" s="212"/>
      <c r="F662" s="212"/>
      <c r="G662" s="212"/>
      <c r="H662" s="212"/>
      <c r="J662" s="212"/>
      <c r="K662" s="212"/>
    </row>
    <row r="663" spans="1:11" ht="12.75" customHeight="1">
      <c r="A663" s="212"/>
      <c r="B663" s="212"/>
      <c r="C663" s="212"/>
      <c r="D663" s="212"/>
      <c r="E663" s="212"/>
      <c r="F663" s="212"/>
      <c r="G663" s="212"/>
      <c r="H663" s="212"/>
      <c r="J663" s="212"/>
      <c r="K663" s="212"/>
    </row>
    <row r="664" spans="1:11" ht="12.75" customHeight="1">
      <c r="A664" s="212"/>
      <c r="B664" s="212"/>
      <c r="C664" s="212"/>
      <c r="D664" s="212"/>
      <c r="E664" s="212"/>
      <c r="F664" s="212"/>
      <c r="G664" s="212"/>
      <c r="H664" s="212"/>
      <c r="J664" s="212"/>
      <c r="K664" s="212"/>
    </row>
    <row r="665" spans="1:11" ht="12.75" customHeight="1">
      <c r="A665" s="212"/>
      <c r="B665" s="212"/>
      <c r="C665" s="212"/>
      <c r="D665" s="212"/>
      <c r="E665" s="212"/>
      <c r="F665" s="212"/>
      <c r="G665" s="212"/>
      <c r="H665" s="212"/>
      <c r="J665" s="212"/>
      <c r="K665" s="212"/>
    </row>
    <row r="666" spans="1:11" ht="12.75" customHeight="1">
      <c r="A666" s="212"/>
      <c r="B666" s="212"/>
      <c r="C666" s="212"/>
      <c r="D666" s="212"/>
      <c r="E666" s="212"/>
      <c r="F666" s="212"/>
      <c r="G666" s="212"/>
      <c r="H666" s="212"/>
      <c r="J666" s="212"/>
      <c r="K666" s="212"/>
    </row>
    <row r="667" spans="1:11" ht="12.75" customHeight="1">
      <c r="A667" s="212"/>
      <c r="B667" s="212"/>
      <c r="C667" s="212"/>
      <c r="D667" s="212"/>
      <c r="E667" s="212"/>
      <c r="F667" s="212"/>
      <c r="G667" s="212"/>
      <c r="H667" s="212"/>
      <c r="J667" s="212"/>
      <c r="K667" s="212"/>
    </row>
    <row r="668" spans="1:11" ht="12.75" customHeight="1">
      <c r="A668" s="212"/>
      <c r="B668" s="212"/>
      <c r="C668" s="212"/>
      <c r="D668" s="212"/>
      <c r="E668" s="212"/>
      <c r="F668" s="212"/>
      <c r="G668" s="212"/>
      <c r="H668" s="212"/>
      <c r="J668" s="212"/>
      <c r="K668" s="212"/>
    </row>
    <row r="669" spans="1:11" ht="12.75" customHeight="1">
      <c r="A669" s="212"/>
      <c r="B669" s="212"/>
      <c r="C669" s="212"/>
      <c r="D669" s="212"/>
      <c r="E669" s="212"/>
      <c r="F669" s="212"/>
      <c r="G669" s="212"/>
      <c r="H669" s="212"/>
      <c r="J669" s="212"/>
      <c r="K669" s="212"/>
    </row>
    <row r="670" spans="1:11" ht="12.75" customHeight="1">
      <c r="A670" s="212"/>
      <c r="B670" s="212"/>
      <c r="C670" s="212"/>
      <c r="D670" s="212"/>
      <c r="E670" s="212"/>
      <c r="F670" s="212"/>
      <c r="G670" s="212"/>
      <c r="H670" s="212"/>
      <c r="J670" s="212"/>
      <c r="K670" s="212"/>
    </row>
    <row r="671" spans="1:11" ht="12.75" customHeight="1">
      <c r="A671" s="212"/>
      <c r="B671" s="212"/>
      <c r="C671" s="212"/>
      <c r="D671" s="212"/>
      <c r="E671" s="212"/>
      <c r="F671" s="212"/>
      <c r="G671" s="212"/>
      <c r="H671" s="212"/>
      <c r="J671" s="212"/>
      <c r="K671" s="212"/>
    </row>
    <row r="672" spans="1:11" ht="12.75" customHeight="1">
      <c r="A672" s="212"/>
      <c r="B672" s="212"/>
      <c r="C672" s="212"/>
      <c r="D672" s="212"/>
      <c r="E672" s="212"/>
      <c r="F672" s="212"/>
      <c r="G672" s="212"/>
      <c r="H672" s="212"/>
      <c r="J672" s="212"/>
      <c r="K672" s="212"/>
    </row>
    <row r="673" spans="1:11" ht="12.75" customHeight="1">
      <c r="A673" s="212"/>
      <c r="B673" s="212"/>
      <c r="C673" s="212"/>
      <c r="D673" s="212"/>
      <c r="E673" s="212"/>
      <c r="F673" s="212"/>
      <c r="G673" s="212"/>
      <c r="H673" s="212"/>
      <c r="J673" s="212"/>
      <c r="K673" s="212"/>
    </row>
    <row r="674" spans="1:11" ht="12.75" customHeight="1">
      <c r="A674" s="212"/>
      <c r="B674" s="212"/>
      <c r="C674" s="212"/>
      <c r="D674" s="212"/>
      <c r="E674" s="212"/>
      <c r="F674" s="212"/>
      <c r="G674" s="212"/>
      <c r="H674" s="212"/>
      <c r="J674" s="212"/>
      <c r="K674" s="212"/>
    </row>
    <row r="675" spans="1:11" ht="12.75" customHeight="1">
      <c r="A675" s="212"/>
      <c r="B675" s="212"/>
      <c r="C675" s="212"/>
      <c r="D675" s="212"/>
      <c r="E675" s="212"/>
      <c r="F675" s="212"/>
      <c r="G675" s="212"/>
      <c r="H675" s="212"/>
      <c r="J675" s="212"/>
      <c r="K675" s="212"/>
    </row>
    <row r="676" spans="1:11" ht="12.75" customHeight="1">
      <c r="A676" s="212"/>
      <c r="B676" s="212"/>
      <c r="C676" s="212"/>
      <c r="D676" s="212"/>
      <c r="E676" s="212"/>
      <c r="F676" s="212"/>
      <c r="G676" s="212"/>
      <c r="H676" s="212"/>
      <c r="J676" s="212"/>
      <c r="K676" s="212"/>
    </row>
    <row r="677" spans="1:11" ht="12.75" customHeight="1">
      <c r="A677" s="212"/>
      <c r="B677" s="212"/>
      <c r="C677" s="212"/>
      <c r="D677" s="212"/>
      <c r="E677" s="212"/>
      <c r="F677" s="212"/>
      <c r="G677" s="212"/>
      <c r="H677" s="212"/>
      <c r="J677" s="212"/>
      <c r="K677" s="212"/>
    </row>
    <row r="678" spans="1:11" ht="12.75" customHeight="1">
      <c r="A678" s="212"/>
      <c r="B678" s="212"/>
      <c r="C678" s="212"/>
      <c r="D678" s="212"/>
      <c r="E678" s="212"/>
      <c r="F678" s="212"/>
      <c r="G678" s="212"/>
      <c r="H678" s="212"/>
      <c r="J678" s="212"/>
      <c r="K678" s="212"/>
    </row>
    <row r="679" spans="1:11" ht="12.75" customHeight="1">
      <c r="A679" s="212"/>
      <c r="B679" s="212"/>
      <c r="C679" s="212"/>
      <c r="D679" s="212"/>
      <c r="E679" s="212"/>
      <c r="F679" s="212"/>
      <c r="G679" s="212"/>
      <c r="H679" s="212"/>
      <c r="J679" s="212"/>
      <c r="K679" s="212"/>
    </row>
    <row r="680" spans="1:11" ht="12.75" customHeight="1">
      <c r="A680" s="212"/>
      <c r="B680" s="212"/>
      <c r="C680" s="212"/>
      <c r="D680" s="212"/>
      <c r="E680" s="212"/>
      <c r="F680" s="212"/>
      <c r="G680" s="212"/>
      <c r="H680" s="212"/>
      <c r="J680" s="212"/>
      <c r="K680" s="212"/>
    </row>
    <row r="681" spans="1:11" ht="12.75" customHeight="1">
      <c r="A681" s="212"/>
      <c r="B681" s="212"/>
      <c r="C681" s="212"/>
      <c r="D681" s="212"/>
      <c r="E681" s="212"/>
      <c r="F681" s="212"/>
      <c r="G681" s="212"/>
      <c r="H681" s="212"/>
      <c r="J681" s="212"/>
      <c r="K681" s="212"/>
    </row>
    <row r="682" spans="1:11" ht="12.75" customHeight="1">
      <c r="A682" s="212"/>
      <c r="B682" s="212"/>
      <c r="C682" s="212"/>
      <c r="D682" s="212"/>
      <c r="E682" s="212"/>
      <c r="F682" s="212"/>
      <c r="G682" s="212"/>
      <c r="H682" s="212"/>
      <c r="J682" s="212"/>
      <c r="K682" s="212"/>
    </row>
    <row r="683" spans="1:11" ht="12.75" customHeight="1">
      <c r="A683" s="212"/>
      <c r="B683" s="212"/>
      <c r="C683" s="212"/>
      <c r="D683" s="212"/>
      <c r="E683" s="212"/>
      <c r="F683" s="212"/>
      <c r="G683" s="212"/>
      <c r="H683" s="212"/>
      <c r="J683" s="212"/>
      <c r="K683" s="212"/>
    </row>
    <row r="684" spans="1:11" ht="12.75" customHeight="1">
      <c r="A684" s="212"/>
      <c r="B684" s="212"/>
      <c r="C684" s="212"/>
      <c r="D684" s="212"/>
      <c r="E684" s="212"/>
      <c r="F684" s="212"/>
      <c r="G684" s="212"/>
      <c r="H684" s="212"/>
      <c r="J684" s="212"/>
      <c r="K684" s="212"/>
    </row>
    <row r="685" spans="1:11" ht="12.75" customHeight="1">
      <c r="A685" s="212"/>
      <c r="B685" s="212"/>
      <c r="C685" s="212"/>
      <c r="D685" s="212"/>
      <c r="E685" s="212"/>
      <c r="F685" s="212"/>
      <c r="G685" s="212"/>
      <c r="H685" s="212"/>
      <c r="J685" s="212"/>
      <c r="K685" s="212"/>
    </row>
    <row r="686" spans="1:11" ht="12.75" customHeight="1">
      <c r="A686" s="212"/>
      <c r="B686" s="212"/>
      <c r="C686" s="212"/>
      <c r="D686" s="212"/>
      <c r="E686" s="212"/>
      <c r="F686" s="212"/>
      <c r="G686" s="212"/>
      <c r="H686" s="212"/>
      <c r="J686" s="212"/>
      <c r="K686" s="212"/>
    </row>
    <row r="687" spans="1:11" ht="12.75" customHeight="1">
      <c r="A687" s="212"/>
      <c r="B687" s="212"/>
      <c r="C687" s="212"/>
      <c r="D687" s="212"/>
      <c r="E687" s="212"/>
      <c r="F687" s="212"/>
      <c r="G687" s="212"/>
      <c r="H687" s="212"/>
      <c r="J687" s="212"/>
      <c r="K687" s="212"/>
    </row>
    <row r="688" spans="1:11" ht="12.75" customHeight="1">
      <c r="A688" s="212"/>
      <c r="B688" s="212"/>
      <c r="C688" s="212"/>
      <c r="D688" s="212"/>
      <c r="E688" s="212"/>
      <c r="F688" s="212"/>
      <c r="G688" s="212"/>
      <c r="H688" s="212"/>
      <c r="J688" s="212"/>
      <c r="K688" s="212"/>
    </row>
    <row r="689" spans="1:11" ht="12.75" customHeight="1">
      <c r="A689" s="212"/>
      <c r="B689" s="212"/>
      <c r="C689" s="212"/>
      <c r="D689" s="212"/>
      <c r="E689" s="212"/>
      <c r="F689" s="212"/>
      <c r="G689" s="212"/>
      <c r="H689" s="212"/>
      <c r="J689" s="212"/>
      <c r="K689" s="212"/>
    </row>
    <row r="690" spans="1:11" ht="12.75" customHeight="1">
      <c r="A690" s="212"/>
      <c r="B690" s="212"/>
      <c r="C690" s="212"/>
      <c r="D690" s="212"/>
      <c r="E690" s="212"/>
      <c r="F690" s="212"/>
      <c r="G690" s="212"/>
      <c r="H690" s="212"/>
      <c r="J690" s="212"/>
      <c r="K690" s="212"/>
    </row>
    <row r="691" spans="1:11" ht="12.75" customHeight="1">
      <c r="A691" s="212"/>
      <c r="B691" s="212"/>
      <c r="C691" s="212"/>
      <c r="D691" s="212"/>
      <c r="E691" s="212"/>
      <c r="F691" s="212"/>
      <c r="G691" s="212"/>
      <c r="H691" s="212"/>
      <c r="J691" s="212"/>
      <c r="K691" s="212"/>
    </row>
    <row r="692" spans="1:11" ht="12.75" customHeight="1">
      <c r="A692" s="212"/>
      <c r="B692" s="212"/>
      <c r="C692" s="212"/>
      <c r="D692" s="212"/>
      <c r="E692" s="212"/>
      <c r="F692" s="212"/>
      <c r="G692" s="212"/>
      <c r="H692" s="212"/>
      <c r="J692" s="212"/>
      <c r="K692" s="212"/>
    </row>
    <row r="693" spans="1:11" ht="12.75" customHeight="1">
      <c r="A693" s="212"/>
      <c r="B693" s="212"/>
      <c r="C693" s="212"/>
      <c r="D693" s="212"/>
      <c r="E693" s="212"/>
      <c r="F693" s="212"/>
      <c r="G693" s="212"/>
      <c r="H693" s="212"/>
      <c r="J693" s="212"/>
      <c r="K693" s="212"/>
    </row>
    <row r="694" spans="1:11" ht="12.75" customHeight="1">
      <c r="A694" s="212"/>
      <c r="B694" s="212"/>
      <c r="C694" s="212"/>
      <c r="D694" s="212"/>
      <c r="E694" s="212"/>
      <c r="F694" s="212"/>
      <c r="G694" s="212"/>
      <c r="H694" s="212"/>
      <c r="J694" s="212"/>
      <c r="K694" s="212"/>
    </row>
    <row r="695" spans="1:11" ht="12.75" customHeight="1">
      <c r="A695" s="212"/>
      <c r="B695" s="212"/>
      <c r="C695" s="212"/>
      <c r="D695" s="212"/>
      <c r="E695" s="212"/>
      <c r="F695" s="212"/>
      <c r="G695" s="212"/>
      <c r="H695" s="212"/>
      <c r="J695" s="212"/>
      <c r="K695" s="212"/>
    </row>
    <row r="696" spans="1:11" ht="12.75" customHeight="1">
      <c r="A696" s="212"/>
      <c r="B696" s="212"/>
      <c r="C696" s="212"/>
      <c r="D696" s="212"/>
      <c r="E696" s="212"/>
      <c r="F696" s="212"/>
      <c r="G696" s="212"/>
      <c r="H696" s="212"/>
      <c r="J696" s="212"/>
      <c r="K696" s="212"/>
    </row>
    <row r="697" spans="1:11" ht="12.75" customHeight="1">
      <c r="A697" s="212"/>
      <c r="B697" s="212"/>
      <c r="C697" s="212"/>
      <c r="D697" s="212"/>
      <c r="E697" s="212"/>
      <c r="F697" s="212"/>
      <c r="G697" s="212"/>
      <c r="H697" s="212"/>
      <c r="J697" s="212"/>
      <c r="K697" s="212"/>
    </row>
    <row r="698" spans="1:11" ht="12.75" customHeight="1">
      <c r="A698" s="212"/>
      <c r="B698" s="212"/>
      <c r="C698" s="212"/>
      <c r="D698" s="212"/>
      <c r="E698" s="212"/>
      <c r="F698" s="212"/>
      <c r="G698" s="212"/>
      <c r="H698" s="212"/>
      <c r="J698" s="212"/>
      <c r="K698" s="212"/>
    </row>
    <row r="699" spans="1:11" ht="12.75" customHeight="1">
      <c r="A699" s="212"/>
      <c r="B699" s="212"/>
      <c r="C699" s="212"/>
      <c r="D699" s="212"/>
      <c r="E699" s="212"/>
      <c r="F699" s="212"/>
      <c r="G699" s="212"/>
      <c r="H699" s="212"/>
      <c r="J699" s="212"/>
      <c r="K699" s="212"/>
    </row>
    <row r="700" spans="1:11" ht="12.75" customHeight="1">
      <c r="A700" s="212"/>
      <c r="B700" s="212"/>
      <c r="C700" s="212"/>
      <c r="D700" s="212"/>
      <c r="E700" s="212"/>
      <c r="F700" s="212"/>
      <c r="G700" s="212"/>
      <c r="H700" s="212"/>
      <c r="J700" s="212"/>
      <c r="K700" s="212"/>
    </row>
    <row r="701" spans="1:11" ht="12.75" customHeight="1">
      <c r="A701" s="212"/>
      <c r="B701" s="212"/>
      <c r="C701" s="212"/>
      <c r="D701" s="212"/>
      <c r="E701" s="212"/>
      <c r="F701" s="212"/>
      <c r="G701" s="212"/>
      <c r="H701" s="212"/>
      <c r="J701" s="212"/>
      <c r="K701" s="212"/>
    </row>
    <row r="702" spans="1:11" ht="12.75" customHeight="1">
      <c r="A702" s="212"/>
      <c r="B702" s="212"/>
      <c r="C702" s="212"/>
      <c r="D702" s="212"/>
      <c r="E702" s="212"/>
      <c r="F702" s="212"/>
      <c r="G702" s="212"/>
      <c r="H702" s="212"/>
      <c r="J702" s="212"/>
      <c r="K702" s="212"/>
    </row>
    <row r="703" spans="1:11" ht="12.75" customHeight="1">
      <c r="A703" s="212"/>
      <c r="B703" s="212"/>
      <c r="C703" s="212"/>
      <c r="D703" s="212"/>
      <c r="E703" s="212"/>
      <c r="F703" s="212"/>
      <c r="G703" s="212"/>
      <c r="H703" s="212"/>
      <c r="J703" s="212"/>
      <c r="K703" s="212"/>
    </row>
    <row r="704" spans="1:11" ht="12.75" customHeight="1">
      <c r="A704" s="212"/>
      <c r="B704" s="212"/>
      <c r="C704" s="212"/>
      <c r="D704" s="212"/>
      <c r="E704" s="212"/>
      <c r="F704" s="212"/>
      <c r="G704" s="212"/>
      <c r="H704" s="212"/>
      <c r="J704" s="212"/>
      <c r="K704" s="212"/>
    </row>
    <row r="705" spans="1:11" ht="12.75" customHeight="1">
      <c r="A705" s="212"/>
      <c r="B705" s="212"/>
      <c r="C705" s="212"/>
      <c r="D705" s="212"/>
      <c r="E705" s="212"/>
      <c r="F705" s="212"/>
      <c r="G705" s="212"/>
      <c r="H705" s="212"/>
      <c r="J705" s="212"/>
      <c r="K705" s="212"/>
    </row>
    <row r="706" spans="1:11" ht="12.75" customHeight="1">
      <c r="A706" s="212"/>
      <c r="B706" s="212"/>
      <c r="C706" s="212"/>
      <c r="D706" s="212"/>
      <c r="E706" s="212"/>
      <c r="F706" s="212"/>
      <c r="G706" s="212"/>
      <c r="H706" s="212"/>
      <c r="J706" s="212"/>
      <c r="K706" s="212"/>
    </row>
    <row r="707" spans="1:11" ht="12.75" customHeight="1">
      <c r="A707" s="212"/>
      <c r="B707" s="212"/>
      <c r="C707" s="212"/>
      <c r="D707" s="212"/>
      <c r="E707" s="212"/>
      <c r="F707" s="212"/>
      <c r="G707" s="212"/>
      <c r="H707" s="212"/>
      <c r="J707" s="212"/>
      <c r="K707" s="212"/>
    </row>
    <row r="708" spans="1:11" ht="12.75" customHeight="1">
      <c r="A708" s="212"/>
      <c r="B708" s="212"/>
      <c r="C708" s="212"/>
      <c r="D708" s="212"/>
      <c r="E708" s="212"/>
      <c r="F708" s="212"/>
      <c r="G708" s="212"/>
      <c r="H708" s="212"/>
      <c r="J708" s="212"/>
      <c r="K708" s="212"/>
    </row>
    <row r="709" spans="1:11" ht="12.75" customHeight="1">
      <c r="A709" s="212"/>
      <c r="B709" s="212"/>
      <c r="C709" s="212"/>
      <c r="D709" s="212"/>
      <c r="E709" s="212"/>
      <c r="F709" s="212"/>
      <c r="G709" s="212"/>
      <c r="H709" s="212"/>
      <c r="J709" s="212"/>
      <c r="K709" s="212"/>
    </row>
    <row r="710" spans="1:11" ht="12.75" customHeight="1">
      <c r="A710" s="212"/>
      <c r="B710" s="212"/>
      <c r="C710" s="212"/>
      <c r="D710" s="212"/>
      <c r="E710" s="212"/>
      <c r="F710" s="212"/>
      <c r="G710" s="212"/>
      <c r="H710" s="212"/>
      <c r="J710" s="212"/>
      <c r="K710" s="212"/>
    </row>
    <row r="711" spans="1:11" ht="12.75" customHeight="1">
      <c r="A711" s="212"/>
      <c r="B711" s="212"/>
      <c r="C711" s="212"/>
      <c r="D711" s="212"/>
      <c r="E711" s="212"/>
      <c r="F711" s="212"/>
      <c r="G711" s="212"/>
      <c r="H711" s="212"/>
      <c r="J711" s="212"/>
      <c r="K711" s="212"/>
    </row>
    <row r="712" spans="1:11" ht="12.75" customHeight="1">
      <c r="A712" s="212"/>
      <c r="B712" s="212"/>
      <c r="C712" s="212"/>
      <c r="D712" s="212"/>
      <c r="E712" s="212"/>
      <c r="F712" s="212"/>
      <c r="G712" s="212"/>
      <c r="H712" s="212"/>
      <c r="J712" s="212"/>
      <c r="K712" s="212"/>
    </row>
    <row r="713" spans="1:11" ht="12.75" customHeight="1">
      <c r="A713" s="212"/>
      <c r="B713" s="212"/>
      <c r="C713" s="212"/>
      <c r="D713" s="212"/>
      <c r="E713" s="212"/>
      <c r="F713" s="212"/>
      <c r="G713" s="212"/>
      <c r="H713" s="212"/>
      <c r="J713" s="212"/>
      <c r="K713" s="212"/>
    </row>
    <row r="714" spans="1:11" ht="12.75" customHeight="1">
      <c r="A714" s="212"/>
      <c r="B714" s="212"/>
      <c r="C714" s="212"/>
      <c r="D714" s="212"/>
      <c r="E714" s="212"/>
      <c r="F714" s="212"/>
      <c r="G714" s="212"/>
      <c r="H714" s="212"/>
      <c r="J714" s="212"/>
      <c r="K714" s="212"/>
    </row>
    <row r="715" spans="1:11" ht="12.75" customHeight="1">
      <c r="A715" s="212"/>
      <c r="B715" s="212"/>
      <c r="C715" s="212"/>
      <c r="D715" s="212"/>
      <c r="E715" s="212"/>
      <c r="F715" s="212"/>
      <c r="G715" s="212"/>
      <c r="H715" s="212"/>
      <c r="J715" s="212"/>
      <c r="K715" s="212"/>
    </row>
    <row r="716" spans="1:11" ht="12.75" customHeight="1">
      <c r="A716" s="212"/>
      <c r="B716" s="212"/>
      <c r="C716" s="212"/>
      <c r="D716" s="212"/>
      <c r="E716" s="212"/>
      <c r="F716" s="212"/>
      <c r="G716" s="212"/>
      <c r="H716" s="212"/>
      <c r="J716" s="212"/>
      <c r="K716" s="212"/>
    </row>
    <row r="717" spans="1:11" ht="12.75" customHeight="1">
      <c r="A717" s="212"/>
      <c r="B717" s="212"/>
      <c r="C717" s="212"/>
      <c r="D717" s="212"/>
      <c r="E717" s="212"/>
      <c r="F717" s="212"/>
      <c r="G717" s="212"/>
      <c r="H717" s="212"/>
      <c r="J717" s="212"/>
      <c r="K717" s="212"/>
    </row>
    <row r="718" spans="1:11" ht="12.75" customHeight="1">
      <c r="A718" s="212"/>
      <c r="B718" s="212"/>
      <c r="C718" s="212"/>
      <c r="D718" s="212"/>
      <c r="E718" s="212"/>
      <c r="F718" s="212"/>
      <c r="G718" s="212"/>
      <c r="H718" s="212"/>
      <c r="J718" s="212"/>
      <c r="K718" s="212"/>
    </row>
    <row r="719" spans="1:11" ht="12.75" customHeight="1">
      <c r="A719" s="212"/>
      <c r="B719" s="212"/>
      <c r="C719" s="212"/>
      <c r="D719" s="212"/>
      <c r="E719" s="212"/>
      <c r="F719" s="212"/>
      <c r="G719" s="212"/>
      <c r="H719" s="212"/>
      <c r="J719" s="212"/>
      <c r="K719" s="212"/>
    </row>
    <row r="720" spans="1:11" ht="12.75" customHeight="1">
      <c r="A720" s="212"/>
      <c r="B720" s="212"/>
      <c r="C720" s="212"/>
      <c r="D720" s="212"/>
      <c r="E720" s="212"/>
      <c r="F720" s="212"/>
      <c r="G720" s="212"/>
      <c r="H720" s="212"/>
      <c r="J720" s="212"/>
      <c r="K720" s="212"/>
    </row>
    <row r="721" spans="1:11" ht="12.75" customHeight="1">
      <c r="A721" s="212"/>
      <c r="B721" s="212"/>
      <c r="C721" s="212"/>
      <c r="D721" s="212"/>
      <c r="E721" s="212"/>
      <c r="F721" s="212"/>
      <c r="G721" s="212"/>
      <c r="H721" s="212"/>
      <c r="J721" s="212"/>
      <c r="K721" s="212"/>
    </row>
    <row r="722" spans="1:11" ht="12.75" customHeight="1">
      <c r="A722" s="212"/>
      <c r="B722" s="212"/>
      <c r="C722" s="212"/>
      <c r="D722" s="212"/>
      <c r="E722" s="212"/>
      <c r="F722" s="212"/>
      <c r="G722" s="212"/>
      <c r="H722" s="212"/>
      <c r="J722" s="212"/>
      <c r="K722" s="212"/>
    </row>
    <row r="723" spans="1:11" ht="12.75" customHeight="1">
      <c r="A723" s="212"/>
      <c r="B723" s="212"/>
      <c r="C723" s="212"/>
      <c r="D723" s="212"/>
      <c r="E723" s="212"/>
      <c r="F723" s="212"/>
      <c r="G723" s="212"/>
      <c r="H723" s="212"/>
      <c r="J723" s="212"/>
      <c r="K723" s="212"/>
    </row>
    <row r="724" spans="1:11" ht="12.75" customHeight="1">
      <c r="A724" s="212"/>
      <c r="B724" s="212"/>
      <c r="C724" s="212"/>
      <c r="D724" s="212"/>
      <c r="E724" s="212"/>
      <c r="F724" s="212"/>
      <c r="G724" s="212"/>
      <c r="H724" s="212"/>
      <c r="J724" s="212"/>
      <c r="K724" s="212"/>
    </row>
    <row r="725" spans="1:11" ht="12.75" customHeight="1">
      <c r="A725" s="212"/>
      <c r="B725" s="212"/>
      <c r="C725" s="212"/>
      <c r="D725" s="212"/>
      <c r="E725" s="212"/>
      <c r="F725" s="212"/>
      <c r="G725" s="212"/>
      <c r="H725" s="212"/>
      <c r="J725" s="212"/>
      <c r="K725" s="212"/>
    </row>
    <row r="726" spans="1:11" ht="12.75" customHeight="1">
      <c r="A726" s="212"/>
      <c r="B726" s="212"/>
      <c r="C726" s="212"/>
      <c r="D726" s="212"/>
      <c r="E726" s="212"/>
      <c r="F726" s="212"/>
      <c r="G726" s="212"/>
      <c r="H726" s="212"/>
      <c r="J726" s="212"/>
      <c r="K726" s="212"/>
    </row>
    <row r="727" spans="1:11" ht="12.75" customHeight="1">
      <c r="A727" s="212"/>
      <c r="B727" s="212"/>
      <c r="C727" s="212"/>
      <c r="D727" s="212"/>
      <c r="E727" s="212"/>
      <c r="F727" s="212"/>
      <c r="G727" s="212"/>
      <c r="H727" s="212"/>
      <c r="J727" s="212"/>
      <c r="K727" s="212"/>
    </row>
    <row r="728" spans="1:11" ht="12.75" customHeight="1">
      <c r="A728" s="212"/>
      <c r="B728" s="212"/>
      <c r="C728" s="212"/>
      <c r="D728" s="212"/>
      <c r="E728" s="212"/>
      <c r="F728" s="212"/>
      <c r="G728" s="212"/>
      <c r="H728" s="212"/>
      <c r="J728" s="212"/>
      <c r="K728" s="212"/>
    </row>
    <row r="729" spans="1:11" ht="12.75" customHeight="1">
      <c r="A729" s="212"/>
      <c r="B729" s="212"/>
      <c r="C729" s="212"/>
      <c r="D729" s="212"/>
      <c r="E729" s="212"/>
      <c r="F729" s="212"/>
      <c r="G729" s="212"/>
      <c r="H729" s="212"/>
      <c r="J729" s="212"/>
      <c r="K729" s="212"/>
    </row>
    <row r="730" spans="1:11" ht="12.75" customHeight="1">
      <c r="A730" s="212"/>
      <c r="B730" s="212"/>
      <c r="C730" s="212"/>
      <c r="D730" s="212"/>
      <c r="E730" s="212"/>
      <c r="F730" s="212"/>
      <c r="G730" s="212"/>
      <c r="H730" s="212"/>
      <c r="J730" s="212"/>
      <c r="K730" s="212"/>
    </row>
    <row r="731" spans="1:11" ht="12.75" customHeight="1">
      <c r="A731" s="212"/>
      <c r="B731" s="212"/>
      <c r="C731" s="212"/>
      <c r="D731" s="212"/>
      <c r="E731" s="212"/>
      <c r="F731" s="212"/>
      <c r="G731" s="212"/>
      <c r="H731" s="212"/>
      <c r="J731" s="212"/>
      <c r="K731" s="212"/>
    </row>
    <row r="732" spans="1:11" ht="12.75" customHeight="1">
      <c r="A732" s="212"/>
      <c r="B732" s="212"/>
      <c r="C732" s="212"/>
      <c r="D732" s="212"/>
      <c r="E732" s="212"/>
      <c r="F732" s="212"/>
      <c r="G732" s="212"/>
      <c r="H732" s="212"/>
      <c r="J732" s="212"/>
      <c r="K732" s="212"/>
    </row>
    <row r="733" spans="1:11" ht="12.75" customHeight="1">
      <c r="A733" s="212"/>
      <c r="B733" s="212"/>
      <c r="C733" s="212"/>
      <c r="D733" s="212"/>
      <c r="E733" s="212"/>
      <c r="F733" s="212"/>
      <c r="G733" s="212"/>
      <c r="H733" s="212"/>
      <c r="J733" s="212"/>
      <c r="K733" s="212"/>
    </row>
    <row r="734" spans="1:11" ht="12.75" customHeight="1">
      <c r="A734" s="212"/>
      <c r="B734" s="212"/>
      <c r="C734" s="212"/>
      <c r="D734" s="212"/>
      <c r="E734" s="212"/>
      <c r="F734" s="212"/>
      <c r="G734" s="212"/>
      <c r="H734" s="212"/>
      <c r="J734" s="212"/>
      <c r="K734" s="212"/>
    </row>
    <row r="735" spans="1:11" ht="12.75" customHeight="1">
      <c r="A735" s="212"/>
      <c r="B735" s="212"/>
      <c r="C735" s="212"/>
      <c r="D735" s="212"/>
      <c r="E735" s="212"/>
      <c r="F735" s="212"/>
      <c r="G735" s="212"/>
      <c r="H735" s="212"/>
      <c r="J735" s="212"/>
      <c r="K735" s="212"/>
    </row>
    <row r="736" spans="1:11" ht="12.75" customHeight="1">
      <c r="A736" s="212"/>
      <c r="B736" s="212"/>
      <c r="C736" s="212"/>
      <c r="D736" s="212"/>
      <c r="E736" s="212"/>
      <c r="F736" s="212"/>
      <c r="G736" s="212"/>
      <c r="H736" s="212"/>
      <c r="J736" s="212"/>
      <c r="K736" s="212"/>
    </row>
    <row r="737" spans="1:11" ht="12.75" customHeight="1">
      <c r="A737" s="212"/>
      <c r="B737" s="212"/>
      <c r="C737" s="212"/>
      <c r="D737" s="212"/>
      <c r="E737" s="212"/>
      <c r="F737" s="212"/>
      <c r="G737" s="212"/>
      <c r="H737" s="212"/>
      <c r="J737" s="212"/>
      <c r="K737" s="212"/>
    </row>
    <row r="738" spans="1:11" ht="12.75" customHeight="1">
      <c r="A738" s="212"/>
      <c r="B738" s="212"/>
      <c r="C738" s="212"/>
      <c r="D738" s="212"/>
      <c r="E738" s="212"/>
      <c r="F738" s="212"/>
      <c r="G738" s="212"/>
      <c r="H738" s="212"/>
      <c r="J738" s="212"/>
      <c r="K738" s="212"/>
    </row>
    <row r="739" spans="1:11" ht="12.75" customHeight="1">
      <c r="A739" s="212"/>
      <c r="B739" s="212"/>
      <c r="C739" s="212"/>
      <c r="D739" s="212"/>
      <c r="E739" s="212"/>
      <c r="F739" s="212"/>
      <c r="G739" s="212"/>
      <c r="H739" s="212"/>
      <c r="J739" s="212"/>
      <c r="K739" s="212"/>
    </row>
    <row r="740" spans="1:11" ht="12.75" customHeight="1">
      <c r="A740" s="212"/>
      <c r="B740" s="212"/>
      <c r="C740" s="212"/>
      <c r="D740" s="212"/>
      <c r="E740" s="212"/>
      <c r="F740" s="212"/>
      <c r="G740" s="212"/>
      <c r="H740" s="212"/>
      <c r="J740" s="212"/>
      <c r="K740" s="212"/>
    </row>
    <row r="741" spans="1:11" ht="12.75" customHeight="1">
      <c r="A741" s="212"/>
      <c r="B741" s="212"/>
      <c r="C741" s="212"/>
      <c r="D741" s="212"/>
      <c r="E741" s="212"/>
      <c r="F741" s="212"/>
      <c r="G741" s="212"/>
      <c r="H741" s="212"/>
      <c r="J741" s="212"/>
      <c r="K741" s="212"/>
    </row>
    <row r="742" spans="1:11" ht="12.75" customHeight="1">
      <c r="A742" s="212"/>
      <c r="B742" s="212"/>
      <c r="C742" s="212"/>
      <c r="D742" s="212"/>
      <c r="E742" s="212"/>
      <c r="F742" s="212"/>
      <c r="G742" s="212"/>
      <c r="H742" s="212"/>
      <c r="J742" s="212"/>
      <c r="K742" s="212"/>
    </row>
    <row r="743" spans="1:11" ht="12.75" customHeight="1">
      <c r="A743" s="212"/>
      <c r="B743" s="212"/>
      <c r="C743" s="212"/>
      <c r="D743" s="212"/>
      <c r="E743" s="212"/>
      <c r="F743" s="212"/>
      <c r="G743" s="212"/>
      <c r="H743" s="212"/>
      <c r="J743" s="212"/>
      <c r="K743" s="212"/>
    </row>
    <row r="744" spans="1:11" ht="12.75" customHeight="1">
      <c r="A744" s="212"/>
      <c r="B744" s="212"/>
      <c r="C744" s="212"/>
      <c r="D744" s="212"/>
      <c r="E744" s="212"/>
      <c r="F744" s="212"/>
      <c r="G744" s="212"/>
      <c r="H744" s="212"/>
      <c r="J744" s="212"/>
      <c r="K744" s="212"/>
    </row>
    <row r="745" spans="1:11" ht="12.75" customHeight="1">
      <c r="A745" s="212"/>
      <c r="B745" s="212"/>
      <c r="C745" s="212"/>
      <c r="D745" s="212"/>
      <c r="E745" s="212"/>
      <c r="F745" s="212"/>
      <c r="G745" s="212"/>
      <c r="H745" s="212"/>
      <c r="J745" s="212"/>
      <c r="K745" s="212"/>
    </row>
    <row r="746" spans="1:11" ht="12.75" customHeight="1">
      <c r="A746" s="212"/>
      <c r="B746" s="212"/>
      <c r="C746" s="212"/>
      <c r="D746" s="212"/>
      <c r="E746" s="212"/>
      <c r="F746" s="212"/>
      <c r="G746" s="212"/>
      <c r="H746" s="212"/>
      <c r="J746" s="212"/>
      <c r="K746" s="212"/>
    </row>
    <row r="747" spans="1:11" ht="12.75" customHeight="1">
      <c r="A747" s="212"/>
      <c r="B747" s="212"/>
      <c r="C747" s="212"/>
      <c r="D747" s="212"/>
      <c r="E747" s="212"/>
      <c r="F747" s="212"/>
      <c r="G747" s="212"/>
      <c r="H747" s="212"/>
      <c r="J747" s="212"/>
      <c r="K747" s="212"/>
    </row>
    <row r="748" spans="1:11" ht="12.75" customHeight="1">
      <c r="A748" s="212"/>
      <c r="B748" s="212"/>
      <c r="C748" s="212"/>
      <c r="D748" s="212"/>
      <c r="E748" s="212"/>
      <c r="F748" s="212"/>
      <c r="G748" s="212"/>
      <c r="H748" s="212"/>
      <c r="J748" s="212"/>
      <c r="K748" s="212"/>
    </row>
    <row r="749" spans="1:11" ht="12.75" customHeight="1">
      <c r="A749" s="212"/>
      <c r="B749" s="212"/>
      <c r="C749" s="212"/>
      <c r="D749" s="212"/>
      <c r="E749" s="212"/>
      <c r="F749" s="212"/>
      <c r="G749" s="212"/>
      <c r="H749" s="212"/>
      <c r="J749" s="212"/>
      <c r="K749" s="212"/>
    </row>
    <row r="750" spans="1:11" ht="12.75" customHeight="1">
      <c r="A750" s="212"/>
      <c r="B750" s="212"/>
      <c r="C750" s="212"/>
      <c r="D750" s="212"/>
      <c r="E750" s="212"/>
      <c r="F750" s="212"/>
      <c r="G750" s="212"/>
      <c r="H750" s="212"/>
      <c r="J750" s="212"/>
      <c r="K750" s="212"/>
    </row>
    <row r="751" spans="1:11" ht="12.75" customHeight="1">
      <c r="A751" s="212"/>
      <c r="B751" s="212"/>
      <c r="C751" s="212"/>
      <c r="D751" s="212"/>
      <c r="E751" s="212"/>
      <c r="F751" s="212"/>
      <c r="G751" s="212"/>
      <c r="H751" s="212"/>
      <c r="J751" s="212"/>
      <c r="K751" s="212"/>
    </row>
    <row r="752" spans="1:11" ht="12.75" customHeight="1">
      <c r="A752" s="212"/>
      <c r="B752" s="212"/>
      <c r="C752" s="212"/>
      <c r="D752" s="212"/>
      <c r="E752" s="212"/>
      <c r="F752" s="212"/>
      <c r="G752" s="212"/>
      <c r="H752" s="212"/>
      <c r="J752" s="212"/>
      <c r="K752" s="212"/>
    </row>
    <row r="753" spans="1:11" ht="12.75" customHeight="1">
      <c r="A753" s="212"/>
      <c r="B753" s="212"/>
      <c r="C753" s="212"/>
      <c r="D753" s="212"/>
      <c r="E753" s="212"/>
      <c r="F753" s="212"/>
      <c r="G753" s="212"/>
      <c r="H753" s="212"/>
      <c r="J753" s="212"/>
      <c r="K753" s="212"/>
    </row>
    <row r="754" spans="1:11" ht="12.75" customHeight="1">
      <c r="A754" s="212"/>
      <c r="B754" s="212"/>
      <c r="C754" s="212"/>
      <c r="D754" s="212"/>
      <c r="E754" s="212"/>
      <c r="F754" s="212"/>
      <c r="G754" s="212"/>
      <c r="H754" s="212"/>
      <c r="J754" s="212"/>
      <c r="K754" s="212"/>
    </row>
    <row r="755" spans="1:11" ht="12.75" customHeight="1">
      <c r="A755" s="212"/>
      <c r="B755" s="212"/>
      <c r="C755" s="212"/>
      <c r="D755" s="212"/>
      <c r="E755" s="212"/>
      <c r="F755" s="212"/>
      <c r="G755" s="212"/>
      <c r="H755" s="212"/>
      <c r="J755" s="212"/>
      <c r="K755" s="212"/>
    </row>
    <row r="756" spans="1:11" ht="12.75" customHeight="1">
      <c r="A756" s="212"/>
      <c r="B756" s="212"/>
      <c r="C756" s="212"/>
      <c r="D756" s="212"/>
      <c r="E756" s="212"/>
      <c r="F756" s="212"/>
      <c r="G756" s="212"/>
      <c r="H756" s="212"/>
      <c r="J756" s="212"/>
      <c r="K756" s="212"/>
    </row>
    <row r="757" spans="1:11" ht="12.75" customHeight="1">
      <c r="A757" s="212"/>
      <c r="B757" s="212"/>
      <c r="C757" s="212"/>
      <c r="D757" s="212"/>
      <c r="E757" s="212"/>
      <c r="F757" s="212"/>
      <c r="G757" s="212"/>
      <c r="H757" s="212"/>
      <c r="J757" s="212"/>
      <c r="K757" s="212"/>
    </row>
    <row r="758" spans="1:11" ht="12.75" customHeight="1">
      <c r="A758" s="212"/>
      <c r="B758" s="212"/>
      <c r="C758" s="212"/>
      <c r="D758" s="212"/>
      <c r="E758" s="212"/>
      <c r="F758" s="212"/>
      <c r="G758" s="212"/>
      <c r="H758" s="212"/>
      <c r="J758" s="212"/>
      <c r="K758" s="212"/>
    </row>
    <row r="759" spans="1:11" ht="12.75" customHeight="1">
      <c r="A759" s="212"/>
      <c r="B759" s="212"/>
      <c r="C759" s="212"/>
      <c r="D759" s="212"/>
      <c r="E759" s="212"/>
      <c r="F759" s="212"/>
      <c r="G759" s="212"/>
      <c r="H759" s="212"/>
      <c r="J759" s="212"/>
      <c r="K759" s="212"/>
    </row>
    <row r="760" spans="1:11" ht="12.75" customHeight="1">
      <c r="A760" s="212"/>
      <c r="B760" s="212"/>
      <c r="C760" s="212"/>
      <c r="D760" s="212"/>
      <c r="E760" s="212"/>
      <c r="F760" s="212"/>
      <c r="G760" s="212"/>
      <c r="H760" s="212"/>
      <c r="J760" s="212"/>
      <c r="K760" s="212"/>
    </row>
    <row r="761" spans="1:11" ht="12.75" customHeight="1">
      <c r="A761" s="212"/>
      <c r="B761" s="212"/>
      <c r="C761" s="212"/>
      <c r="D761" s="212"/>
      <c r="E761" s="212"/>
      <c r="F761" s="212"/>
      <c r="G761" s="212"/>
      <c r="H761" s="212"/>
      <c r="J761" s="212"/>
      <c r="K761" s="212"/>
    </row>
    <row r="762" spans="1:11" ht="12.75" customHeight="1">
      <c r="A762" s="212"/>
      <c r="B762" s="212"/>
      <c r="C762" s="212"/>
      <c r="D762" s="212"/>
      <c r="E762" s="212"/>
      <c r="F762" s="212"/>
      <c r="G762" s="212"/>
      <c r="H762" s="212"/>
      <c r="J762" s="212"/>
      <c r="K762" s="212"/>
    </row>
    <row r="763" spans="1:11" ht="12.75" customHeight="1">
      <c r="A763" s="212"/>
      <c r="B763" s="212"/>
      <c r="C763" s="212"/>
      <c r="D763" s="212"/>
      <c r="E763" s="212"/>
      <c r="F763" s="212"/>
      <c r="G763" s="212"/>
      <c r="H763" s="212"/>
      <c r="J763" s="212"/>
      <c r="K763" s="212"/>
    </row>
    <row r="764" spans="1:11" ht="12.75" customHeight="1">
      <c r="A764" s="212"/>
      <c r="B764" s="212"/>
      <c r="C764" s="212"/>
      <c r="D764" s="212"/>
      <c r="E764" s="212"/>
      <c r="F764" s="212"/>
      <c r="G764" s="212"/>
      <c r="H764" s="212"/>
      <c r="J764" s="212"/>
      <c r="K764" s="212"/>
    </row>
    <row r="765" spans="1:11" ht="12.75" customHeight="1">
      <c r="A765" s="212"/>
      <c r="B765" s="212"/>
      <c r="C765" s="212"/>
      <c r="D765" s="212"/>
      <c r="E765" s="212"/>
      <c r="F765" s="212"/>
      <c r="G765" s="212"/>
      <c r="H765" s="212"/>
      <c r="J765" s="212"/>
      <c r="K765" s="212"/>
    </row>
    <row r="766" spans="1:11" ht="12.75" customHeight="1">
      <c r="A766" s="212"/>
      <c r="B766" s="212"/>
      <c r="C766" s="212"/>
      <c r="D766" s="212"/>
      <c r="E766" s="212"/>
      <c r="F766" s="212"/>
      <c r="G766" s="212"/>
      <c r="H766" s="212"/>
      <c r="J766" s="212"/>
      <c r="K766" s="212"/>
    </row>
    <row r="767" spans="1:11" ht="12.75" customHeight="1">
      <c r="A767" s="212"/>
      <c r="B767" s="212"/>
      <c r="C767" s="212"/>
      <c r="D767" s="212"/>
      <c r="E767" s="212"/>
      <c r="F767" s="212"/>
      <c r="G767" s="212"/>
      <c r="H767" s="212"/>
      <c r="J767" s="212"/>
      <c r="K767" s="212"/>
    </row>
    <row r="768" spans="1:11" ht="12.75" customHeight="1">
      <c r="A768" s="212"/>
      <c r="B768" s="212"/>
      <c r="C768" s="212"/>
      <c r="D768" s="212"/>
      <c r="E768" s="212"/>
      <c r="F768" s="212"/>
      <c r="G768" s="212"/>
      <c r="H768" s="212"/>
      <c r="J768" s="212"/>
      <c r="K768" s="212"/>
    </row>
    <row r="769" spans="1:11" ht="12.75" customHeight="1">
      <c r="A769" s="212"/>
      <c r="B769" s="212"/>
      <c r="C769" s="212"/>
      <c r="D769" s="212"/>
      <c r="E769" s="212"/>
      <c r="F769" s="212"/>
      <c r="G769" s="212"/>
      <c r="H769" s="212"/>
      <c r="J769" s="212"/>
      <c r="K769" s="212"/>
    </row>
    <row r="770" spans="1:11" ht="12.75" customHeight="1">
      <c r="A770" s="212"/>
      <c r="B770" s="212"/>
      <c r="C770" s="212"/>
      <c r="D770" s="212"/>
      <c r="E770" s="212"/>
      <c r="F770" s="212"/>
      <c r="G770" s="212"/>
      <c r="H770" s="212"/>
      <c r="J770" s="212"/>
      <c r="K770" s="212"/>
    </row>
    <row r="771" spans="1:11" ht="12.75" customHeight="1">
      <c r="A771" s="212"/>
      <c r="B771" s="212"/>
      <c r="C771" s="212"/>
      <c r="D771" s="212"/>
      <c r="E771" s="212"/>
      <c r="F771" s="212"/>
      <c r="G771" s="212"/>
      <c r="H771" s="212"/>
      <c r="J771" s="212"/>
      <c r="K771" s="212"/>
    </row>
    <row r="772" spans="1:11" ht="12.75" customHeight="1">
      <c r="A772" s="212"/>
      <c r="B772" s="212"/>
      <c r="C772" s="212"/>
      <c r="D772" s="212"/>
      <c r="E772" s="212"/>
      <c r="F772" s="212"/>
      <c r="G772" s="212"/>
      <c r="H772" s="212"/>
      <c r="J772" s="212"/>
      <c r="K772" s="212"/>
    </row>
    <row r="773" spans="1:11" ht="12.75" customHeight="1">
      <c r="A773" s="212"/>
      <c r="B773" s="212"/>
      <c r="C773" s="212"/>
      <c r="D773" s="212"/>
      <c r="E773" s="212"/>
      <c r="F773" s="212"/>
      <c r="G773" s="212"/>
      <c r="H773" s="212"/>
      <c r="J773" s="212"/>
      <c r="K773" s="212"/>
    </row>
    <row r="774" spans="1:11" ht="12.75" customHeight="1">
      <c r="A774" s="212"/>
      <c r="B774" s="212"/>
      <c r="C774" s="212"/>
      <c r="D774" s="212"/>
      <c r="E774" s="212"/>
      <c r="F774" s="212"/>
      <c r="G774" s="212"/>
      <c r="H774" s="212"/>
      <c r="J774" s="212"/>
      <c r="K774" s="212"/>
    </row>
    <row r="775" spans="1:11" ht="12.75" customHeight="1">
      <c r="A775" s="212"/>
      <c r="B775" s="212"/>
      <c r="C775" s="212"/>
      <c r="D775" s="212"/>
      <c r="E775" s="212"/>
      <c r="F775" s="212"/>
      <c r="G775" s="212"/>
      <c r="H775" s="212"/>
      <c r="J775" s="212"/>
      <c r="K775" s="212"/>
    </row>
    <row r="776" spans="1:11" ht="12.75" customHeight="1">
      <c r="A776" s="212"/>
      <c r="B776" s="212"/>
      <c r="C776" s="212"/>
      <c r="D776" s="212"/>
      <c r="E776" s="212"/>
      <c r="F776" s="212"/>
      <c r="G776" s="212"/>
      <c r="H776" s="212"/>
      <c r="J776" s="212"/>
      <c r="K776" s="212"/>
    </row>
    <row r="777" spans="1:11" ht="12.75" customHeight="1">
      <c r="A777" s="212"/>
      <c r="B777" s="212"/>
      <c r="C777" s="212"/>
      <c r="D777" s="212"/>
      <c r="E777" s="212"/>
      <c r="F777" s="212"/>
      <c r="G777" s="212"/>
      <c r="H777" s="212"/>
      <c r="J777" s="212"/>
      <c r="K777" s="212"/>
    </row>
    <row r="778" spans="1:11" ht="12.75" customHeight="1">
      <c r="A778" s="212"/>
      <c r="B778" s="212"/>
      <c r="C778" s="212"/>
      <c r="D778" s="212"/>
      <c r="E778" s="212"/>
      <c r="F778" s="212"/>
      <c r="G778" s="212"/>
      <c r="H778" s="212"/>
      <c r="J778" s="212"/>
      <c r="K778" s="212"/>
    </row>
    <row r="779" spans="1:11" ht="12.75" customHeight="1">
      <c r="A779" s="212"/>
      <c r="B779" s="212"/>
      <c r="C779" s="212"/>
      <c r="D779" s="212"/>
      <c r="E779" s="212"/>
      <c r="F779" s="212"/>
      <c r="G779" s="212"/>
      <c r="H779" s="212"/>
      <c r="J779" s="212"/>
      <c r="K779" s="212"/>
    </row>
    <row r="780" spans="1:11" ht="12.75" customHeight="1">
      <c r="A780" s="212"/>
      <c r="B780" s="212"/>
      <c r="C780" s="212"/>
      <c r="D780" s="212"/>
      <c r="E780" s="212"/>
      <c r="F780" s="212"/>
      <c r="G780" s="212"/>
      <c r="H780" s="212"/>
      <c r="J780" s="212"/>
      <c r="K780" s="212"/>
    </row>
    <row r="781" spans="1:11" ht="12.75" customHeight="1">
      <c r="A781" s="212"/>
      <c r="B781" s="212"/>
      <c r="C781" s="212"/>
      <c r="D781" s="212"/>
      <c r="E781" s="212"/>
      <c r="F781" s="212"/>
      <c r="G781" s="212"/>
      <c r="H781" s="212"/>
      <c r="J781" s="212"/>
      <c r="K781" s="212"/>
    </row>
    <row r="782" spans="1:11" ht="12.75" customHeight="1">
      <c r="A782" s="212"/>
      <c r="B782" s="212"/>
      <c r="C782" s="212"/>
      <c r="D782" s="212"/>
      <c r="E782" s="212"/>
      <c r="F782" s="212"/>
      <c r="G782" s="212"/>
      <c r="H782" s="212"/>
      <c r="J782" s="212"/>
      <c r="K782" s="212"/>
    </row>
    <row r="783" spans="1:11" ht="12.75" customHeight="1">
      <c r="A783" s="212"/>
      <c r="B783" s="212"/>
      <c r="C783" s="212"/>
      <c r="D783" s="212"/>
      <c r="E783" s="212"/>
      <c r="F783" s="212"/>
      <c r="G783" s="212"/>
      <c r="H783" s="212"/>
      <c r="J783" s="212"/>
      <c r="K783" s="212"/>
    </row>
    <row r="784" spans="1:11" ht="12.75" customHeight="1">
      <c r="A784" s="212"/>
      <c r="B784" s="212"/>
      <c r="C784" s="212"/>
      <c r="D784" s="212"/>
      <c r="E784" s="212"/>
      <c r="F784" s="212"/>
      <c r="G784" s="212"/>
      <c r="H784" s="212"/>
      <c r="J784" s="212"/>
      <c r="K784" s="212"/>
    </row>
    <row r="785" spans="1:11" ht="12.75" customHeight="1">
      <c r="A785" s="212"/>
      <c r="B785" s="212"/>
      <c r="C785" s="212"/>
      <c r="D785" s="212"/>
      <c r="E785" s="212"/>
      <c r="F785" s="212"/>
      <c r="G785" s="212"/>
      <c r="H785" s="212"/>
      <c r="J785" s="212"/>
      <c r="K785" s="212"/>
    </row>
    <row r="786" spans="1:11" ht="12.75" customHeight="1">
      <c r="A786" s="212"/>
      <c r="B786" s="212"/>
      <c r="C786" s="212"/>
      <c r="D786" s="212"/>
      <c r="E786" s="212"/>
      <c r="F786" s="212"/>
      <c r="G786" s="212"/>
      <c r="H786" s="212"/>
      <c r="J786" s="212"/>
      <c r="K786" s="212"/>
    </row>
    <row r="787" spans="1:11" ht="12.75" customHeight="1">
      <c r="A787" s="212"/>
      <c r="B787" s="212"/>
      <c r="C787" s="212"/>
      <c r="D787" s="212"/>
      <c r="E787" s="212"/>
      <c r="F787" s="212"/>
      <c r="G787" s="212"/>
      <c r="H787" s="212"/>
      <c r="J787" s="212"/>
      <c r="K787" s="212"/>
    </row>
    <row r="788" spans="1:11" ht="12.75" customHeight="1">
      <c r="A788" s="212"/>
      <c r="B788" s="212"/>
      <c r="C788" s="212"/>
      <c r="D788" s="212"/>
      <c r="E788" s="212"/>
      <c r="F788" s="212"/>
      <c r="G788" s="212"/>
      <c r="H788" s="212"/>
      <c r="J788" s="212"/>
      <c r="K788" s="212"/>
    </row>
    <row r="789" spans="1:11" ht="12.75" customHeight="1">
      <c r="A789" s="212"/>
      <c r="B789" s="212"/>
      <c r="C789" s="212"/>
      <c r="D789" s="212"/>
      <c r="E789" s="212"/>
      <c r="F789" s="212"/>
      <c r="G789" s="212"/>
      <c r="H789" s="212"/>
      <c r="J789" s="212"/>
      <c r="K789" s="212"/>
    </row>
    <row r="790" spans="1:11" ht="12.75" customHeight="1">
      <c r="A790" s="212"/>
      <c r="B790" s="212"/>
      <c r="C790" s="212"/>
      <c r="D790" s="212"/>
      <c r="E790" s="212"/>
      <c r="F790" s="212"/>
      <c r="G790" s="212"/>
      <c r="H790" s="212"/>
      <c r="J790" s="212"/>
      <c r="K790" s="212"/>
    </row>
    <row r="791" spans="1:11" ht="12.75" customHeight="1">
      <c r="A791" s="212"/>
      <c r="B791" s="212"/>
      <c r="C791" s="212"/>
      <c r="D791" s="212"/>
      <c r="E791" s="212"/>
      <c r="F791" s="212"/>
      <c r="G791" s="212"/>
      <c r="H791" s="212"/>
      <c r="J791" s="212"/>
      <c r="K791" s="212"/>
    </row>
    <row r="792" spans="1:11" ht="12.75" customHeight="1">
      <c r="A792" s="212"/>
      <c r="B792" s="212"/>
      <c r="C792" s="212"/>
      <c r="D792" s="212"/>
      <c r="E792" s="212"/>
      <c r="F792" s="212"/>
      <c r="G792" s="212"/>
      <c r="H792" s="212"/>
      <c r="J792" s="212"/>
      <c r="K792" s="212"/>
    </row>
    <row r="793" spans="1:11" ht="12.75" customHeight="1">
      <c r="A793" s="212"/>
      <c r="B793" s="212"/>
      <c r="C793" s="212"/>
      <c r="D793" s="212"/>
      <c r="E793" s="212"/>
      <c r="F793" s="212"/>
      <c r="G793" s="212"/>
      <c r="H793" s="212"/>
      <c r="J793" s="212"/>
      <c r="K793" s="212"/>
    </row>
    <row r="794" spans="1:11" ht="12.75" customHeight="1">
      <c r="A794" s="212"/>
      <c r="B794" s="212"/>
      <c r="C794" s="212"/>
      <c r="D794" s="212"/>
      <c r="E794" s="212"/>
      <c r="F794" s="212"/>
      <c r="G794" s="212"/>
      <c r="H794" s="212"/>
      <c r="J794" s="212"/>
      <c r="K794" s="212"/>
    </row>
    <row r="795" spans="1:11" ht="12.75" customHeight="1">
      <c r="A795" s="212"/>
      <c r="B795" s="212"/>
      <c r="C795" s="212"/>
      <c r="D795" s="212"/>
      <c r="E795" s="212"/>
      <c r="F795" s="212"/>
      <c r="G795" s="212"/>
      <c r="H795" s="212"/>
      <c r="J795" s="212"/>
      <c r="K795" s="212"/>
    </row>
    <row r="796" spans="1:11" ht="12.75" customHeight="1">
      <c r="A796" s="212"/>
      <c r="B796" s="212"/>
      <c r="C796" s="212"/>
      <c r="D796" s="212"/>
      <c r="E796" s="212"/>
      <c r="F796" s="212"/>
      <c r="G796" s="212"/>
      <c r="H796" s="212"/>
      <c r="J796" s="212"/>
      <c r="K796" s="212"/>
    </row>
    <row r="797" spans="1:11" ht="12.75" customHeight="1">
      <c r="A797" s="212"/>
      <c r="B797" s="212"/>
      <c r="C797" s="212"/>
      <c r="D797" s="212"/>
      <c r="E797" s="212"/>
      <c r="F797" s="212"/>
      <c r="G797" s="212"/>
      <c r="H797" s="212"/>
      <c r="J797" s="212"/>
      <c r="K797" s="212"/>
    </row>
    <row r="798" spans="1:11" ht="12.75" customHeight="1">
      <c r="A798" s="212"/>
      <c r="B798" s="212"/>
      <c r="C798" s="212"/>
      <c r="D798" s="212"/>
      <c r="E798" s="212"/>
      <c r="F798" s="212"/>
      <c r="G798" s="212"/>
      <c r="H798" s="212"/>
      <c r="J798" s="212"/>
      <c r="K798" s="212"/>
    </row>
    <row r="799" spans="1:11" ht="12.75" customHeight="1">
      <c r="A799" s="212"/>
      <c r="B799" s="212"/>
      <c r="C799" s="212"/>
      <c r="D799" s="212"/>
      <c r="E799" s="212"/>
      <c r="F799" s="212"/>
      <c r="G799" s="212"/>
      <c r="H799" s="212"/>
      <c r="J799" s="212"/>
      <c r="K799" s="212"/>
    </row>
    <row r="800" spans="1:11" ht="12.75" customHeight="1">
      <c r="A800" s="212"/>
      <c r="B800" s="212"/>
      <c r="C800" s="212"/>
      <c r="D800" s="212"/>
      <c r="E800" s="212"/>
      <c r="F800" s="212"/>
      <c r="G800" s="212"/>
      <c r="H800" s="212"/>
      <c r="J800" s="212"/>
      <c r="K800" s="212"/>
    </row>
    <row r="801" spans="1:11" ht="12.75" customHeight="1">
      <c r="A801" s="212"/>
      <c r="B801" s="212"/>
      <c r="C801" s="212"/>
      <c r="D801" s="212"/>
      <c r="E801" s="212"/>
      <c r="F801" s="212"/>
      <c r="G801" s="212"/>
      <c r="H801" s="212"/>
      <c r="J801" s="212"/>
      <c r="K801" s="212"/>
    </row>
    <row r="802" spans="1:11" ht="12.75" customHeight="1">
      <c r="A802" s="212"/>
      <c r="B802" s="212"/>
      <c r="C802" s="212"/>
      <c r="D802" s="212"/>
      <c r="E802" s="212"/>
      <c r="F802" s="212"/>
      <c r="G802" s="212"/>
      <c r="H802" s="212"/>
      <c r="J802" s="212"/>
      <c r="K802" s="212"/>
    </row>
    <row r="803" spans="1:11" ht="12.75" customHeight="1">
      <c r="A803" s="212"/>
      <c r="B803" s="212"/>
      <c r="C803" s="212"/>
      <c r="D803" s="212"/>
      <c r="E803" s="212"/>
      <c r="F803" s="212"/>
      <c r="G803" s="212"/>
      <c r="H803" s="212"/>
      <c r="J803" s="212"/>
      <c r="K803" s="212"/>
    </row>
    <row r="804" spans="1:11" ht="12.75" customHeight="1">
      <c r="A804" s="212"/>
      <c r="B804" s="212"/>
      <c r="C804" s="212"/>
      <c r="D804" s="212"/>
      <c r="E804" s="212"/>
      <c r="F804" s="212"/>
      <c r="G804" s="212"/>
      <c r="H804" s="212"/>
      <c r="J804" s="212"/>
      <c r="K804" s="212"/>
    </row>
    <row r="805" spans="1:11" ht="12.75" customHeight="1">
      <c r="A805" s="212"/>
      <c r="B805" s="212"/>
      <c r="C805" s="212"/>
      <c r="D805" s="212"/>
      <c r="E805" s="212"/>
      <c r="F805" s="212"/>
      <c r="G805" s="212"/>
      <c r="H805" s="212"/>
      <c r="J805" s="212"/>
      <c r="K805" s="212"/>
    </row>
    <row r="806" spans="1:11" ht="12.75" customHeight="1">
      <c r="A806" s="212"/>
      <c r="B806" s="212"/>
      <c r="C806" s="212"/>
      <c r="D806" s="212"/>
      <c r="E806" s="212"/>
      <c r="F806" s="212"/>
      <c r="G806" s="212"/>
      <c r="H806" s="212"/>
      <c r="J806" s="212"/>
      <c r="K806" s="212"/>
    </row>
    <row r="807" spans="1:11" ht="12.75" customHeight="1">
      <c r="A807" s="212"/>
      <c r="B807" s="212"/>
      <c r="C807" s="212"/>
      <c r="D807" s="212"/>
      <c r="E807" s="212"/>
      <c r="F807" s="212"/>
      <c r="G807" s="212"/>
      <c r="H807" s="212"/>
      <c r="J807" s="212"/>
      <c r="K807" s="212"/>
    </row>
    <row r="808" spans="1:11" ht="12.75" customHeight="1">
      <c r="A808" s="212"/>
      <c r="B808" s="212"/>
      <c r="C808" s="212"/>
      <c r="D808" s="212"/>
      <c r="E808" s="212"/>
      <c r="F808" s="212"/>
      <c r="G808" s="212"/>
      <c r="H808" s="212"/>
      <c r="J808" s="212"/>
      <c r="K808" s="212"/>
    </row>
    <row r="809" spans="1:11" ht="12.75" customHeight="1">
      <c r="A809" s="212"/>
      <c r="B809" s="212"/>
      <c r="C809" s="212"/>
      <c r="D809" s="212"/>
      <c r="E809" s="212"/>
      <c r="F809" s="212"/>
      <c r="G809" s="212"/>
      <c r="H809" s="212"/>
      <c r="J809" s="212"/>
      <c r="K809" s="212"/>
    </row>
    <row r="810" spans="1:11" ht="12.75" customHeight="1">
      <c r="A810" s="212"/>
      <c r="B810" s="212"/>
      <c r="C810" s="212"/>
      <c r="D810" s="212"/>
      <c r="E810" s="212"/>
      <c r="F810" s="212"/>
      <c r="G810" s="212"/>
      <c r="H810" s="212"/>
      <c r="J810" s="212"/>
      <c r="K810" s="212"/>
    </row>
    <row r="811" spans="1:11" ht="12.75" customHeight="1">
      <c r="A811" s="212"/>
      <c r="B811" s="212"/>
      <c r="C811" s="212"/>
      <c r="D811" s="212"/>
      <c r="E811" s="212"/>
      <c r="F811" s="212"/>
      <c r="G811" s="212"/>
      <c r="H811" s="212"/>
      <c r="J811" s="212"/>
      <c r="K811" s="212"/>
    </row>
    <row r="812" spans="1:11" ht="12.75" customHeight="1">
      <c r="A812" s="212"/>
      <c r="B812" s="212"/>
      <c r="C812" s="212"/>
      <c r="D812" s="212"/>
      <c r="E812" s="212"/>
      <c r="F812" s="212"/>
      <c r="G812" s="212"/>
      <c r="H812" s="212"/>
      <c r="J812" s="212"/>
      <c r="K812" s="212"/>
    </row>
    <row r="813" spans="1:11" ht="12.75" customHeight="1">
      <c r="A813" s="212"/>
      <c r="B813" s="212"/>
      <c r="C813" s="212"/>
      <c r="D813" s="212"/>
      <c r="E813" s="212"/>
      <c r="F813" s="212"/>
      <c r="G813" s="212"/>
      <c r="H813" s="212"/>
      <c r="J813" s="212"/>
      <c r="K813" s="212"/>
    </row>
    <row r="814" spans="1:11" ht="12.75" customHeight="1">
      <c r="A814" s="212"/>
      <c r="B814" s="212"/>
      <c r="C814" s="212"/>
      <c r="D814" s="212"/>
      <c r="E814" s="212"/>
      <c r="F814" s="212"/>
      <c r="G814" s="212"/>
      <c r="H814" s="212"/>
      <c r="J814" s="212"/>
      <c r="K814" s="212"/>
    </row>
    <row r="815" spans="1:11" ht="12.75" customHeight="1">
      <c r="A815" s="212"/>
      <c r="B815" s="212"/>
      <c r="C815" s="212"/>
      <c r="D815" s="212"/>
      <c r="E815" s="212"/>
      <c r="F815" s="212"/>
      <c r="G815" s="212"/>
      <c r="H815" s="212"/>
      <c r="J815" s="212"/>
      <c r="K815" s="212"/>
    </row>
    <row r="816" spans="1:11" ht="12.75" customHeight="1">
      <c r="A816" s="212"/>
      <c r="B816" s="212"/>
      <c r="C816" s="212"/>
      <c r="D816" s="212"/>
      <c r="E816" s="212"/>
      <c r="F816" s="212"/>
      <c r="G816" s="212"/>
      <c r="H816" s="212"/>
      <c r="J816" s="212"/>
      <c r="K816" s="212"/>
    </row>
    <row r="817" spans="1:11" ht="12.75" customHeight="1">
      <c r="A817" s="212"/>
      <c r="B817" s="212"/>
      <c r="C817" s="212"/>
      <c r="D817" s="212"/>
      <c r="E817" s="212"/>
      <c r="F817" s="212"/>
      <c r="G817" s="212"/>
      <c r="H817" s="212"/>
      <c r="J817" s="212"/>
      <c r="K817" s="212"/>
    </row>
    <row r="818" spans="1:11" ht="12.75" customHeight="1">
      <c r="A818" s="212"/>
      <c r="B818" s="212"/>
      <c r="C818" s="212"/>
      <c r="D818" s="212"/>
      <c r="E818" s="212"/>
      <c r="F818" s="212"/>
      <c r="G818" s="212"/>
      <c r="H818" s="212"/>
      <c r="J818" s="212"/>
      <c r="K818" s="212"/>
    </row>
    <row r="819" spans="1:11" ht="12.75" customHeight="1">
      <c r="A819" s="212"/>
      <c r="B819" s="212"/>
      <c r="C819" s="212"/>
      <c r="D819" s="212"/>
      <c r="E819" s="212"/>
      <c r="F819" s="212"/>
      <c r="G819" s="212"/>
      <c r="H819" s="212"/>
      <c r="J819" s="212"/>
      <c r="K819" s="212"/>
    </row>
    <row r="820" spans="1:11" ht="12.75" customHeight="1">
      <c r="A820" s="212"/>
      <c r="B820" s="212"/>
      <c r="C820" s="212"/>
      <c r="D820" s="212"/>
      <c r="E820" s="212"/>
      <c r="F820" s="212"/>
      <c r="G820" s="212"/>
      <c r="H820" s="212"/>
      <c r="J820" s="212"/>
      <c r="K820" s="212"/>
    </row>
    <row r="821" spans="1:11" ht="12.75" customHeight="1">
      <c r="A821" s="212"/>
      <c r="B821" s="212"/>
      <c r="C821" s="212"/>
      <c r="D821" s="212"/>
      <c r="E821" s="212"/>
      <c r="F821" s="212"/>
      <c r="G821" s="212"/>
      <c r="H821" s="212"/>
      <c r="J821" s="212"/>
      <c r="K821" s="212"/>
    </row>
    <row r="822" spans="1:11" ht="12.75" customHeight="1">
      <c r="A822" s="212"/>
      <c r="B822" s="212"/>
      <c r="C822" s="212"/>
      <c r="D822" s="212"/>
      <c r="E822" s="212"/>
      <c r="F822" s="212"/>
      <c r="G822" s="212"/>
      <c r="H822" s="212"/>
      <c r="J822" s="212"/>
      <c r="K822" s="212"/>
    </row>
    <row r="823" spans="1:11" ht="12.75" customHeight="1">
      <c r="A823" s="212"/>
      <c r="B823" s="212"/>
      <c r="C823" s="212"/>
      <c r="D823" s="212"/>
      <c r="E823" s="212"/>
      <c r="F823" s="212"/>
      <c r="G823" s="212"/>
      <c r="H823" s="212"/>
      <c r="J823" s="212"/>
      <c r="K823" s="212"/>
    </row>
    <row r="824" spans="1:11" ht="12.75" customHeight="1">
      <c r="A824" s="212"/>
      <c r="B824" s="212"/>
      <c r="C824" s="212"/>
      <c r="D824" s="212"/>
      <c r="E824" s="212"/>
      <c r="F824" s="212"/>
      <c r="G824" s="212"/>
      <c r="H824" s="212"/>
      <c r="J824" s="212"/>
      <c r="K824" s="212"/>
    </row>
    <row r="825" spans="1:11" ht="12.75" customHeight="1">
      <c r="A825" s="212"/>
      <c r="B825" s="212"/>
      <c r="C825" s="212"/>
      <c r="D825" s="212"/>
      <c r="E825" s="212"/>
      <c r="F825" s="212"/>
      <c r="G825" s="212"/>
      <c r="H825" s="212"/>
      <c r="J825" s="212"/>
      <c r="K825" s="212"/>
    </row>
    <row r="826" spans="1:11" ht="12.75" customHeight="1">
      <c r="A826" s="212"/>
      <c r="B826" s="212"/>
      <c r="C826" s="212"/>
      <c r="D826" s="212"/>
      <c r="E826" s="212"/>
      <c r="F826" s="212"/>
      <c r="G826" s="212"/>
      <c r="H826" s="212"/>
      <c r="J826" s="212"/>
      <c r="K826" s="212"/>
    </row>
    <row r="827" spans="1:11" ht="12.75" customHeight="1">
      <c r="A827" s="212"/>
      <c r="B827" s="212"/>
      <c r="C827" s="212"/>
      <c r="D827" s="212"/>
      <c r="E827" s="212"/>
      <c r="F827" s="212"/>
      <c r="G827" s="212"/>
      <c r="H827" s="212"/>
      <c r="J827" s="212"/>
      <c r="K827" s="212"/>
    </row>
    <row r="828" spans="1:11" ht="12.75" customHeight="1">
      <c r="A828" s="212"/>
      <c r="B828" s="212"/>
      <c r="C828" s="212"/>
      <c r="D828" s="212"/>
      <c r="E828" s="212"/>
      <c r="F828" s="212"/>
      <c r="G828" s="212"/>
      <c r="H828" s="212"/>
      <c r="J828" s="212"/>
      <c r="K828" s="212"/>
    </row>
    <row r="829" spans="1:11" ht="12.75" customHeight="1">
      <c r="A829" s="212"/>
      <c r="B829" s="212"/>
      <c r="C829" s="212"/>
      <c r="D829" s="212"/>
      <c r="E829" s="212"/>
      <c r="F829" s="212"/>
      <c r="G829" s="212"/>
      <c r="H829" s="212"/>
      <c r="J829" s="212"/>
      <c r="K829" s="212"/>
    </row>
    <row r="830" spans="1:11" ht="12.75" customHeight="1">
      <c r="A830" s="212"/>
      <c r="B830" s="212"/>
      <c r="C830" s="212"/>
      <c r="D830" s="212"/>
      <c r="E830" s="212"/>
      <c r="F830" s="212"/>
      <c r="G830" s="212"/>
      <c r="H830" s="212"/>
      <c r="J830" s="212"/>
      <c r="K830" s="212"/>
    </row>
    <row r="831" spans="1:11" ht="12.75" customHeight="1">
      <c r="A831" s="212"/>
      <c r="B831" s="212"/>
      <c r="C831" s="212"/>
      <c r="D831" s="212"/>
      <c r="E831" s="212"/>
      <c r="F831" s="212"/>
      <c r="G831" s="212"/>
      <c r="H831" s="212"/>
      <c r="J831" s="212"/>
      <c r="K831" s="212"/>
    </row>
    <row r="832" spans="1:11" ht="12.75" customHeight="1">
      <c r="A832" s="212"/>
      <c r="B832" s="212"/>
      <c r="C832" s="212"/>
      <c r="D832" s="212"/>
      <c r="E832" s="212"/>
      <c r="F832" s="212"/>
      <c r="G832" s="212"/>
      <c r="H832" s="212"/>
      <c r="J832" s="212"/>
      <c r="K832" s="212"/>
    </row>
    <row r="833" spans="1:11" ht="12.75" customHeight="1">
      <c r="A833" s="212"/>
      <c r="B833" s="212"/>
      <c r="C833" s="212"/>
      <c r="D833" s="212"/>
      <c r="E833" s="212"/>
      <c r="F833" s="212"/>
      <c r="G833" s="212"/>
      <c r="H833" s="212"/>
      <c r="J833" s="212"/>
      <c r="K833" s="212"/>
    </row>
    <row r="834" spans="1:11" ht="12.75" customHeight="1">
      <c r="A834" s="212"/>
      <c r="B834" s="212"/>
      <c r="C834" s="212"/>
      <c r="D834" s="212"/>
      <c r="E834" s="212"/>
      <c r="F834" s="212"/>
      <c r="G834" s="212"/>
      <c r="H834" s="212"/>
      <c r="J834" s="212"/>
      <c r="K834" s="212"/>
    </row>
    <row r="835" spans="1:11" ht="12.75" customHeight="1">
      <c r="A835" s="212"/>
      <c r="B835" s="212"/>
      <c r="C835" s="212"/>
      <c r="D835" s="212"/>
      <c r="E835" s="212"/>
      <c r="F835" s="212"/>
      <c r="G835" s="212"/>
      <c r="H835" s="212"/>
      <c r="J835" s="212"/>
      <c r="K835" s="212"/>
    </row>
    <row r="836" spans="1:11" ht="12.75" customHeight="1">
      <c r="A836" s="212"/>
      <c r="B836" s="212"/>
      <c r="C836" s="212"/>
      <c r="D836" s="212"/>
      <c r="E836" s="212"/>
      <c r="F836" s="212"/>
      <c r="G836" s="212"/>
      <c r="H836" s="212"/>
      <c r="J836" s="212"/>
      <c r="K836" s="212"/>
    </row>
    <row r="837" spans="1:11" ht="12.75" customHeight="1">
      <c r="A837" s="212"/>
      <c r="B837" s="212"/>
      <c r="C837" s="212"/>
      <c r="D837" s="212"/>
      <c r="E837" s="212"/>
      <c r="F837" s="212"/>
      <c r="G837" s="212"/>
      <c r="H837" s="212"/>
      <c r="J837" s="212"/>
      <c r="K837" s="212"/>
    </row>
    <row r="838" spans="1:11" ht="12.75" customHeight="1">
      <c r="A838" s="212"/>
      <c r="B838" s="212"/>
      <c r="C838" s="212"/>
      <c r="D838" s="212"/>
      <c r="E838" s="212"/>
      <c r="F838" s="212"/>
      <c r="G838" s="212"/>
      <c r="H838" s="212"/>
      <c r="J838" s="212"/>
      <c r="K838" s="212"/>
    </row>
    <row r="839" spans="1:11" ht="12.75" customHeight="1">
      <c r="A839" s="212"/>
      <c r="B839" s="212"/>
      <c r="C839" s="212"/>
      <c r="D839" s="212"/>
      <c r="E839" s="212"/>
      <c r="F839" s="212"/>
      <c r="G839" s="212"/>
      <c r="H839" s="212"/>
      <c r="J839" s="212"/>
      <c r="K839" s="212"/>
    </row>
    <row r="840" spans="1:11" ht="12.75" customHeight="1">
      <c r="A840" s="212"/>
      <c r="B840" s="212"/>
      <c r="C840" s="212"/>
      <c r="D840" s="212"/>
      <c r="E840" s="212"/>
      <c r="F840" s="212"/>
      <c r="G840" s="212"/>
      <c r="H840" s="212"/>
      <c r="J840" s="212"/>
      <c r="K840" s="212"/>
    </row>
    <row r="841" spans="1:11" ht="12.75" customHeight="1">
      <c r="A841" s="212"/>
      <c r="B841" s="212"/>
      <c r="C841" s="212"/>
      <c r="D841" s="212"/>
      <c r="E841" s="212"/>
      <c r="F841" s="212"/>
      <c r="G841" s="212"/>
      <c r="H841" s="212"/>
      <c r="J841" s="212"/>
      <c r="K841" s="212"/>
    </row>
    <row r="842" spans="1:11" ht="12.75" customHeight="1">
      <c r="A842" s="212"/>
      <c r="B842" s="212"/>
      <c r="C842" s="212"/>
      <c r="D842" s="212"/>
      <c r="E842" s="212"/>
      <c r="F842" s="212"/>
      <c r="G842" s="212"/>
      <c r="H842" s="212"/>
      <c r="J842" s="212"/>
      <c r="K842" s="212"/>
    </row>
    <row r="843" spans="1:11" ht="12.75" customHeight="1">
      <c r="A843" s="212"/>
      <c r="B843" s="212"/>
      <c r="C843" s="212"/>
      <c r="D843" s="212"/>
      <c r="E843" s="212"/>
      <c r="F843" s="212"/>
      <c r="G843" s="212"/>
      <c r="H843" s="212"/>
      <c r="J843" s="212"/>
      <c r="K843" s="212"/>
    </row>
    <row r="844" spans="1:11" ht="12.75" customHeight="1">
      <c r="A844" s="212"/>
      <c r="B844" s="212"/>
      <c r="C844" s="212"/>
      <c r="D844" s="212"/>
      <c r="E844" s="212"/>
      <c r="F844" s="212"/>
      <c r="G844" s="212"/>
      <c r="H844" s="212"/>
      <c r="J844" s="212"/>
      <c r="K844" s="212"/>
    </row>
    <row r="845" spans="1:11" ht="12.75" customHeight="1">
      <c r="A845" s="212"/>
      <c r="B845" s="212"/>
      <c r="C845" s="212"/>
      <c r="D845" s="212"/>
      <c r="E845" s="212"/>
      <c r="F845" s="212"/>
      <c r="G845" s="212"/>
      <c r="H845" s="212"/>
      <c r="J845" s="212"/>
      <c r="K845" s="212"/>
    </row>
    <row r="846" spans="1:11" ht="12.75" customHeight="1">
      <c r="A846" s="212"/>
      <c r="B846" s="212"/>
      <c r="C846" s="212"/>
      <c r="D846" s="212"/>
      <c r="E846" s="212"/>
      <c r="F846" s="212"/>
      <c r="G846" s="212"/>
      <c r="H846" s="212"/>
      <c r="J846" s="212"/>
      <c r="K846" s="212"/>
    </row>
    <row r="847" spans="1:11" ht="12.75" customHeight="1">
      <c r="A847" s="212"/>
      <c r="B847" s="212"/>
      <c r="C847" s="212"/>
      <c r="D847" s="212"/>
      <c r="E847" s="212"/>
      <c r="F847" s="212"/>
      <c r="G847" s="212"/>
      <c r="H847" s="212"/>
      <c r="J847" s="212"/>
      <c r="K847" s="212"/>
    </row>
    <row r="848" spans="1:11" ht="12.75" customHeight="1">
      <c r="A848" s="212"/>
      <c r="B848" s="212"/>
      <c r="C848" s="212"/>
      <c r="D848" s="212"/>
      <c r="E848" s="212"/>
      <c r="F848" s="212"/>
      <c r="G848" s="212"/>
      <c r="H848" s="212"/>
      <c r="J848" s="212"/>
      <c r="K848" s="212"/>
    </row>
    <row r="849" spans="1:11" ht="12.75" customHeight="1">
      <c r="A849" s="212"/>
      <c r="B849" s="212"/>
      <c r="C849" s="212"/>
      <c r="D849" s="212"/>
      <c r="E849" s="212"/>
      <c r="F849" s="212"/>
      <c r="G849" s="212"/>
      <c r="H849" s="212"/>
      <c r="J849" s="212"/>
      <c r="K849" s="212"/>
    </row>
    <row r="850" spans="1:11" ht="12.75" customHeight="1">
      <c r="A850" s="212"/>
      <c r="B850" s="212"/>
      <c r="C850" s="212"/>
      <c r="D850" s="212"/>
      <c r="E850" s="212"/>
      <c r="F850" s="212"/>
      <c r="G850" s="212"/>
      <c r="H850" s="212"/>
      <c r="J850" s="212"/>
      <c r="K850" s="212"/>
    </row>
    <row r="851" spans="1:11" ht="12.75" customHeight="1">
      <c r="A851" s="212"/>
      <c r="B851" s="212"/>
      <c r="C851" s="212"/>
      <c r="D851" s="212"/>
      <c r="E851" s="212"/>
      <c r="F851" s="212"/>
      <c r="G851" s="212"/>
      <c r="H851" s="212"/>
      <c r="J851" s="212"/>
      <c r="K851" s="212"/>
    </row>
    <row r="852" spans="1:11" ht="12.75" customHeight="1">
      <c r="A852" s="212"/>
      <c r="B852" s="212"/>
      <c r="C852" s="212"/>
      <c r="D852" s="212"/>
      <c r="E852" s="212"/>
      <c r="F852" s="212"/>
      <c r="G852" s="212"/>
      <c r="H852" s="212"/>
      <c r="J852" s="212"/>
      <c r="K852" s="212"/>
    </row>
    <row r="853" spans="1:11" ht="12.75" customHeight="1">
      <c r="A853" s="212"/>
      <c r="B853" s="212"/>
      <c r="C853" s="212"/>
      <c r="D853" s="212"/>
      <c r="E853" s="212"/>
      <c r="F853" s="212"/>
      <c r="G853" s="212"/>
      <c r="H853" s="212"/>
      <c r="J853" s="212"/>
      <c r="K853" s="212"/>
    </row>
    <row r="854" spans="1:11" ht="12.75" customHeight="1">
      <c r="A854" s="212"/>
      <c r="B854" s="212"/>
      <c r="C854" s="212"/>
      <c r="D854" s="212"/>
      <c r="E854" s="212"/>
      <c r="F854" s="212"/>
      <c r="G854" s="212"/>
      <c r="H854" s="212"/>
      <c r="J854" s="212"/>
      <c r="K854" s="212"/>
    </row>
    <row r="855" spans="1:11" ht="12.75" customHeight="1">
      <c r="A855" s="212"/>
      <c r="B855" s="212"/>
      <c r="C855" s="212"/>
      <c r="D855" s="212"/>
      <c r="E855" s="212"/>
      <c r="F855" s="212"/>
      <c r="G855" s="212"/>
      <c r="H855" s="212"/>
      <c r="J855" s="212"/>
      <c r="K855" s="212"/>
    </row>
    <row r="856" spans="1:11" ht="12.75" customHeight="1">
      <c r="A856" s="212"/>
      <c r="B856" s="212"/>
      <c r="C856" s="212"/>
      <c r="D856" s="212"/>
      <c r="E856" s="212"/>
      <c r="F856" s="212"/>
      <c r="G856" s="212"/>
      <c r="H856" s="212"/>
      <c r="J856" s="212"/>
      <c r="K856" s="212"/>
    </row>
    <row r="857" spans="1:11" ht="12.75" customHeight="1">
      <c r="A857" s="212"/>
      <c r="B857" s="212"/>
      <c r="C857" s="212"/>
      <c r="D857" s="212"/>
      <c r="E857" s="212"/>
      <c r="F857" s="212"/>
      <c r="G857" s="212"/>
      <c r="H857" s="212"/>
      <c r="J857" s="212"/>
      <c r="K857" s="212"/>
    </row>
    <row r="858" spans="1:11" ht="12.75" customHeight="1">
      <c r="A858" s="212"/>
      <c r="B858" s="212"/>
      <c r="C858" s="212"/>
      <c r="D858" s="212"/>
      <c r="E858" s="212"/>
      <c r="F858" s="212"/>
      <c r="G858" s="212"/>
      <c r="H858" s="212"/>
      <c r="J858" s="212"/>
      <c r="K858" s="212"/>
    </row>
    <row r="859" spans="1:11" ht="12.75" customHeight="1">
      <c r="A859" s="212"/>
      <c r="B859" s="212"/>
      <c r="C859" s="212"/>
      <c r="D859" s="212"/>
      <c r="E859" s="212"/>
      <c r="F859" s="212"/>
      <c r="G859" s="212"/>
      <c r="H859" s="212"/>
      <c r="J859" s="212"/>
      <c r="K859" s="212"/>
    </row>
    <row r="860" spans="1:11" ht="12.75" customHeight="1">
      <c r="A860" s="212"/>
      <c r="B860" s="212"/>
      <c r="C860" s="212"/>
      <c r="D860" s="212"/>
      <c r="E860" s="212"/>
      <c r="F860" s="212"/>
      <c r="G860" s="212"/>
      <c r="H860" s="212"/>
      <c r="J860" s="212"/>
      <c r="K860" s="212"/>
    </row>
    <row r="861" spans="1:11" ht="12.75" customHeight="1">
      <c r="A861" s="212"/>
      <c r="B861" s="212"/>
      <c r="C861" s="212"/>
      <c r="D861" s="212"/>
      <c r="E861" s="212"/>
      <c r="F861" s="212"/>
      <c r="G861" s="212"/>
      <c r="H861" s="212"/>
      <c r="J861" s="212"/>
      <c r="K861" s="212"/>
    </row>
    <row r="862" spans="1:11" ht="12.75" customHeight="1">
      <c r="A862" s="212"/>
      <c r="B862" s="212"/>
      <c r="C862" s="212"/>
      <c r="D862" s="212"/>
      <c r="E862" s="212"/>
      <c r="F862" s="212"/>
      <c r="G862" s="212"/>
      <c r="H862" s="212"/>
      <c r="J862" s="212"/>
      <c r="K862" s="212"/>
    </row>
    <row r="863" spans="1:11" ht="12.75" customHeight="1">
      <c r="A863" s="212"/>
      <c r="B863" s="212"/>
      <c r="C863" s="212"/>
      <c r="D863" s="212"/>
      <c r="E863" s="212"/>
      <c r="F863" s="212"/>
      <c r="G863" s="212"/>
      <c r="H863" s="212"/>
      <c r="J863" s="212"/>
      <c r="K863" s="212"/>
    </row>
    <row r="864" spans="1:11" ht="12.75" customHeight="1">
      <c r="A864" s="212"/>
      <c r="B864" s="212"/>
      <c r="C864" s="212"/>
      <c r="D864" s="212"/>
      <c r="E864" s="212"/>
      <c r="F864" s="212"/>
      <c r="G864" s="212"/>
      <c r="H864" s="212"/>
      <c r="J864" s="212"/>
      <c r="K864" s="212"/>
    </row>
    <row r="865" spans="1:11" ht="12.75" customHeight="1">
      <c r="A865" s="212"/>
      <c r="B865" s="212"/>
      <c r="C865" s="212"/>
      <c r="D865" s="212"/>
      <c r="E865" s="212"/>
      <c r="F865" s="212"/>
      <c r="G865" s="212"/>
      <c r="H865" s="212"/>
      <c r="J865" s="212"/>
      <c r="K865" s="212"/>
    </row>
    <row r="866" spans="1:11" ht="12.75" customHeight="1">
      <c r="A866" s="212"/>
      <c r="B866" s="212"/>
      <c r="C866" s="212"/>
      <c r="D866" s="212"/>
      <c r="E866" s="212"/>
      <c r="F866" s="212"/>
      <c r="G866" s="212"/>
      <c r="H866" s="212"/>
      <c r="J866" s="212"/>
      <c r="K866" s="212"/>
    </row>
    <row r="867" spans="1:11" ht="12.75" customHeight="1">
      <c r="A867" s="212"/>
      <c r="B867" s="212"/>
      <c r="C867" s="212"/>
      <c r="D867" s="212"/>
      <c r="E867" s="212"/>
      <c r="F867" s="212"/>
      <c r="G867" s="212"/>
      <c r="H867" s="212"/>
      <c r="J867" s="212"/>
      <c r="K867" s="212"/>
    </row>
    <row r="868" spans="1:11" ht="12.75" customHeight="1">
      <c r="A868" s="212"/>
      <c r="B868" s="212"/>
      <c r="C868" s="212"/>
      <c r="D868" s="212"/>
      <c r="E868" s="212"/>
      <c r="F868" s="212"/>
      <c r="G868" s="212"/>
      <c r="H868" s="212"/>
      <c r="J868" s="212"/>
      <c r="K868" s="212"/>
    </row>
    <row r="869" spans="1:11" ht="12.75" customHeight="1">
      <c r="A869" s="212"/>
      <c r="B869" s="212"/>
      <c r="C869" s="212"/>
      <c r="D869" s="212"/>
      <c r="E869" s="212"/>
      <c r="F869" s="212"/>
      <c r="G869" s="212"/>
      <c r="H869" s="212"/>
      <c r="J869" s="212"/>
      <c r="K869" s="212"/>
    </row>
    <row r="870" spans="1:11" ht="12.75" customHeight="1">
      <c r="A870" s="212"/>
      <c r="B870" s="212"/>
      <c r="C870" s="212"/>
      <c r="D870" s="212"/>
      <c r="E870" s="212"/>
      <c r="F870" s="212"/>
      <c r="G870" s="212"/>
      <c r="H870" s="212"/>
      <c r="J870" s="212"/>
      <c r="K870" s="212"/>
    </row>
    <row r="871" spans="1:11" ht="12.75" customHeight="1">
      <c r="A871" s="212"/>
      <c r="B871" s="212"/>
      <c r="C871" s="212"/>
      <c r="D871" s="212"/>
      <c r="E871" s="212"/>
      <c r="F871" s="212"/>
      <c r="G871" s="212"/>
      <c r="H871" s="212"/>
      <c r="J871" s="212"/>
      <c r="K871" s="212"/>
    </row>
    <row r="872" spans="1:11" ht="12.75" customHeight="1">
      <c r="A872" s="212"/>
      <c r="B872" s="212"/>
      <c r="C872" s="212"/>
      <c r="D872" s="212"/>
      <c r="E872" s="212"/>
      <c r="F872" s="212"/>
      <c r="G872" s="212"/>
      <c r="H872" s="212"/>
      <c r="J872" s="212"/>
      <c r="K872" s="212"/>
    </row>
    <row r="873" spans="1:11" ht="12.75" customHeight="1">
      <c r="A873" s="212"/>
      <c r="B873" s="212"/>
      <c r="C873" s="212"/>
      <c r="D873" s="212"/>
      <c r="E873" s="212"/>
      <c r="F873" s="212"/>
      <c r="G873" s="212"/>
      <c r="H873" s="212"/>
      <c r="J873" s="212"/>
      <c r="K873" s="212"/>
    </row>
    <row r="874" spans="1:11" ht="12.75" customHeight="1">
      <c r="A874" s="212"/>
      <c r="B874" s="212"/>
      <c r="C874" s="212"/>
      <c r="D874" s="212"/>
      <c r="E874" s="212"/>
      <c r="F874" s="212"/>
      <c r="G874" s="212"/>
      <c r="H874" s="212"/>
      <c r="J874" s="212"/>
      <c r="K874" s="212"/>
    </row>
    <row r="875" spans="1:11" ht="12.75" customHeight="1">
      <c r="A875" s="212"/>
      <c r="B875" s="212"/>
      <c r="C875" s="212"/>
      <c r="D875" s="212"/>
      <c r="E875" s="212"/>
      <c r="F875" s="212"/>
      <c r="G875" s="212"/>
      <c r="H875" s="212"/>
      <c r="J875" s="212"/>
      <c r="K875" s="212"/>
    </row>
    <row r="876" spans="1:11" ht="12.75" customHeight="1">
      <c r="A876" s="212"/>
      <c r="B876" s="212"/>
      <c r="C876" s="212"/>
      <c r="D876" s="212"/>
      <c r="E876" s="212"/>
      <c r="F876" s="212"/>
      <c r="G876" s="212"/>
      <c r="H876" s="212"/>
      <c r="J876" s="212"/>
      <c r="K876" s="212"/>
    </row>
    <row r="877" spans="1:11" ht="12.75" customHeight="1">
      <c r="A877" s="212"/>
      <c r="B877" s="212"/>
      <c r="C877" s="212"/>
      <c r="D877" s="212"/>
      <c r="E877" s="212"/>
      <c r="F877" s="212"/>
      <c r="G877" s="212"/>
      <c r="H877" s="212"/>
      <c r="J877" s="212"/>
      <c r="K877" s="212"/>
    </row>
    <row r="878" spans="1:11" ht="12.75" customHeight="1">
      <c r="A878" s="212"/>
      <c r="B878" s="212"/>
      <c r="C878" s="212"/>
      <c r="D878" s="212"/>
      <c r="E878" s="212"/>
      <c r="F878" s="212"/>
      <c r="G878" s="212"/>
      <c r="H878" s="212"/>
      <c r="J878" s="212"/>
      <c r="K878" s="212"/>
    </row>
    <row r="879" spans="1:11" ht="12.75" customHeight="1">
      <c r="A879" s="212"/>
      <c r="B879" s="212"/>
      <c r="C879" s="212"/>
      <c r="D879" s="212"/>
      <c r="E879" s="212"/>
      <c r="F879" s="212"/>
      <c r="G879" s="212"/>
      <c r="H879" s="212"/>
      <c r="J879" s="212"/>
      <c r="K879" s="212"/>
    </row>
    <row r="880" spans="1:11" ht="12.75" customHeight="1">
      <c r="A880" s="212"/>
      <c r="B880" s="212"/>
      <c r="C880" s="212"/>
      <c r="D880" s="212"/>
      <c r="E880" s="212"/>
      <c r="F880" s="212"/>
      <c r="G880" s="212"/>
      <c r="H880" s="212"/>
      <c r="J880" s="212"/>
      <c r="K880" s="212"/>
    </row>
    <row r="881" spans="1:11" ht="12.75" customHeight="1">
      <c r="A881" s="212"/>
      <c r="B881" s="212"/>
      <c r="C881" s="212"/>
      <c r="D881" s="212"/>
      <c r="E881" s="212"/>
      <c r="F881" s="212"/>
      <c r="G881" s="212"/>
      <c r="H881" s="212"/>
      <c r="J881" s="212"/>
      <c r="K881" s="212"/>
    </row>
    <row r="882" spans="1:11" ht="12.75" customHeight="1">
      <c r="A882" s="212"/>
      <c r="B882" s="212"/>
      <c r="C882" s="212"/>
      <c r="D882" s="212"/>
      <c r="E882" s="212"/>
      <c r="F882" s="212"/>
      <c r="G882" s="212"/>
      <c r="H882" s="212"/>
      <c r="J882" s="212"/>
      <c r="K882" s="212"/>
    </row>
    <row r="883" spans="1:11" ht="12.75" customHeight="1">
      <c r="A883" s="212"/>
      <c r="B883" s="212"/>
      <c r="C883" s="212"/>
      <c r="D883" s="212"/>
      <c r="E883" s="212"/>
      <c r="F883" s="212"/>
      <c r="G883" s="212"/>
      <c r="H883" s="212"/>
      <c r="J883" s="212"/>
      <c r="K883" s="212"/>
    </row>
    <row r="884" spans="1:11" ht="12.75" customHeight="1">
      <c r="A884" s="212"/>
      <c r="B884" s="212"/>
      <c r="C884" s="212"/>
      <c r="D884" s="212"/>
      <c r="E884" s="212"/>
      <c r="F884" s="212"/>
      <c r="G884" s="212"/>
      <c r="H884" s="212"/>
      <c r="J884" s="212"/>
      <c r="K884" s="212"/>
    </row>
    <row r="885" spans="1:11" ht="12.75" customHeight="1">
      <c r="A885" s="212"/>
      <c r="B885" s="212"/>
      <c r="C885" s="212"/>
      <c r="D885" s="212"/>
      <c r="E885" s="212"/>
      <c r="F885" s="212"/>
      <c r="G885" s="212"/>
      <c r="H885" s="212"/>
      <c r="J885" s="212"/>
      <c r="K885" s="212"/>
    </row>
    <row r="886" spans="1:11" ht="12.75" customHeight="1">
      <c r="A886" s="212"/>
      <c r="B886" s="212"/>
      <c r="C886" s="212"/>
      <c r="D886" s="212"/>
      <c r="E886" s="212"/>
      <c r="F886" s="212"/>
      <c r="G886" s="212"/>
      <c r="H886" s="212"/>
      <c r="J886" s="212"/>
      <c r="K886" s="212"/>
    </row>
    <row r="887" spans="1:11" ht="12.75" customHeight="1">
      <c r="A887" s="212"/>
      <c r="B887" s="212"/>
      <c r="C887" s="212"/>
      <c r="D887" s="212"/>
      <c r="E887" s="212"/>
      <c r="F887" s="212"/>
      <c r="G887" s="212"/>
      <c r="H887" s="212"/>
      <c r="J887" s="212"/>
      <c r="K887" s="212"/>
    </row>
    <row r="888" spans="1:11" ht="12.75" customHeight="1">
      <c r="A888" s="212"/>
      <c r="B888" s="212"/>
      <c r="C888" s="212"/>
      <c r="D888" s="212"/>
      <c r="E888" s="212"/>
      <c r="F888" s="212"/>
      <c r="G888" s="212"/>
      <c r="H888" s="212"/>
      <c r="J888" s="212"/>
      <c r="K888" s="212"/>
    </row>
    <row r="889" spans="1:11" ht="12.75" customHeight="1">
      <c r="A889" s="212"/>
      <c r="B889" s="212"/>
      <c r="C889" s="212"/>
      <c r="D889" s="212"/>
      <c r="E889" s="212"/>
      <c r="F889" s="212"/>
      <c r="G889" s="212"/>
      <c r="H889" s="212"/>
      <c r="J889" s="212"/>
      <c r="K889" s="212"/>
    </row>
    <row r="890" spans="1:11" ht="12.75" customHeight="1">
      <c r="A890" s="212"/>
      <c r="B890" s="212"/>
      <c r="C890" s="212"/>
      <c r="D890" s="212"/>
      <c r="E890" s="212"/>
      <c r="F890" s="212"/>
      <c r="G890" s="212"/>
      <c r="H890" s="212"/>
      <c r="J890" s="212"/>
      <c r="K890" s="212"/>
    </row>
    <row r="891" spans="1:11" ht="12.75" customHeight="1">
      <c r="A891" s="212"/>
      <c r="B891" s="212"/>
      <c r="C891" s="212"/>
      <c r="D891" s="212"/>
      <c r="E891" s="212"/>
      <c r="F891" s="212"/>
      <c r="G891" s="212"/>
      <c r="H891" s="212"/>
      <c r="J891" s="212"/>
      <c r="K891" s="212"/>
    </row>
    <row r="892" spans="1:11" ht="12.75" customHeight="1">
      <c r="A892" s="212"/>
      <c r="B892" s="212"/>
      <c r="C892" s="212"/>
      <c r="D892" s="212"/>
      <c r="E892" s="212"/>
      <c r="F892" s="212"/>
      <c r="G892" s="212"/>
      <c r="H892" s="212"/>
      <c r="J892" s="212"/>
      <c r="K892" s="212"/>
    </row>
    <row r="893" spans="1:11" ht="12.75" customHeight="1">
      <c r="A893" s="212"/>
      <c r="B893" s="212"/>
      <c r="C893" s="212"/>
      <c r="D893" s="212"/>
      <c r="E893" s="212"/>
      <c r="F893" s="212"/>
      <c r="G893" s="212"/>
      <c r="H893" s="212"/>
      <c r="J893" s="212"/>
      <c r="K893" s="212"/>
    </row>
    <row r="894" spans="1:11" ht="12.75" customHeight="1">
      <c r="A894" s="212"/>
      <c r="B894" s="212"/>
      <c r="C894" s="212"/>
      <c r="D894" s="212"/>
      <c r="E894" s="212"/>
      <c r="F894" s="212"/>
      <c r="G894" s="212"/>
      <c r="H894" s="212"/>
      <c r="J894" s="212"/>
      <c r="K894" s="212"/>
    </row>
    <row r="895" spans="1:11" ht="12.75" customHeight="1">
      <c r="A895" s="212"/>
      <c r="B895" s="212"/>
      <c r="C895" s="212"/>
      <c r="D895" s="212"/>
      <c r="E895" s="212"/>
      <c r="F895" s="212"/>
      <c r="G895" s="212"/>
      <c r="H895" s="212"/>
      <c r="J895" s="212"/>
      <c r="K895" s="212"/>
    </row>
    <row r="896" spans="1:11" ht="12.75" customHeight="1">
      <c r="A896" s="212"/>
      <c r="B896" s="212"/>
      <c r="C896" s="212"/>
      <c r="D896" s="212"/>
      <c r="E896" s="212"/>
      <c r="F896" s="212"/>
      <c r="G896" s="212"/>
      <c r="H896" s="212"/>
      <c r="J896" s="212"/>
      <c r="K896" s="212"/>
    </row>
    <row r="897" spans="1:11" ht="12.75" customHeight="1">
      <c r="A897" s="212"/>
      <c r="B897" s="212"/>
      <c r="C897" s="212"/>
      <c r="D897" s="212"/>
      <c r="E897" s="212"/>
      <c r="F897" s="212"/>
      <c r="G897" s="212"/>
      <c r="H897" s="212"/>
      <c r="J897" s="212"/>
      <c r="K897" s="212"/>
    </row>
    <row r="898" spans="1:11" ht="12.75" customHeight="1">
      <c r="A898" s="212"/>
      <c r="B898" s="212"/>
      <c r="C898" s="212"/>
      <c r="D898" s="212"/>
      <c r="E898" s="212"/>
      <c r="F898" s="212"/>
      <c r="G898" s="212"/>
      <c r="H898" s="212"/>
      <c r="J898" s="212"/>
      <c r="K898" s="212"/>
    </row>
    <row r="899" spans="1:11" ht="12.75" customHeight="1">
      <c r="A899" s="212"/>
      <c r="B899" s="212"/>
      <c r="C899" s="212"/>
      <c r="D899" s="212"/>
      <c r="E899" s="212"/>
      <c r="F899" s="212"/>
      <c r="G899" s="212"/>
      <c r="H899" s="212"/>
      <c r="J899" s="212"/>
      <c r="K899" s="212"/>
    </row>
    <row r="900" spans="1:11" ht="12.75" customHeight="1">
      <c r="A900" s="212"/>
      <c r="B900" s="212"/>
      <c r="C900" s="212"/>
      <c r="D900" s="212"/>
      <c r="E900" s="212"/>
      <c r="F900" s="212"/>
      <c r="G900" s="212"/>
      <c r="H900" s="212"/>
      <c r="J900" s="212"/>
      <c r="K900" s="212"/>
    </row>
    <row r="901" spans="1:11" ht="12.75" customHeight="1">
      <c r="A901" s="212"/>
      <c r="B901" s="212"/>
      <c r="C901" s="212"/>
      <c r="D901" s="212"/>
      <c r="E901" s="212"/>
      <c r="F901" s="212"/>
      <c r="G901" s="212"/>
      <c r="H901" s="212"/>
      <c r="J901" s="212"/>
      <c r="K901" s="212"/>
    </row>
    <row r="902" spans="1:11" ht="12.75" customHeight="1">
      <c r="A902" s="212"/>
      <c r="B902" s="212"/>
      <c r="C902" s="212"/>
      <c r="D902" s="212"/>
      <c r="E902" s="212"/>
      <c r="F902" s="212"/>
      <c r="G902" s="212"/>
      <c r="H902" s="212"/>
      <c r="J902" s="212"/>
      <c r="K902" s="212"/>
    </row>
    <row r="903" spans="1:11" ht="12.75" customHeight="1">
      <c r="A903" s="212"/>
      <c r="B903" s="212"/>
      <c r="C903" s="212"/>
      <c r="D903" s="212"/>
      <c r="E903" s="212"/>
      <c r="F903" s="212"/>
      <c r="G903" s="212"/>
      <c r="H903" s="212"/>
      <c r="J903" s="212"/>
      <c r="K903" s="212"/>
    </row>
    <row r="904" spans="1:11" ht="12.75" customHeight="1">
      <c r="A904" s="212"/>
      <c r="B904" s="212"/>
      <c r="C904" s="212"/>
      <c r="D904" s="212"/>
      <c r="E904" s="212"/>
      <c r="F904" s="212"/>
      <c r="G904" s="212"/>
      <c r="H904" s="212"/>
      <c r="J904" s="212"/>
      <c r="K904" s="212"/>
    </row>
    <row r="905" spans="1:11" ht="12.75" customHeight="1">
      <c r="A905" s="212"/>
      <c r="B905" s="212"/>
      <c r="C905" s="212"/>
      <c r="D905" s="212"/>
      <c r="E905" s="212"/>
      <c r="F905" s="212"/>
      <c r="G905" s="212"/>
      <c r="H905" s="212"/>
      <c r="J905" s="212"/>
      <c r="K905" s="212"/>
    </row>
    <row r="906" spans="1:11" ht="12.75" customHeight="1">
      <c r="A906" s="212"/>
      <c r="B906" s="212"/>
      <c r="C906" s="212"/>
      <c r="D906" s="212"/>
      <c r="E906" s="212"/>
      <c r="F906" s="212"/>
      <c r="G906" s="212"/>
      <c r="H906" s="212"/>
      <c r="J906" s="212"/>
      <c r="K906" s="212"/>
    </row>
    <row r="907" spans="1:11" ht="12.75" customHeight="1">
      <c r="A907" s="212"/>
      <c r="B907" s="212"/>
      <c r="C907" s="212"/>
      <c r="D907" s="212"/>
      <c r="E907" s="212"/>
      <c r="F907" s="212"/>
      <c r="G907" s="212"/>
      <c r="H907" s="212"/>
      <c r="J907" s="212"/>
      <c r="K907" s="212"/>
    </row>
    <row r="908" spans="1:11" ht="12.75" customHeight="1">
      <c r="A908" s="212"/>
      <c r="B908" s="212"/>
      <c r="C908" s="212"/>
      <c r="D908" s="212"/>
      <c r="E908" s="212"/>
      <c r="F908" s="212"/>
      <c r="G908" s="212"/>
      <c r="H908" s="212"/>
      <c r="J908" s="212"/>
      <c r="K908" s="212"/>
    </row>
    <row r="909" spans="1:11" ht="12.75" customHeight="1">
      <c r="A909" s="212"/>
      <c r="B909" s="212"/>
      <c r="C909" s="212"/>
      <c r="D909" s="212"/>
      <c r="E909" s="212"/>
      <c r="F909" s="212"/>
      <c r="G909" s="212"/>
      <c r="H909" s="212"/>
      <c r="J909" s="212"/>
      <c r="K909" s="212"/>
    </row>
    <row r="910" spans="1:11" ht="12.75" customHeight="1">
      <c r="A910" s="212"/>
      <c r="B910" s="212"/>
      <c r="C910" s="212"/>
      <c r="D910" s="212"/>
      <c r="E910" s="212"/>
      <c r="F910" s="212"/>
      <c r="G910" s="212"/>
      <c r="H910" s="212"/>
      <c r="J910" s="212"/>
      <c r="K910" s="212"/>
    </row>
    <row r="911" spans="1:11" ht="12.75" customHeight="1">
      <c r="A911" s="212"/>
      <c r="B911" s="212"/>
      <c r="C911" s="212"/>
      <c r="D911" s="212"/>
      <c r="E911" s="212"/>
      <c r="F911" s="212"/>
      <c r="G911" s="212"/>
      <c r="H911" s="212"/>
      <c r="J911" s="212"/>
      <c r="K911" s="212"/>
    </row>
    <row r="912" spans="1:11" ht="12.75" customHeight="1">
      <c r="A912" s="212"/>
      <c r="B912" s="212"/>
      <c r="C912" s="212"/>
      <c r="D912" s="212"/>
      <c r="E912" s="212"/>
      <c r="F912" s="212"/>
      <c r="G912" s="212"/>
      <c r="H912" s="212"/>
      <c r="J912" s="212"/>
      <c r="K912" s="212"/>
    </row>
    <row r="913" spans="1:11" ht="12.75" customHeight="1">
      <c r="A913" s="212"/>
      <c r="B913" s="212"/>
      <c r="C913" s="212"/>
      <c r="D913" s="212"/>
      <c r="E913" s="212"/>
      <c r="F913" s="212"/>
      <c r="G913" s="212"/>
      <c r="H913" s="212"/>
      <c r="J913" s="212"/>
      <c r="K913" s="212"/>
    </row>
    <row r="914" spans="1:11" ht="12.75" customHeight="1">
      <c r="A914" s="212"/>
      <c r="B914" s="212"/>
      <c r="C914" s="212"/>
      <c r="D914" s="212"/>
      <c r="E914" s="212"/>
      <c r="F914" s="212"/>
      <c r="G914" s="212"/>
      <c r="H914" s="212"/>
      <c r="J914" s="212"/>
      <c r="K914" s="212"/>
    </row>
    <row r="915" spans="1:11" ht="12.75" customHeight="1">
      <c r="A915" s="212"/>
      <c r="B915" s="212"/>
      <c r="C915" s="212"/>
      <c r="D915" s="212"/>
      <c r="E915" s="212"/>
      <c r="F915" s="212"/>
      <c r="G915" s="212"/>
      <c r="H915" s="212"/>
      <c r="J915" s="212"/>
      <c r="K915" s="212"/>
    </row>
    <row r="916" spans="1:11" ht="12.75" customHeight="1">
      <c r="A916" s="212"/>
      <c r="B916" s="212"/>
      <c r="C916" s="212"/>
      <c r="D916" s="212"/>
      <c r="E916" s="212"/>
      <c r="F916" s="212"/>
      <c r="G916" s="212"/>
      <c r="H916" s="212"/>
      <c r="J916" s="212"/>
      <c r="K916" s="212"/>
    </row>
    <row r="917" spans="1:11" ht="12.75" customHeight="1">
      <c r="A917" s="212"/>
      <c r="B917" s="212"/>
      <c r="C917" s="212"/>
      <c r="D917" s="212"/>
      <c r="E917" s="212"/>
      <c r="F917" s="212"/>
      <c r="G917" s="212"/>
      <c r="H917" s="212"/>
      <c r="J917" s="212"/>
      <c r="K917" s="212"/>
    </row>
    <row r="918" spans="1:11" ht="12.75" customHeight="1">
      <c r="A918" s="212"/>
      <c r="B918" s="212"/>
      <c r="C918" s="212"/>
      <c r="D918" s="212"/>
      <c r="E918" s="212"/>
      <c r="F918" s="212"/>
      <c r="G918" s="212"/>
      <c r="H918" s="212"/>
      <c r="J918" s="212"/>
      <c r="K918" s="212"/>
    </row>
    <row r="919" spans="1:11" ht="12.75" customHeight="1">
      <c r="A919" s="212"/>
      <c r="B919" s="212"/>
      <c r="C919" s="212"/>
      <c r="D919" s="212"/>
      <c r="E919" s="212"/>
      <c r="F919" s="212"/>
      <c r="G919" s="212"/>
      <c r="H919" s="212"/>
      <c r="J919" s="212"/>
      <c r="K919" s="212"/>
    </row>
    <row r="920" spans="1:11" ht="12.75" customHeight="1">
      <c r="A920" s="212"/>
      <c r="B920" s="212"/>
      <c r="C920" s="212"/>
      <c r="D920" s="212"/>
      <c r="E920" s="212"/>
      <c r="F920" s="212"/>
      <c r="G920" s="212"/>
      <c r="H920" s="212"/>
      <c r="J920" s="212"/>
      <c r="K920" s="212"/>
    </row>
    <row r="921" spans="1:11" ht="12.75" customHeight="1">
      <c r="A921" s="212"/>
      <c r="B921" s="212"/>
      <c r="C921" s="212"/>
      <c r="D921" s="212"/>
      <c r="E921" s="212"/>
      <c r="F921" s="212"/>
      <c r="G921" s="212"/>
      <c r="H921" s="212"/>
      <c r="J921" s="212"/>
      <c r="K921" s="212"/>
    </row>
    <row r="922" spans="1:11" ht="12.75" customHeight="1">
      <c r="A922" s="212"/>
      <c r="B922" s="212"/>
      <c r="C922" s="212"/>
      <c r="D922" s="212"/>
      <c r="E922" s="212"/>
      <c r="F922" s="212"/>
      <c r="G922" s="212"/>
      <c r="H922" s="212"/>
      <c r="J922" s="212"/>
      <c r="K922" s="212"/>
    </row>
    <row r="923" spans="1:11" ht="12.75" customHeight="1">
      <c r="A923" s="212"/>
      <c r="B923" s="212"/>
      <c r="C923" s="212"/>
      <c r="D923" s="212"/>
      <c r="E923" s="212"/>
      <c r="F923" s="212"/>
      <c r="G923" s="212"/>
      <c r="H923" s="212"/>
      <c r="J923" s="212"/>
      <c r="K923" s="212"/>
    </row>
    <row r="924" spans="1:11" ht="12.75" customHeight="1">
      <c r="A924" s="212"/>
      <c r="B924" s="212"/>
      <c r="C924" s="212"/>
      <c r="D924" s="212"/>
      <c r="E924" s="212"/>
      <c r="F924" s="212"/>
      <c r="G924" s="212"/>
      <c r="H924" s="212"/>
      <c r="J924" s="212"/>
      <c r="K924" s="212"/>
    </row>
    <row r="925" spans="1:11" ht="12.75" customHeight="1">
      <c r="A925" s="212"/>
      <c r="B925" s="212"/>
      <c r="C925" s="212"/>
      <c r="D925" s="212"/>
      <c r="E925" s="212"/>
      <c r="F925" s="212"/>
      <c r="G925" s="212"/>
      <c r="H925" s="212"/>
      <c r="J925" s="212"/>
      <c r="K925" s="212"/>
    </row>
    <row r="926" spans="1:11" ht="12.75" customHeight="1">
      <c r="A926" s="212"/>
      <c r="B926" s="212"/>
      <c r="C926" s="212"/>
      <c r="D926" s="212"/>
      <c r="E926" s="212"/>
      <c r="F926" s="212"/>
      <c r="G926" s="212"/>
      <c r="H926" s="212"/>
      <c r="J926" s="212"/>
      <c r="K926" s="212"/>
    </row>
    <row r="927" spans="1:11" ht="12.75" customHeight="1">
      <c r="A927" s="212"/>
      <c r="B927" s="212"/>
      <c r="C927" s="212"/>
      <c r="D927" s="212"/>
      <c r="E927" s="212"/>
      <c r="F927" s="212"/>
      <c r="G927" s="212"/>
      <c r="H927" s="212"/>
      <c r="J927" s="212"/>
      <c r="K927" s="212"/>
    </row>
    <row r="928" spans="1:11" ht="12.75" customHeight="1">
      <c r="A928" s="212"/>
      <c r="B928" s="212"/>
      <c r="C928" s="212"/>
      <c r="D928" s="212"/>
      <c r="E928" s="212"/>
      <c r="F928" s="212"/>
      <c r="G928" s="212"/>
      <c r="H928" s="212"/>
      <c r="J928" s="212"/>
      <c r="K928" s="212"/>
    </row>
    <row r="929" spans="1:11" ht="12.75" customHeight="1">
      <c r="A929" s="212"/>
      <c r="B929" s="212"/>
      <c r="C929" s="212"/>
      <c r="D929" s="212"/>
      <c r="E929" s="212"/>
      <c r="F929" s="212"/>
      <c r="G929" s="212"/>
      <c r="H929" s="212"/>
      <c r="J929" s="212"/>
      <c r="K929" s="212"/>
    </row>
    <row r="930" spans="1:11" ht="12.75" customHeight="1">
      <c r="A930" s="212"/>
      <c r="B930" s="212"/>
      <c r="C930" s="212"/>
      <c r="D930" s="212"/>
      <c r="E930" s="212"/>
      <c r="F930" s="212"/>
      <c r="G930" s="212"/>
      <c r="H930" s="212"/>
      <c r="J930" s="212"/>
      <c r="K930" s="212"/>
    </row>
    <row r="931" spans="1:11" ht="12.75" customHeight="1">
      <c r="A931" s="212"/>
      <c r="B931" s="212"/>
      <c r="C931" s="212"/>
      <c r="D931" s="212"/>
      <c r="E931" s="212"/>
      <c r="F931" s="212"/>
      <c r="G931" s="212"/>
      <c r="H931" s="212"/>
      <c r="J931" s="212"/>
      <c r="K931" s="212"/>
    </row>
    <row r="932" spans="1:11" ht="12.75" customHeight="1">
      <c r="A932" s="212"/>
      <c r="B932" s="212"/>
      <c r="C932" s="212"/>
      <c r="D932" s="212"/>
      <c r="E932" s="212"/>
      <c r="F932" s="212"/>
      <c r="G932" s="212"/>
      <c r="H932" s="212"/>
      <c r="J932" s="212"/>
      <c r="K932" s="212"/>
    </row>
    <row r="933" spans="1:11" ht="12.75" customHeight="1">
      <c r="A933" s="212"/>
      <c r="B933" s="212"/>
      <c r="C933" s="212"/>
      <c r="D933" s="212"/>
      <c r="E933" s="212"/>
      <c r="F933" s="212"/>
      <c r="G933" s="212"/>
      <c r="H933" s="212"/>
      <c r="J933" s="212"/>
      <c r="K933" s="212"/>
    </row>
    <row r="934" spans="1:11" ht="12.75" customHeight="1">
      <c r="A934" s="212"/>
      <c r="B934" s="212"/>
      <c r="C934" s="212"/>
      <c r="D934" s="212"/>
      <c r="E934" s="212"/>
      <c r="F934" s="212"/>
      <c r="G934" s="212"/>
      <c r="H934" s="212"/>
      <c r="J934" s="212"/>
      <c r="K934" s="212"/>
    </row>
    <row r="935" spans="1:11" ht="12.75" customHeight="1">
      <c r="A935" s="212"/>
      <c r="B935" s="212"/>
      <c r="C935" s="212"/>
      <c r="D935" s="212"/>
      <c r="E935" s="212"/>
      <c r="F935" s="212"/>
      <c r="G935" s="212"/>
      <c r="H935" s="212"/>
      <c r="J935" s="212"/>
      <c r="K935" s="212"/>
    </row>
    <row r="936" spans="1:11" ht="12.75" customHeight="1">
      <c r="A936" s="212"/>
      <c r="B936" s="212"/>
      <c r="C936" s="212"/>
      <c r="D936" s="212"/>
      <c r="E936" s="212"/>
      <c r="F936" s="212"/>
      <c r="G936" s="212"/>
      <c r="H936" s="212"/>
      <c r="J936" s="212"/>
      <c r="K936" s="212"/>
    </row>
    <row r="937" spans="1:11" ht="12.75" customHeight="1">
      <c r="A937" s="212"/>
      <c r="B937" s="212"/>
      <c r="C937" s="212"/>
      <c r="D937" s="212"/>
      <c r="E937" s="212"/>
      <c r="F937" s="212"/>
      <c r="G937" s="212"/>
      <c r="H937" s="212"/>
      <c r="J937" s="212"/>
      <c r="K937" s="212"/>
    </row>
    <row r="938" spans="1:11" ht="12.75" customHeight="1">
      <c r="A938" s="212"/>
      <c r="B938" s="212"/>
      <c r="C938" s="212"/>
      <c r="D938" s="212"/>
      <c r="E938" s="212"/>
      <c r="F938" s="212"/>
      <c r="G938" s="212"/>
      <c r="H938" s="212"/>
      <c r="J938" s="212"/>
      <c r="K938" s="212"/>
    </row>
    <row r="939" spans="1:11" ht="12.75" customHeight="1">
      <c r="A939" s="212"/>
      <c r="B939" s="212"/>
      <c r="C939" s="212"/>
      <c r="D939" s="212"/>
      <c r="E939" s="212"/>
      <c r="F939" s="212"/>
      <c r="G939" s="212"/>
      <c r="H939" s="212"/>
      <c r="J939" s="212"/>
      <c r="K939" s="212"/>
    </row>
    <row r="940" spans="1:11" ht="12.75" customHeight="1">
      <c r="A940" s="212"/>
      <c r="B940" s="212"/>
      <c r="C940" s="212"/>
      <c r="D940" s="212"/>
      <c r="E940" s="212"/>
      <c r="F940" s="212"/>
      <c r="G940" s="212"/>
      <c r="H940" s="212"/>
      <c r="J940" s="212"/>
      <c r="K940" s="212"/>
    </row>
    <row r="941" spans="1:11" ht="12.75" customHeight="1">
      <c r="A941" s="212"/>
      <c r="B941" s="212"/>
      <c r="C941" s="212"/>
      <c r="D941" s="212"/>
      <c r="E941" s="212"/>
      <c r="F941" s="212"/>
      <c r="G941" s="212"/>
      <c r="H941" s="212"/>
      <c r="J941" s="212"/>
      <c r="K941" s="212"/>
    </row>
    <row r="942" spans="1:11" ht="12.75" customHeight="1">
      <c r="A942" s="212"/>
      <c r="B942" s="212"/>
      <c r="C942" s="212"/>
      <c r="D942" s="212"/>
      <c r="E942" s="212"/>
      <c r="F942" s="212"/>
      <c r="G942" s="212"/>
      <c r="H942" s="212"/>
      <c r="J942" s="212"/>
      <c r="K942" s="212"/>
    </row>
    <row r="943" spans="1:11" ht="12.75" customHeight="1">
      <c r="A943" s="212"/>
      <c r="B943" s="212"/>
      <c r="C943" s="212"/>
      <c r="D943" s="212"/>
      <c r="E943" s="212"/>
      <c r="F943" s="212"/>
      <c r="G943" s="212"/>
      <c r="H943" s="212"/>
      <c r="J943" s="212"/>
      <c r="K943" s="212"/>
    </row>
    <row r="944" spans="1:11" ht="12.75" customHeight="1">
      <c r="A944" s="212"/>
      <c r="B944" s="212"/>
      <c r="C944" s="212"/>
      <c r="D944" s="212"/>
      <c r="E944" s="212"/>
      <c r="F944" s="212"/>
      <c r="G944" s="212"/>
      <c r="H944" s="212"/>
      <c r="J944" s="212"/>
      <c r="K944" s="212"/>
    </row>
    <row r="945" spans="1:11" ht="12.75" customHeight="1">
      <c r="A945" s="212"/>
      <c r="B945" s="212"/>
      <c r="C945" s="212"/>
      <c r="D945" s="212"/>
      <c r="E945" s="212"/>
      <c r="F945" s="212"/>
      <c r="G945" s="212"/>
      <c r="H945" s="212"/>
      <c r="J945" s="212"/>
      <c r="K945" s="212"/>
    </row>
    <row r="946" spans="1:11" ht="12.75" customHeight="1">
      <c r="A946" s="212"/>
      <c r="B946" s="212"/>
      <c r="C946" s="212"/>
      <c r="D946" s="212"/>
      <c r="E946" s="212"/>
      <c r="F946" s="212"/>
      <c r="G946" s="212"/>
      <c r="H946" s="212"/>
      <c r="J946" s="212"/>
      <c r="K946" s="212"/>
    </row>
    <row r="947" spans="1:11" ht="12.75" customHeight="1">
      <c r="A947" s="212"/>
      <c r="B947" s="212"/>
      <c r="C947" s="212"/>
      <c r="D947" s="212"/>
      <c r="E947" s="212"/>
      <c r="F947" s="212"/>
      <c r="G947" s="212"/>
      <c r="H947" s="212"/>
      <c r="J947" s="212"/>
      <c r="K947" s="212"/>
    </row>
    <row r="948" spans="1:11" ht="12.75" customHeight="1">
      <c r="A948" s="212"/>
      <c r="B948" s="212"/>
      <c r="C948" s="212"/>
      <c r="D948" s="212"/>
      <c r="E948" s="212"/>
      <c r="F948" s="212"/>
      <c r="G948" s="212"/>
      <c r="H948" s="212"/>
      <c r="J948" s="212"/>
      <c r="K948" s="212"/>
    </row>
    <row r="949" spans="1:11" ht="12.75" customHeight="1">
      <c r="A949" s="212"/>
      <c r="B949" s="212"/>
      <c r="C949" s="212"/>
      <c r="D949" s="212"/>
      <c r="E949" s="212"/>
      <c r="F949" s="212"/>
      <c r="G949" s="212"/>
      <c r="H949" s="212"/>
      <c r="J949" s="212"/>
      <c r="K949" s="212"/>
    </row>
    <row r="950" spans="1:11" ht="12.75" customHeight="1">
      <c r="A950" s="212"/>
      <c r="B950" s="212"/>
      <c r="C950" s="212"/>
      <c r="D950" s="212"/>
      <c r="E950" s="212"/>
      <c r="F950" s="212"/>
      <c r="G950" s="212"/>
      <c r="H950" s="212"/>
      <c r="J950" s="212"/>
      <c r="K950" s="212"/>
    </row>
    <row r="951" spans="1:11" ht="12.75" customHeight="1">
      <c r="A951" s="212"/>
      <c r="B951" s="212"/>
      <c r="C951" s="212"/>
      <c r="D951" s="212"/>
      <c r="E951" s="212"/>
      <c r="F951" s="212"/>
      <c r="G951" s="212"/>
      <c r="H951" s="212"/>
      <c r="J951" s="212"/>
      <c r="K951" s="212"/>
    </row>
    <row r="952" spans="1:11" ht="12.75" customHeight="1">
      <c r="A952" s="212"/>
      <c r="B952" s="212"/>
      <c r="C952" s="212"/>
      <c r="D952" s="212"/>
      <c r="E952" s="212"/>
      <c r="F952" s="212"/>
      <c r="G952" s="212"/>
      <c r="H952" s="212"/>
      <c r="J952" s="212"/>
      <c r="K952" s="212"/>
    </row>
    <row r="953" spans="1:11" ht="12.75" customHeight="1">
      <c r="A953" s="212"/>
      <c r="B953" s="212"/>
      <c r="C953" s="212"/>
      <c r="D953" s="212"/>
      <c r="E953" s="212"/>
      <c r="F953" s="212"/>
      <c r="G953" s="212"/>
      <c r="H953" s="212"/>
      <c r="J953" s="212"/>
      <c r="K953" s="212"/>
    </row>
    <row r="954" spans="1:11" ht="12.75" customHeight="1">
      <c r="A954" s="212"/>
      <c r="B954" s="212"/>
      <c r="C954" s="212"/>
      <c r="D954" s="212"/>
      <c r="E954" s="212"/>
      <c r="F954" s="212"/>
      <c r="G954" s="212"/>
      <c r="H954" s="212"/>
      <c r="J954" s="212"/>
      <c r="K954" s="212"/>
    </row>
    <row r="955" spans="1:11" ht="12.75" customHeight="1">
      <c r="A955" s="212"/>
      <c r="B955" s="212"/>
      <c r="C955" s="212"/>
      <c r="D955" s="212"/>
      <c r="E955" s="212"/>
      <c r="F955" s="212"/>
      <c r="G955" s="212"/>
      <c r="H955" s="212"/>
      <c r="J955" s="212"/>
      <c r="K955" s="212"/>
    </row>
    <row r="956" spans="1:11" ht="12.75" customHeight="1">
      <c r="A956" s="212"/>
      <c r="B956" s="212"/>
      <c r="C956" s="212"/>
      <c r="D956" s="212"/>
      <c r="E956" s="212"/>
      <c r="F956" s="212"/>
      <c r="G956" s="212"/>
      <c r="H956" s="212"/>
      <c r="J956" s="212"/>
      <c r="K956" s="212"/>
    </row>
    <row r="957" spans="1:11" ht="12.75" customHeight="1">
      <c r="A957" s="212"/>
      <c r="B957" s="212"/>
      <c r="C957" s="212"/>
      <c r="D957" s="212"/>
      <c r="E957" s="212"/>
      <c r="F957" s="212"/>
      <c r="G957" s="212"/>
      <c r="H957" s="212"/>
      <c r="J957" s="212"/>
      <c r="K957" s="212"/>
    </row>
    <row r="958" spans="1:11" ht="12.75" customHeight="1">
      <c r="A958" s="212"/>
      <c r="B958" s="212"/>
      <c r="C958" s="212"/>
      <c r="D958" s="212"/>
      <c r="E958" s="212"/>
      <c r="F958" s="212"/>
      <c r="G958" s="212"/>
      <c r="H958" s="212"/>
      <c r="J958" s="212"/>
      <c r="K958" s="212"/>
    </row>
    <row r="959" spans="1:11" ht="12.75" customHeight="1">
      <c r="A959" s="212"/>
      <c r="B959" s="212"/>
      <c r="C959" s="212"/>
      <c r="D959" s="212"/>
      <c r="E959" s="212"/>
      <c r="F959" s="212"/>
      <c r="G959" s="212"/>
      <c r="H959" s="212"/>
      <c r="J959" s="212"/>
      <c r="K959" s="212"/>
    </row>
    <row r="960" spans="1:11" ht="12.75" customHeight="1">
      <c r="A960" s="212"/>
      <c r="B960" s="212"/>
      <c r="C960" s="212"/>
      <c r="D960" s="212"/>
      <c r="E960" s="212"/>
      <c r="F960" s="212"/>
      <c r="G960" s="212"/>
      <c r="H960" s="212"/>
      <c r="J960" s="212"/>
      <c r="K960" s="212"/>
    </row>
    <row r="961" spans="1:11" ht="12.75" customHeight="1">
      <c r="A961" s="212"/>
      <c r="B961" s="212"/>
      <c r="C961" s="212"/>
      <c r="D961" s="212"/>
      <c r="E961" s="212"/>
      <c r="F961" s="212"/>
      <c r="G961" s="212"/>
      <c r="H961" s="212"/>
      <c r="J961" s="212"/>
      <c r="K961" s="212"/>
    </row>
    <row r="962" spans="1:11" ht="12.75" customHeight="1">
      <c r="A962" s="212"/>
      <c r="B962" s="212"/>
      <c r="C962" s="212"/>
      <c r="D962" s="212"/>
      <c r="E962" s="212"/>
      <c r="F962" s="212"/>
      <c r="G962" s="212"/>
      <c r="H962" s="212"/>
      <c r="J962" s="212"/>
      <c r="K962" s="212"/>
    </row>
    <row r="963" spans="1:11" ht="12.75" customHeight="1">
      <c r="A963" s="212"/>
      <c r="B963" s="212"/>
      <c r="C963" s="212"/>
      <c r="D963" s="212"/>
      <c r="E963" s="212"/>
      <c r="F963" s="212"/>
      <c r="G963" s="212"/>
      <c r="H963" s="212"/>
      <c r="J963" s="212"/>
      <c r="K963" s="212"/>
    </row>
    <row r="964" spans="1:11" ht="12.75" customHeight="1">
      <c r="A964" s="212"/>
      <c r="B964" s="212"/>
      <c r="C964" s="212"/>
      <c r="D964" s="212"/>
      <c r="E964" s="212"/>
      <c r="F964" s="212"/>
      <c r="G964" s="212"/>
      <c r="H964" s="212"/>
      <c r="J964" s="212"/>
      <c r="K964" s="212"/>
    </row>
    <row r="965" spans="1:11" ht="12.75" customHeight="1">
      <c r="A965" s="212"/>
      <c r="B965" s="212"/>
      <c r="C965" s="212"/>
      <c r="D965" s="212"/>
      <c r="E965" s="212"/>
      <c r="F965" s="212"/>
      <c r="G965" s="212"/>
      <c r="H965" s="212"/>
      <c r="J965" s="212"/>
      <c r="K965" s="212"/>
    </row>
    <row r="966" spans="1:11" ht="12.75" customHeight="1">
      <c r="A966" s="212"/>
      <c r="B966" s="212"/>
      <c r="C966" s="212"/>
      <c r="D966" s="212"/>
      <c r="E966" s="212"/>
      <c r="F966" s="212"/>
      <c r="G966" s="212"/>
      <c r="H966" s="212"/>
      <c r="J966" s="212"/>
      <c r="K966" s="212"/>
    </row>
    <row r="967" spans="1:11" ht="12.75" customHeight="1">
      <c r="A967" s="212"/>
      <c r="B967" s="212"/>
      <c r="C967" s="212"/>
      <c r="D967" s="212"/>
      <c r="E967" s="212"/>
      <c r="F967" s="212"/>
      <c r="G967" s="212"/>
      <c r="H967" s="212"/>
      <c r="J967" s="212"/>
      <c r="K967" s="212"/>
    </row>
    <row r="968" spans="1:11" ht="12.75" customHeight="1">
      <c r="A968" s="212"/>
      <c r="B968" s="212"/>
      <c r="C968" s="212"/>
      <c r="D968" s="212"/>
      <c r="E968" s="212"/>
      <c r="F968" s="212"/>
      <c r="G968" s="212"/>
      <c r="H968" s="212"/>
      <c r="J968" s="212"/>
      <c r="K968" s="212"/>
    </row>
    <row r="969" spans="1:11" ht="12.75" customHeight="1">
      <c r="A969" s="212"/>
      <c r="B969" s="212"/>
      <c r="C969" s="212"/>
      <c r="D969" s="212"/>
      <c r="E969" s="212"/>
      <c r="F969" s="212"/>
      <c r="G969" s="212"/>
      <c r="H969" s="212"/>
      <c r="J969" s="212"/>
      <c r="K969" s="212"/>
    </row>
    <row r="970" spans="1:11" ht="12.75" customHeight="1">
      <c r="A970" s="212"/>
      <c r="B970" s="212"/>
      <c r="C970" s="212"/>
      <c r="D970" s="212"/>
      <c r="E970" s="212"/>
      <c r="F970" s="212"/>
      <c r="G970" s="212"/>
      <c r="H970" s="212"/>
      <c r="J970" s="212"/>
      <c r="K970" s="212"/>
    </row>
    <row r="971" spans="1:11" ht="12.75" customHeight="1">
      <c r="A971" s="212"/>
      <c r="B971" s="212"/>
      <c r="C971" s="212"/>
      <c r="D971" s="212"/>
      <c r="E971" s="212"/>
      <c r="F971" s="212"/>
      <c r="G971" s="212"/>
      <c r="H971" s="212"/>
      <c r="J971" s="212"/>
      <c r="K971" s="212"/>
    </row>
    <row r="972" spans="1:11" ht="12.75" customHeight="1">
      <c r="A972" s="212"/>
      <c r="B972" s="212"/>
      <c r="C972" s="212"/>
      <c r="D972" s="212"/>
      <c r="E972" s="212"/>
      <c r="F972" s="212"/>
      <c r="G972" s="212"/>
      <c r="H972" s="212"/>
      <c r="J972" s="212"/>
      <c r="K972" s="212"/>
    </row>
    <row r="973" spans="1:11" ht="12.75" customHeight="1">
      <c r="A973" s="212"/>
      <c r="B973" s="212"/>
      <c r="C973" s="212"/>
      <c r="D973" s="212"/>
      <c r="E973" s="212"/>
      <c r="F973" s="212"/>
      <c r="G973" s="212"/>
      <c r="H973" s="212"/>
      <c r="J973" s="212"/>
      <c r="K973" s="212"/>
    </row>
    <row r="974" spans="1:11" ht="12.75" customHeight="1">
      <c r="A974" s="212"/>
      <c r="B974" s="212"/>
      <c r="C974" s="212"/>
      <c r="D974" s="212"/>
      <c r="E974" s="212"/>
      <c r="F974" s="212"/>
      <c r="G974" s="212"/>
      <c r="H974" s="212"/>
      <c r="J974" s="212"/>
      <c r="K974" s="212"/>
    </row>
    <row r="975" spans="1:11" ht="12.75" customHeight="1">
      <c r="A975" s="212"/>
      <c r="B975" s="212"/>
      <c r="C975" s="212"/>
      <c r="D975" s="212"/>
      <c r="E975" s="212"/>
      <c r="F975" s="212"/>
      <c r="G975" s="212"/>
      <c r="H975" s="212"/>
      <c r="J975" s="212"/>
      <c r="K975" s="212"/>
    </row>
    <row r="976" spans="1:11" ht="12.75" customHeight="1">
      <c r="A976" s="212"/>
      <c r="B976" s="212"/>
      <c r="C976" s="212"/>
      <c r="D976" s="212"/>
      <c r="E976" s="212"/>
      <c r="F976" s="212"/>
      <c r="G976" s="212"/>
      <c r="H976" s="212"/>
      <c r="J976" s="212"/>
      <c r="K976" s="212"/>
    </row>
    <row r="977" spans="1:11" ht="12.75" customHeight="1">
      <c r="A977" s="212"/>
      <c r="B977" s="212"/>
      <c r="C977" s="212"/>
      <c r="D977" s="212"/>
      <c r="E977" s="212"/>
      <c r="F977" s="212"/>
      <c r="G977" s="212"/>
      <c r="H977" s="212"/>
      <c r="J977" s="212"/>
      <c r="K977" s="212"/>
    </row>
  </sheetData>
  <sheetProtection password="C6F3" sheet="1" objects="1" scenarios="1"/>
  <mergeCells count="29">
    <mergeCell ref="B78:B82"/>
    <mergeCell ref="B45:B54"/>
    <mergeCell ref="A102:A105"/>
    <mergeCell ref="A106:A114"/>
    <mergeCell ref="B109:B114"/>
    <mergeCell ref="B106:B108"/>
    <mergeCell ref="B102:B104"/>
    <mergeCell ref="B62:B64"/>
    <mergeCell ref="B65:B69"/>
    <mergeCell ref="B60:B61"/>
    <mergeCell ref="B55:B59"/>
    <mergeCell ref="A71:A77"/>
    <mergeCell ref="A36:A70"/>
    <mergeCell ref="A2:A8"/>
    <mergeCell ref="B2:B8"/>
    <mergeCell ref="B93:B95"/>
    <mergeCell ref="B83:B85"/>
    <mergeCell ref="B86:B89"/>
    <mergeCell ref="A78:A91"/>
    <mergeCell ref="B90:B91"/>
    <mergeCell ref="B9:B18"/>
    <mergeCell ref="A9:A35"/>
    <mergeCell ref="A93:A101"/>
    <mergeCell ref="B96:B101"/>
    <mergeCell ref="B19:B24"/>
    <mergeCell ref="B39:B44"/>
    <mergeCell ref="B36:B38"/>
    <mergeCell ref="B25:B35"/>
    <mergeCell ref="B71:B77"/>
  </mergeCells>
  <conditionalFormatting sqref="C1 J1 F2:F6 M2 F9:F17 M9:M11 F19:F23 M19:M20 F25:F33 M25:M30 F36:F37 M36 F39:F43 M39:M41 F45:F53 M45:M49 F55:F58 M55 F60 M60 F62 M62:M63 F65:F68 M65:M66 F71 M71:M75 F78:F81 M78:M81 F83:F84 M83:M84 F86:F88 M86 F90 M90 F93:F94 M93:M94 F96:F99 M96 F102:F103 M102 F106:F107 M106 F109:F110 M109:M113">
    <cfRule type="containsBlanks" dxfId="85" priority="1">
      <formula>LEN(TRIM(C1))=0</formula>
    </cfRule>
  </conditionalFormatting>
  <conditionalFormatting sqref="H2:H6 H9:H17 H19:H23 H25:H33 H36:H37 H39:H43 H45:H53 H55:H58 H60 H62 H65:H68 H71 H78:H81 H83:H84 H86:H88 J87:K88 L87:M89 H90 H93:H94 H96:H99 H102:H103 H106:H107 H109:H110">
    <cfRule type="colorScale" priority="2">
      <colorScale>
        <cfvo type="formula" val="1"/>
        <cfvo type="formula" val="2"/>
        <cfvo type="formula" val="3"/>
        <color rgb="FFFF0000"/>
        <color rgb="FFFFFF00"/>
        <color rgb="FF00FF00"/>
      </colorScale>
    </cfRule>
  </conditionalFormatting>
  <conditionalFormatting sqref="D2:D6 K2 D9:D17 K9:K11 D19:D23 K19:K20 D25:D33 K25:K30 D36:D37 K36 D39:D43 K39:K41 D45:D53 K45:K48 D55:D58 K55 D60 K60 D62 K62:K63 D65:D68 K65 D71 K71:K75 D78:D81 K78:K81 D83:D84 K83:K84 D86:D88 K86 D90 K90 D93:D94 K93:K94 D96:D99 K96 D102:D103 K102 D106:D107 K106 D109:D110 K109:K113">
    <cfRule type="containsText" dxfId="84" priority="3" operator="containsText" text="Y">
      <formula>NOT(ISERROR(SEARCH(("Y"),(D2))))</formula>
    </cfRule>
  </conditionalFormatting>
  <conditionalFormatting sqref="D2:D6 K2 D9:D17 K9:K11 D19:D23 K19:K20 D25:D33 K25:K30 D36:D37 K36 D39:D43 K39:K41 D45:D53 K45:K48 D55:D58 K55 D60 K60 D62 K62:K63 D65:D68 K65 D71 K71:K75 D78:D81 K78:K81 D83:D84 K83:K84 D86:D88 K86 D90 K90 D93:D94 K93:K94 D96:D99 K96 D102:D103 K102 D106:D107 K106 D109:D110 K109:K113">
    <cfRule type="containsText" dxfId="83" priority="4" operator="containsText" text="N">
      <formula>NOT(ISERROR(SEARCH(("N"),(D2))))</formula>
    </cfRule>
  </conditionalFormatting>
  <conditionalFormatting sqref="D2:D6 K2 D9:D17 K9:K11 D19:D23 K19:K20 D25:D33 K25:K30 D36:D37 K36 D39:D43 K39:K41 D45:D53 K45:K48 D55:D58 K55 D60 K60 D62 K62:K63 D65:D68 K65 D71 K71:K75 D78:D81 K78:K81 D83:D84 K83:K84 D86:D88 K86 D90 K90 D93:D94 K93:K94 D96:D99 K96 D102:D103 K102 D106:D107 K106 D109:D110 K109:K113">
    <cfRule type="containsBlanks" dxfId="82" priority="5">
      <formula>LEN(TRIM(D2))=0</formula>
    </cfRule>
  </conditionalFormatting>
  <conditionalFormatting sqref="C1:C5 E1:G6 J1:J3 D2:D6 K2:N2 C7 D9:G23 J9:N11 C10:C18 K19:K22 L19:N20 J20:J23 C25:C32 D25:G33 K25:N30 J26:J27 C36:C39 D36:G37 J36:K37 L36:N36 D39:G43 J39:N41 C43:C44 D45:G53 L45:M49 C50:C51 J51:K53 C53 D55:G58 J55 L55:M55 C56 C60:C70 D60:D69 E60:G76 J60:J77 K60:K61 L60:M63 N60 H63:H64 L65:M66 K66:K91 D71:D76 L71:M76 N71:N75 C72:C97 H72:H76 E78:F84 L78:M81 D81:D82 G81:G82 H82 L83:M84 E86:F88 L86:M90 J87:J89 E90:F90 D92:D104 E92:G107 J93:J107 K93:K104 L93:M96 N93:N94 N96 C99:C105 H100 L102:N102 D106:D107 K106:K107 L106:N106 D109:G113 J109:J111 K109:N113 C110:C113 H111:H113">
    <cfRule type="containsBlanks" dxfId="81" priority="6" stopIfTrue="1">
      <formula>LEN(TRIM(C1))=0</formula>
    </cfRule>
  </conditionalFormatting>
  <conditionalFormatting sqref="K2:M2 K9:M11 K19:K22 L19:M20 K25:M30 K36:M36 K39:M41 L45:M49 L55:M55 K60:M60 L62:M63 K65:M65 L66:M66 K71:M75 K78:M81 K83:M84 K86:M86 K90:M90 K93:M94 K96:K103 L96:M96 L102:M102 K106:K107 L106:M106 K109:M113">
    <cfRule type="containsText" dxfId="80" priority="7" operator="containsText" text="Y">
      <formula>NOT(ISERROR(SEARCH(("Y"),(K2))))</formula>
    </cfRule>
  </conditionalFormatting>
  <conditionalFormatting sqref="K2:M2 K9:M11 K19:K22 L19:M20 K25:M30 K36:M36 K39:M41 L45:M49 L55:M55 K60:M60 L62:M63 K65:M65 L66:M66 K71:M75 K78:M81 K83:M84 K86:M86 K90:M90 K93:M94 K96:K103 L96:M96 L102:M102 K106:K107 L106:M106 K109:M113">
    <cfRule type="containsText" dxfId="79" priority="8" operator="containsText" text="N">
      <formula>NOT(ISERROR(SEARCH(("N"),(K2))))</formula>
    </cfRule>
  </conditionalFormatting>
  <conditionalFormatting sqref="K2:M2 K9:M11 K19:K22 L19:M20 K25:M30 K36:M36 K39:M41 L45:M49 L55:M55 K60:M60 L62:M63 K65:M65 L66:M66 K71:M75 K78:M81 K83:M84 K86:M86 K90:M90 K93:M94 K96:K103 L96:M96 L102:M102 K106:K107 L106:M106 K109:M113">
    <cfRule type="containsBlanks" dxfId="78" priority="9">
      <formula>LEN(TRIM(K2))=0</formula>
    </cfRule>
  </conditionalFormatting>
  <conditionalFormatting sqref="D56:G58 J56:J58 E60:F60 E62:F62 E65:F68 E71:F71 E78:F81 E83:F84 E86:F88 E90:F90 E93:F94 E96:F99 E102:F103 E106:F107 E109:F110">
    <cfRule type="containsBlanks" dxfId="77" priority="10" stopIfTrue="1">
      <formula>LEN(TRIM(D56))=0</formula>
    </cfRule>
  </conditionalFormatting>
  <conditionalFormatting sqref="K55:K58 L55:N55 L60:M60 L62:M63 L65:M66 L71:M75 L78:M81 L83:M84 L86:M86 L90:M90 L93:M94 L96:M96 L102:M102 L106:M106 L109:M113">
    <cfRule type="containsBlanks" dxfId="76" priority="11" stopIfTrue="1">
      <formula>LEN(TRIM(K55))=0</formula>
    </cfRule>
  </conditionalFormatting>
  <conditionalFormatting sqref="K62:M63 N62:N63 L64:M64 K65:M65 N65:N66 L66:M66 L71:M75 L78:M81 L83:M84 L86:M86 L90:M90 L93:M94 L96:M96 L102:M102 L106:M106 L109:M113">
    <cfRule type="containsBlanks" dxfId="75" priority="12" stopIfTrue="1">
      <formula>LEN(TRIM(K62))=0</formula>
    </cfRule>
  </conditionalFormatting>
  <conditionalFormatting sqref="K73">
    <cfRule type="containsBlanks" dxfId="74" priority="13" stopIfTrue="1">
      <formula>LEN(TRIM(K73))=0</formula>
    </cfRule>
  </conditionalFormatting>
  <conditionalFormatting sqref="K75 K78:K81 K83:K84 K86 K90">
    <cfRule type="containsBlanks" dxfId="73" priority="14" stopIfTrue="1">
      <formula>LEN(TRIM(K75))=0</formula>
    </cfRule>
  </conditionalFormatting>
  <conditionalFormatting sqref="K78:K81 K83:K84 K86 K90 K92">
    <cfRule type="containsBlanks" dxfId="72" priority="15" stopIfTrue="1">
      <formula>LEN(TRIM(K78))=0</formula>
    </cfRule>
  </conditionalFormatting>
  <conditionalFormatting sqref="K105">
    <cfRule type="containsBlanks" dxfId="71" priority="16" stopIfTrue="1">
      <formula>LEN(TRIM(K105))=0</formula>
    </cfRule>
  </conditionalFormatting>
  <conditionalFormatting sqref="D4:G6 J4:J8 D8:G8">
    <cfRule type="containsBlanks" dxfId="70" priority="17" stopIfTrue="1">
      <formula>LEN(TRIM(D4))=0</formula>
    </cfRule>
  </conditionalFormatting>
  <conditionalFormatting sqref="K3:K8">
    <cfRule type="containsBlanks" dxfId="69" priority="18" stopIfTrue="1">
      <formula>LEN(TRIM(K3))=0</formula>
    </cfRule>
  </conditionalFormatting>
  <conditionalFormatting sqref="D12:G17 J12:J17">
    <cfRule type="containsBlanks" dxfId="68" priority="19" stopIfTrue="1">
      <formula>LEN(TRIM(D12))=0</formula>
    </cfRule>
  </conditionalFormatting>
  <conditionalFormatting sqref="K11:K17">
    <cfRule type="containsBlanks" dxfId="67" priority="20" stopIfTrue="1">
      <formula>LEN(TRIM(K11))=0</formula>
    </cfRule>
  </conditionalFormatting>
  <conditionalFormatting sqref="K23">
    <cfRule type="containsBlanks" dxfId="66" priority="21" stopIfTrue="1">
      <formula>LEN(TRIM(K23))=0</formula>
    </cfRule>
  </conditionalFormatting>
  <conditionalFormatting sqref="D30:G33 J30:J33 D35 E35:F37 G35 J35 E39:F43 E45:F53 E55:F58 E60:F60 E62:F62 E65:F68 E71:F71 E78:F81 E83:F84 E86:F88 E90:F90 E93:F94 E96:F99 E102:F103 E106:F107 E109:F110">
    <cfRule type="containsBlanks" dxfId="65" priority="22" stopIfTrue="1">
      <formula>LEN(TRIM(D30))=0</formula>
    </cfRule>
  </conditionalFormatting>
  <conditionalFormatting sqref="K29:K33 K35">
    <cfRule type="containsBlanks" dxfId="64" priority="23" stopIfTrue="1">
      <formula>LEN(TRIM(K29))=0</formula>
    </cfRule>
  </conditionalFormatting>
  <conditionalFormatting sqref="D42:G43 J42:J43 D45:G53 J45:J50 D55:G58 E60:F60 E62:F62 E65:F68 E71:F71 E78:F81 E83:F84 E86:F88 E90:F90 E93:F94 E96:F99 E102:F103 E106:F107 E109:F110">
    <cfRule type="containsBlanks" dxfId="63" priority="24" stopIfTrue="1">
      <formula>LEN(TRIM(D42))=0</formula>
    </cfRule>
  </conditionalFormatting>
  <conditionalFormatting sqref="K42:K43 K45:K48 L45:N49 K50">
    <cfRule type="containsBlanks" dxfId="62" priority="25" stopIfTrue="1">
      <formula>LEN(TRIM(K42))=0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8FF00"/>
  </sheetPr>
  <dimension ref="A1:O951"/>
  <sheetViews>
    <sheetView showGridLines="0" workbookViewId="0">
      <pane xSplit="2" ySplit="1" topLeftCell="C2" activePane="bottomRight" state="frozen"/>
      <selection pane="topRight" activeCell="C1" sqref="C1"/>
      <selection pane="bottomLeft" activeCell="A2" sqref="A2"/>
      <selection pane="bottomRight" activeCell="H2" sqref="H2"/>
    </sheetView>
  </sheetViews>
  <sheetFormatPr baseColWidth="10" defaultColWidth="17.33203125" defaultRowHeight="15" customHeight="1"/>
  <cols>
    <col min="1" max="1" width="15.5" customWidth="1"/>
    <col min="2" max="2" width="24.83203125" customWidth="1"/>
    <col min="3" max="3" width="53.83203125" customWidth="1"/>
    <col min="4" max="4" width="5.5" customWidth="1"/>
    <col min="5" max="5" width="8.33203125" hidden="1" customWidth="1"/>
    <col min="6" max="7" width="5.5" hidden="1" customWidth="1"/>
    <col min="8" max="8" width="6.1640625" customWidth="1"/>
    <col min="9" max="9" width="5.5" customWidth="1"/>
    <col min="10" max="10" width="58.33203125" customWidth="1"/>
    <col min="11" max="11" width="4.5" customWidth="1"/>
    <col min="12" max="12" width="9.5" hidden="1" customWidth="1"/>
    <col min="13" max="14" width="5.83203125" hidden="1" customWidth="1"/>
    <col min="15" max="15" width="7.5" customWidth="1"/>
    <col min="16" max="31" width="17.1640625" customWidth="1"/>
  </cols>
  <sheetData>
    <row r="1" spans="1:15" ht="24">
      <c r="A1" s="22" t="s">
        <v>19</v>
      </c>
      <c r="B1" s="22" t="s">
        <v>21</v>
      </c>
      <c r="C1" s="24" t="s">
        <v>23</v>
      </c>
      <c r="D1" s="26" t="s">
        <v>25</v>
      </c>
      <c r="E1" s="257"/>
      <c r="F1" s="257"/>
      <c r="G1" s="257"/>
      <c r="H1" s="31" t="s">
        <v>42</v>
      </c>
      <c r="I1" s="33"/>
      <c r="J1" s="35" t="s">
        <v>29</v>
      </c>
      <c r="K1" s="26" t="s">
        <v>25</v>
      </c>
      <c r="O1" s="37"/>
    </row>
    <row r="2" spans="1:15" ht="16.5" customHeight="1">
      <c r="A2" s="468" t="s">
        <v>46</v>
      </c>
      <c r="B2" s="471" t="s">
        <v>60</v>
      </c>
      <c r="C2" s="64" t="str">
        <f>Glossary!B61</f>
        <v>Customer Roadmap</v>
      </c>
      <c r="D2" s="453"/>
      <c r="E2" t="b">
        <f t="shared" ref="E2:E8" si="0">IF(OR(D2="y",D2="n"), G2)</f>
        <v>0</v>
      </c>
      <c r="F2" s="51" t="str">
        <f t="shared" ref="F2:F8" si="1">IF(D2 = "Y",E2, IF(D2="n",0, ""))</f>
        <v/>
      </c>
      <c r="G2" s="53">
        <v>10</v>
      </c>
      <c r="H2" s="400"/>
      <c r="I2" s="56"/>
      <c r="J2" s="69" t="str">
        <f>Glossary!B181</f>
        <v>Project efforts initial estimates</v>
      </c>
      <c r="K2" s="402"/>
      <c r="L2" t="b">
        <f t="shared" ref="L2:L3" si="2">IF(OR(K2="y",K2="n"), N2)</f>
        <v>0</v>
      </c>
      <c r="M2" s="51" t="str">
        <f t="shared" ref="M2:M3" si="3">IF(K2 = "Y",L2, IF(K2="n",0, ""))</f>
        <v/>
      </c>
      <c r="N2" s="53">
        <v>50</v>
      </c>
      <c r="O2" s="37"/>
    </row>
    <row r="3" spans="1:15" ht="16.5" customHeight="1">
      <c r="A3" s="469"/>
      <c r="B3" s="469"/>
      <c r="C3" s="64" t="str">
        <f>Glossary!B184</f>
        <v>Project Scope Document</v>
      </c>
      <c r="D3" s="402"/>
      <c r="E3" t="b">
        <f t="shared" si="0"/>
        <v>0</v>
      </c>
      <c r="F3" s="51" t="str">
        <f t="shared" si="1"/>
        <v/>
      </c>
      <c r="G3" s="53">
        <v>25</v>
      </c>
      <c r="H3" s="400"/>
      <c r="I3" s="56"/>
      <c r="J3" s="69" t="str">
        <f>Glossary!B253</f>
        <v>Testing Scope</v>
      </c>
      <c r="K3" s="402"/>
      <c r="L3" t="b">
        <f t="shared" si="2"/>
        <v>0</v>
      </c>
      <c r="M3" s="51" t="str">
        <f t="shared" si="3"/>
        <v/>
      </c>
      <c r="N3" s="53">
        <v>30</v>
      </c>
      <c r="O3" s="37"/>
    </row>
    <row r="4" spans="1:15" ht="16.5" customHeight="1">
      <c r="A4" s="469"/>
      <c r="B4" s="469"/>
      <c r="C4" s="64" t="str">
        <f>Glossary!B202</f>
        <v>ROI expectations</v>
      </c>
      <c r="D4" s="402"/>
      <c r="E4" t="b">
        <f t="shared" si="0"/>
        <v>0</v>
      </c>
      <c r="F4" s="51" t="str">
        <f t="shared" si="1"/>
        <v/>
      </c>
      <c r="G4" s="53">
        <v>10</v>
      </c>
      <c r="H4" s="400"/>
      <c r="I4" s="56"/>
      <c r="J4" s="92"/>
      <c r="K4" s="92"/>
      <c r="O4" s="37"/>
    </row>
    <row r="5" spans="1:15" ht="16.5" customHeight="1">
      <c r="A5" s="469"/>
      <c r="B5" s="469"/>
      <c r="C5" s="64" t="str">
        <f>Glossary!B86</f>
        <v>Experience Designs Requirements</v>
      </c>
      <c r="D5" s="402"/>
      <c r="E5" t="b">
        <f t="shared" si="0"/>
        <v>0</v>
      </c>
      <c r="F5" s="51" t="str">
        <f t="shared" si="1"/>
        <v/>
      </c>
      <c r="G5" s="53">
        <v>25</v>
      </c>
      <c r="H5" s="400"/>
      <c r="I5" s="56"/>
      <c r="J5" s="92"/>
      <c r="K5" s="92"/>
      <c r="O5" s="37"/>
    </row>
    <row r="6" spans="1:15" ht="16.5" customHeight="1">
      <c r="A6" s="469"/>
      <c r="B6" s="469"/>
      <c r="C6" s="64" t="str">
        <f>Glossary!B34</f>
        <v>Business Requirements Documentation</v>
      </c>
      <c r="D6" s="402"/>
      <c r="E6" t="b">
        <f t="shared" si="0"/>
        <v>0</v>
      </c>
      <c r="F6" s="51" t="str">
        <f t="shared" si="1"/>
        <v/>
      </c>
      <c r="G6" s="53">
        <v>30</v>
      </c>
      <c r="H6" s="400"/>
      <c r="I6" s="56"/>
      <c r="J6" s="92"/>
      <c r="K6" s="92"/>
      <c r="O6" s="37"/>
    </row>
    <row r="7" spans="1:15" ht="16.5" customHeight="1">
      <c r="A7" s="469"/>
      <c r="B7" s="469"/>
      <c r="C7" s="269" t="str">
        <f>Glossary!B245</f>
        <v>Technical Requirements</v>
      </c>
      <c r="D7" s="402"/>
      <c r="E7" t="b">
        <f t="shared" si="0"/>
        <v>0</v>
      </c>
      <c r="F7" s="51" t="str">
        <f t="shared" si="1"/>
        <v/>
      </c>
      <c r="G7" s="53">
        <v>30</v>
      </c>
      <c r="H7" s="400"/>
      <c r="I7" s="56"/>
      <c r="J7" s="92"/>
      <c r="K7" s="193"/>
      <c r="O7" s="37"/>
    </row>
    <row r="8" spans="1:15" ht="16.5" customHeight="1">
      <c r="A8" s="469"/>
      <c r="B8" s="469"/>
      <c r="C8" s="45" t="str">
        <f>Glossary!B233</f>
        <v>Success criteria and definition</v>
      </c>
      <c r="D8" s="402"/>
      <c r="E8" s="178" t="b">
        <f t="shared" si="0"/>
        <v>0</v>
      </c>
      <c r="F8" s="170" t="str">
        <f t="shared" si="1"/>
        <v/>
      </c>
      <c r="G8" s="69">
        <v>25</v>
      </c>
      <c r="H8" s="400"/>
      <c r="I8" s="56"/>
      <c r="J8" s="92"/>
      <c r="K8" s="97"/>
      <c r="O8" s="37"/>
    </row>
    <row r="9" spans="1:15" ht="16.5" customHeight="1">
      <c r="A9" s="478"/>
      <c r="B9" s="478"/>
      <c r="C9" s="126"/>
      <c r="D9" s="126"/>
      <c r="E9" s="126"/>
      <c r="F9" s="126"/>
      <c r="G9" s="126"/>
      <c r="H9" s="165"/>
      <c r="I9" s="74"/>
      <c r="J9" s="126"/>
      <c r="K9" s="165"/>
      <c r="O9" s="37"/>
    </row>
    <row r="10" spans="1:15" ht="18.75" hidden="1" customHeight="1">
      <c r="A10" s="301"/>
      <c r="B10" s="302"/>
      <c r="C10" s="216"/>
      <c r="D10" s="95">
        <f>COUNTA(D2:D8,K2:K3)/COUNTA(F2:F8,M2:M3)</f>
        <v>0</v>
      </c>
      <c r="E10" s="95">
        <f t="shared" ref="E10:F10" si="4">SUM(E2:E8)</f>
        <v>0</v>
      </c>
      <c r="F10" s="95">
        <f t="shared" si="4"/>
        <v>0</v>
      </c>
      <c r="G10" s="95"/>
      <c r="H10" s="72" t="str">
        <f>IFERROR(AVERAGE(H2:H8),"")</f>
        <v/>
      </c>
      <c r="I10" s="37"/>
      <c r="J10" s="95"/>
      <c r="K10" s="97"/>
      <c r="L10">
        <f t="shared" ref="L10:M10" si="5">SUM(L2:L3)</f>
        <v>0</v>
      </c>
      <c r="M10">
        <f t="shared" si="5"/>
        <v>0</v>
      </c>
      <c r="O10" s="37"/>
    </row>
    <row r="11" spans="1:15" ht="16.5" customHeight="1">
      <c r="A11" s="498" t="s">
        <v>47</v>
      </c>
      <c r="B11" s="495" t="s">
        <v>70</v>
      </c>
      <c r="C11" s="101" t="str">
        <f>Glossary!B166</f>
        <v>Performance KPIs</v>
      </c>
      <c r="D11" s="402"/>
      <c r="E11" t="b">
        <f t="shared" ref="E11:E15" si="6">IF(OR(D11="y",D11="n"), G11)</f>
        <v>0</v>
      </c>
      <c r="F11" s="51" t="str">
        <f t="shared" ref="F11:F15" si="7">IF(D11 = "Y",E11, IF(D11="n",0, ""))</f>
        <v/>
      </c>
      <c r="G11" s="53">
        <v>20</v>
      </c>
      <c r="H11" s="400"/>
      <c r="I11" s="56"/>
      <c r="J11" s="69" t="str">
        <f>Glossary!B254</f>
        <v>Testing Strategy</v>
      </c>
      <c r="K11" s="402"/>
      <c r="L11" t="b">
        <f t="shared" ref="L11:L13" si="8">IF(OR(K11="y",K11="n"), N11)</f>
        <v>0</v>
      </c>
      <c r="M11" s="51" t="str">
        <f t="shared" ref="M11:M13" si="9">IF(K11 = "Y",L11, IF(K11="n",0, ""))</f>
        <v/>
      </c>
      <c r="N11" s="53">
        <v>40</v>
      </c>
      <c r="O11" s="37"/>
    </row>
    <row r="12" spans="1:15" ht="16.5" customHeight="1">
      <c r="A12" s="469"/>
      <c r="B12" s="469"/>
      <c r="C12" s="308" t="str">
        <f>Glossary!B33</f>
        <v>Business KPIs</v>
      </c>
      <c r="D12" s="402"/>
      <c r="E12" t="b">
        <f t="shared" si="6"/>
        <v>0</v>
      </c>
      <c r="F12" s="51" t="str">
        <f t="shared" si="7"/>
        <v/>
      </c>
      <c r="G12" s="53">
        <v>10</v>
      </c>
      <c r="H12" s="400"/>
      <c r="I12" s="56"/>
      <c r="J12" s="69" t="str">
        <f>Glossary!B251</f>
        <v>Testing Plans</v>
      </c>
      <c r="K12" s="402"/>
      <c r="L12" t="b">
        <f t="shared" si="8"/>
        <v>0</v>
      </c>
      <c r="M12" s="51" t="str">
        <f t="shared" si="9"/>
        <v/>
      </c>
      <c r="N12" s="53">
        <v>30</v>
      </c>
      <c r="O12" s="37"/>
    </row>
    <row r="13" spans="1:15" ht="16.5" customHeight="1">
      <c r="A13" s="469"/>
      <c r="B13" s="469"/>
      <c r="C13" s="58" t="str">
        <f>Glossary!B34</f>
        <v>Business Requirements Documentation</v>
      </c>
      <c r="D13" s="402"/>
      <c r="E13" t="b">
        <f t="shared" si="6"/>
        <v>0</v>
      </c>
      <c r="F13" s="51" t="str">
        <f t="shared" si="7"/>
        <v/>
      </c>
      <c r="G13" s="53">
        <v>30</v>
      </c>
      <c r="H13" s="400"/>
      <c r="I13" s="56"/>
      <c r="J13" s="69" t="str">
        <f>Glossary!B268</f>
        <v>Understands scope of project and expectations</v>
      </c>
      <c r="K13" s="402"/>
      <c r="L13" t="b">
        <f t="shared" si="8"/>
        <v>0</v>
      </c>
      <c r="M13" s="51" t="str">
        <f t="shared" si="9"/>
        <v/>
      </c>
      <c r="N13" s="53">
        <v>20</v>
      </c>
      <c r="O13" s="37"/>
    </row>
    <row r="14" spans="1:15" ht="16.5" customHeight="1">
      <c r="A14" s="469"/>
      <c r="B14" s="469"/>
      <c r="C14" s="312" t="str">
        <f>Glossary!B245</f>
        <v>Technical Requirements</v>
      </c>
      <c r="D14" s="402"/>
      <c r="E14" t="b">
        <f t="shared" si="6"/>
        <v>0</v>
      </c>
      <c r="F14" s="51" t="str">
        <f t="shared" si="7"/>
        <v/>
      </c>
      <c r="G14" s="53">
        <v>30</v>
      </c>
      <c r="H14" s="400"/>
      <c r="I14" s="56"/>
      <c r="J14" s="127"/>
      <c r="K14" s="127"/>
      <c r="M14" s="51"/>
      <c r="N14" s="127"/>
      <c r="O14" s="37"/>
    </row>
    <row r="15" spans="1:15" ht="16.5" customHeight="1">
      <c r="A15" s="469"/>
      <c r="B15" s="469"/>
      <c r="C15" s="121" t="str">
        <f>Glossary!B233</f>
        <v>Success criteria and definition</v>
      </c>
      <c r="D15" s="402"/>
      <c r="E15" t="b">
        <f t="shared" si="6"/>
        <v>0</v>
      </c>
      <c r="F15" s="51" t="str">
        <f t="shared" si="7"/>
        <v/>
      </c>
      <c r="G15" s="53">
        <v>25</v>
      </c>
      <c r="H15" s="400"/>
      <c r="I15" s="56"/>
      <c r="J15" s="95"/>
      <c r="K15" s="97"/>
      <c r="O15" s="37"/>
    </row>
    <row r="16" spans="1:15" ht="16.5" customHeight="1">
      <c r="A16" s="469"/>
      <c r="B16" s="478"/>
      <c r="C16" s="141"/>
      <c r="D16" s="126"/>
      <c r="E16" s="126"/>
      <c r="F16" s="126"/>
      <c r="G16" s="126"/>
      <c r="H16" s="165"/>
      <c r="I16" s="74"/>
      <c r="J16" s="165"/>
      <c r="K16" s="117"/>
      <c r="O16" s="37"/>
    </row>
    <row r="17" spans="1:15" ht="16.5" customHeight="1">
      <c r="A17" s="469"/>
      <c r="B17" s="495" t="s">
        <v>75</v>
      </c>
      <c r="C17" s="45" t="str">
        <f>Glossary!B229</f>
        <v>Stakeholders</v>
      </c>
      <c r="D17" s="402"/>
      <c r="E17" t="b">
        <f t="shared" ref="E17:E19" si="10">IF(OR(D17="y",D17="n"), G17)</f>
        <v>0</v>
      </c>
      <c r="F17" s="51" t="str">
        <f t="shared" ref="F17:F19" si="11">IF(D17 = "Y",E17, IF(D17="n",0, ""))</f>
        <v/>
      </c>
      <c r="G17" s="53">
        <v>10</v>
      </c>
      <c r="H17" s="400"/>
      <c r="I17" s="56"/>
      <c r="J17" s="45" t="s">
        <v>114</v>
      </c>
      <c r="K17" s="402"/>
      <c r="L17" t="b">
        <f t="shared" ref="L17:L18" si="12">IF(OR(K17="y",K17="n"), N17)</f>
        <v>0</v>
      </c>
      <c r="M17" s="51" t="str">
        <f t="shared" ref="M17:M18" si="13">IF(K17 = "Y",L17, IF(K17="n",0, ""))</f>
        <v/>
      </c>
      <c r="N17" s="53">
        <v>40</v>
      </c>
      <c r="O17" s="37"/>
    </row>
    <row r="18" spans="1:15" ht="16.5" customHeight="1">
      <c r="A18" s="469"/>
      <c r="B18" s="469"/>
      <c r="C18" s="141" t="s">
        <v>115</v>
      </c>
      <c r="D18" s="402"/>
      <c r="E18" t="b">
        <f t="shared" si="10"/>
        <v>0</v>
      </c>
      <c r="F18" s="51" t="str">
        <f t="shared" si="11"/>
        <v/>
      </c>
      <c r="G18" s="53">
        <v>30</v>
      </c>
      <c r="H18" s="400"/>
      <c r="I18" s="56"/>
      <c r="J18" s="45" t="s">
        <v>116</v>
      </c>
      <c r="K18" s="402"/>
      <c r="L18" t="b">
        <f t="shared" si="12"/>
        <v>0</v>
      </c>
      <c r="M18" s="51" t="str">
        <f t="shared" si="13"/>
        <v/>
      </c>
      <c r="N18" s="53">
        <v>30</v>
      </c>
      <c r="O18" s="37"/>
    </row>
    <row r="19" spans="1:15" ht="16.5" customHeight="1">
      <c r="A19" s="469"/>
      <c r="B19" s="469"/>
      <c r="C19" s="110" t="str">
        <f>Glossary!B180</f>
        <v>Project communication plan</v>
      </c>
      <c r="D19" s="402"/>
      <c r="E19" t="b">
        <f t="shared" si="10"/>
        <v>0</v>
      </c>
      <c r="F19" s="51" t="str">
        <f t="shared" si="11"/>
        <v/>
      </c>
      <c r="G19" s="53">
        <v>20</v>
      </c>
      <c r="H19" s="400"/>
      <c r="I19" s="56"/>
      <c r="J19" s="92"/>
      <c r="K19" s="123"/>
      <c r="O19" s="37"/>
    </row>
    <row r="20" spans="1:15" ht="16.5" customHeight="1">
      <c r="A20" s="469"/>
      <c r="B20" s="478"/>
      <c r="C20" s="110"/>
      <c r="D20" s="295"/>
      <c r="E20" s="295"/>
      <c r="F20" s="295"/>
      <c r="G20" s="295"/>
      <c r="H20" s="117"/>
      <c r="I20" s="74"/>
      <c r="J20" s="117"/>
      <c r="K20" s="117"/>
      <c r="O20" s="37"/>
    </row>
    <row r="21" spans="1:15" ht="16.5" customHeight="1">
      <c r="A21" s="469"/>
      <c r="B21" s="481" t="s">
        <v>76</v>
      </c>
      <c r="C21" s="101" t="str">
        <f>Glossary!B61</f>
        <v>Customer Roadmap</v>
      </c>
      <c r="D21" s="402"/>
      <c r="E21" t="b">
        <f t="shared" ref="E21:E31" si="14">IF(OR(D21="y",D21="n"), G21)</f>
        <v>0</v>
      </c>
      <c r="F21" s="51" t="str">
        <f t="shared" ref="F21:F31" si="15">IF(D21 = "Y",E21, IF(D21="n",0, ""))</f>
        <v/>
      </c>
      <c r="G21" s="53">
        <v>10</v>
      </c>
      <c r="H21" s="400"/>
      <c r="I21" s="56"/>
      <c r="J21" s="45" t="str">
        <f>Glossary!B268</f>
        <v>Understands scope of project and expectations</v>
      </c>
      <c r="K21" s="402"/>
      <c r="L21" t="b">
        <f t="shared" ref="L21:L25" si="16">IF(OR(K21="y",K21="n"), N21)</f>
        <v>0</v>
      </c>
      <c r="M21" s="51" t="str">
        <f t="shared" ref="M21:M25" si="17">IF(K21 = "Y",L21, IF(K21="n",0, ""))</f>
        <v/>
      </c>
      <c r="N21" s="53">
        <v>20</v>
      </c>
      <c r="O21" s="37"/>
    </row>
    <row r="22" spans="1:15" ht="16.5" customHeight="1">
      <c r="A22" s="469"/>
      <c r="B22" s="469"/>
      <c r="C22" s="101" t="str">
        <f>Glossary!B184</f>
        <v>Project Scope Document</v>
      </c>
      <c r="D22" s="402"/>
      <c r="E22" t="b">
        <f t="shared" si="14"/>
        <v>0</v>
      </c>
      <c r="F22" s="51" t="str">
        <f t="shared" si="15"/>
        <v/>
      </c>
      <c r="G22" s="53">
        <v>25</v>
      </c>
      <c r="H22" s="400"/>
      <c r="I22" s="56"/>
      <c r="J22" s="45" t="str">
        <f>Glossary!B9</f>
        <v>Agreement on KPI's, defined as goals for the project</v>
      </c>
      <c r="K22" s="402"/>
      <c r="L22" t="b">
        <f t="shared" si="16"/>
        <v>0</v>
      </c>
      <c r="M22" s="51" t="str">
        <f t="shared" si="17"/>
        <v/>
      </c>
      <c r="N22" s="53">
        <v>30</v>
      </c>
      <c r="O22" s="37"/>
    </row>
    <row r="23" spans="1:15" ht="16.5" customHeight="1">
      <c r="A23" s="469"/>
      <c r="B23" s="469"/>
      <c r="C23" s="101" t="str">
        <f>Glossary!B202</f>
        <v>ROI expectations</v>
      </c>
      <c r="D23" s="402"/>
      <c r="E23" t="b">
        <f t="shared" si="14"/>
        <v>0</v>
      </c>
      <c r="F23" s="51" t="str">
        <f t="shared" si="15"/>
        <v/>
      </c>
      <c r="G23" s="53">
        <v>10</v>
      </c>
      <c r="H23" s="400"/>
      <c r="I23" s="56"/>
      <c r="J23" s="45" t="str">
        <f>Glossary!B229</f>
        <v>Stakeholders</v>
      </c>
      <c r="K23" s="402"/>
      <c r="L23" t="b">
        <f t="shared" si="16"/>
        <v>0</v>
      </c>
      <c r="M23" s="51" t="str">
        <f t="shared" si="17"/>
        <v/>
      </c>
      <c r="N23" s="53">
        <v>10</v>
      </c>
      <c r="O23" s="37"/>
    </row>
    <row r="24" spans="1:15" ht="16.5" customHeight="1">
      <c r="A24" s="469"/>
      <c r="B24" s="469"/>
      <c r="C24" s="101" t="str">
        <f>Glossary!B86</f>
        <v>Experience Designs Requirements</v>
      </c>
      <c r="D24" s="402"/>
      <c r="E24" t="b">
        <f t="shared" si="14"/>
        <v>0</v>
      </c>
      <c r="F24" s="51" t="str">
        <f t="shared" si="15"/>
        <v/>
      </c>
      <c r="G24" s="53">
        <v>25</v>
      </c>
      <c r="H24" s="400"/>
      <c r="I24" s="56"/>
      <c r="J24" s="122" t="str">
        <f>Glossary!B27</f>
        <v>Aware of communication plan</v>
      </c>
      <c r="K24" s="402"/>
      <c r="L24" t="b">
        <f t="shared" si="16"/>
        <v>0</v>
      </c>
      <c r="M24" s="51" t="str">
        <f t="shared" si="17"/>
        <v/>
      </c>
      <c r="N24" s="53">
        <v>10</v>
      </c>
      <c r="O24" s="37"/>
    </row>
    <row r="25" spans="1:15" ht="16.5" customHeight="1">
      <c r="A25" s="469"/>
      <c r="B25" s="469"/>
      <c r="C25" s="101" t="str">
        <f>Glossary!B198</f>
        <v>Requirements Documentation</v>
      </c>
      <c r="D25" s="402"/>
      <c r="E25" t="b">
        <f t="shared" si="14"/>
        <v>0</v>
      </c>
      <c r="F25" s="51" t="str">
        <f t="shared" si="15"/>
        <v/>
      </c>
      <c r="G25" s="53">
        <v>40</v>
      </c>
      <c r="H25" s="400"/>
      <c r="I25" s="56"/>
      <c r="J25" s="122" t="str">
        <f>Glossary!B28</f>
        <v>Aware of success definitions and criteria</v>
      </c>
      <c r="K25" s="402"/>
      <c r="L25" t="b">
        <f t="shared" si="16"/>
        <v>0</v>
      </c>
      <c r="M25" s="51" t="str">
        <f t="shared" si="17"/>
        <v/>
      </c>
      <c r="N25" s="53">
        <v>20</v>
      </c>
      <c r="O25" s="37"/>
    </row>
    <row r="26" spans="1:15" ht="16.5" customHeight="1">
      <c r="A26" s="469"/>
      <c r="B26" s="469"/>
      <c r="C26" s="101" t="str">
        <f>Glossary!B104</f>
        <v>High Level Solution Design</v>
      </c>
      <c r="D26" s="402"/>
      <c r="E26" t="b">
        <f t="shared" si="14"/>
        <v>0</v>
      </c>
      <c r="F26" s="51" t="str">
        <f t="shared" si="15"/>
        <v/>
      </c>
      <c r="G26" s="53">
        <v>30</v>
      </c>
      <c r="H26" s="400"/>
      <c r="I26" s="56"/>
      <c r="J26" s="95"/>
      <c r="K26" s="97"/>
      <c r="O26" s="37"/>
    </row>
    <row r="27" spans="1:15" ht="16.5" customHeight="1">
      <c r="A27" s="469"/>
      <c r="B27" s="469"/>
      <c r="C27" s="101" t="str">
        <f>Glossary!B11</f>
        <v>Architecture Draft</v>
      </c>
      <c r="D27" s="402"/>
      <c r="E27" t="b">
        <f t="shared" si="14"/>
        <v>0</v>
      </c>
      <c r="F27" s="51" t="str">
        <f t="shared" si="15"/>
        <v/>
      </c>
      <c r="G27" s="53">
        <v>20</v>
      </c>
      <c r="H27" s="400"/>
      <c r="I27" s="56"/>
      <c r="J27" s="95"/>
      <c r="K27" s="97"/>
      <c r="O27" s="37"/>
    </row>
    <row r="28" spans="1:15" ht="16.5" customHeight="1">
      <c r="A28" s="469"/>
      <c r="B28" s="469"/>
      <c r="C28" s="101" t="str">
        <f>Glossary!B166</f>
        <v>Performance KPIs</v>
      </c>
      <c r="D28" s="402"/>
      <c r="E28" t="b">
        <f t="shared" si="14"/>
        <v>0</v>
      </c>
      <c r="F28" s="51" t="str">
        <f t="shared" si="15"/>
        <v/>
      </c>
      <c r="G28" s="53">
        <v>30</v>
      </c>
      <c r="H28" s="400"/>
      <c r="I28" s="56"/>
      <c r="J28" s="95"/>
      <c r="K28" s="97"/>
      <c r="O28" s="37"/>
    </row>
    <row r="29" spans="1:15" ht="16.5" customHeight="1">
      <c r="A29" s="469"/>
      <c r="B29" s="469"/>
      <c r="C29" s="101" t="str">
        <f>Glossary!B264</f>
        <v>Timeline and Milestones</v>
      </c>
      <c r="D29" s="402"/>
      <c r="E29" t="b">
        <f t="shared" si="14"/>
        <v>0</v>
      </c>
      <c r="F29" s="51" t="str">
        <f t="shared" si="15"/>
        <v/>
      </c>
      <c r="G29" s="53">
        <v>25</v>
      </c>
      <c r="H29" s="400"/>
      <c r="I29" s="56"/>
      <c r="J29" s="95"/>
      <c r="K29" s="97"/>
      <c r="O29" s="37"/>
    </row>
    <row r="30" spans="1:15" ht="16.5" customHeight="1">
      <c r="A30" s="469"/>
      <c r="B30" s="469"/>
      <c r="C30" s="119" t="str">
        <f>Glossary!B183</f>
        <v>Project Ogranization</v>
      </c>
      <c r="D30" s="402"/>
      <c r="E30" t="b">
        <f t="shared" si="14"/>
        <v>0</v>
      </c>
      <c r="F30" s="51" t="str">
        <f t="shared" si="15"/>
        <v/>
      </c>
      <c r="G30" s="53">
        <v>10</v>
      </c>
      <c r="H30" s="400"/>
      <c r="I30" s="56"/>
      <c r="J30" s="95"/>
      <c r="K30" s="97"/>
      <c r="O30" s="37"/>
    </row>
    <row r="31" spans="1:15" ht="16.5" customHeight="1">
      <c r="A31" s="469"/>
      <c r="B31" s="469"/>
      <c r="C31" s="45" t="str">
        <f>Glossary!B233</f>
        <v>Success criteria and definition</v>
      </c>
      <c r="D31" s="402"/>
      <c r="E31" t="b">
        <f t="shared" si="14"/>
        <v>0</v>
      </c>
      <c r="F31" s="51" t="str">
        <f t="shared" si="15"/>
        <v/>
      </c>
      <c r="G31" s="69">
        <v>25</v>
      </c>
      <c r="H31" s="400"/>
      <c r="I31" s="56"/>
      <c r="J31" s="95"/>
      <c r="K31" s="97"/>
      <c r="O31" s="37"/>
    </row>
    <row r="32" spans="1:15" ht="16.5" customHeight="1">
      <c r="A32" s="478"/>
      <c r="B32" s="478"/>
      <c r="C32" s="220"/>
      <c r="D32" s="220"/>
      <c r="E32" s="220"/>
      <c r="F32" s="220"/>
      <c r="G32" s="220"/>
      <c r="H32" s="117"/>
      <c r="I32" s="74"/>
      <c r="J32" s="117"/>
      <c r="K32" s="117"/>
      <c r="O32" s="37"/>
    </row>
    <row r="33" spans="1:15" ht="16.5" hidden="1" customHeight="1">
      <c r="A33" s="88"/>
      <c r="B33" s="321"/>
      <c r="C33" s="216"/>
      <c r="D33" s="95">
        <f>COUNTA(D11:D31,K11:K13,K17:K18,K21:K25)/COUNTA(F11:F31,M11:M13,M17:M18,M21:M25)</f>
        <v>0</v>
      </c>
      <c r="E33" s="95">
        <f t="shared" ref="E33:F33" si="18">SUM(E11:E31)</f>
        <v>0</v>
      </c>
      <c r="F33" s="95">
        <f t="shared" si="18"/>
        <v>0</v>
      </c>
      <c r="G33" s="95"/>
      <c r="H33" s="72" t="str">
        <f>IFERROR(AVERAGE(H11:H31),"")</f>
        <v/>
      </c>
      <c r="I33" s="37"/>
      <c r="J33" s="95"/>
      <c r="K33" s="97"/>
      <c r="L33">
        <f t="shared" ref="L33:M33" si="19">SUM(L11:L13,L17:L18,L21:L25)</f>
        <v>0</v>
      </c>
      <c r="M33">
        <f t="shared" si="19"/>
        <v>0</v>
      </c>
      <c r="O33" s="37"/>
    </row>
    <row r="34" spans="1:15" ht="21" customHeight="1">
      <c r="A34" s="477" t="s">
        <v>81</v>
      </c>
      <c r="B34" s="495" t="s">
        <v>85</v>
      </c>
      <c r="C34" s="101" t="str">
        <f>Glossary!B15</f>
        <v>AEM technical trainings</v>
      </c>
      <c r="D34" s="402"/>
      <c r="E34" t="b">
        <f t="shared" ref="E34:E35" si="20">IF(OR(D34="y",D34="n"), G34)</f>
        <v>0</v>
      </c>
      <c r="F34" s="51" t="str">
        <f t="shared" ref="F34:F35" si="21">IF(D34 = "Y",E34, IF(D34="n",0, ""))</f>
        <v/>
      </c>
      <c r="G34" s="53">
        <v>30</v>
      </c>
      <c r="H34" s="400"/>
      <c r="I34" s="56"/>
      <c r="J34" s="45" t="str">
        <f>Glossary!B19</f>
        <v>AEM Certified</v>
      </c>
      <c r="K34" s="402"/>
      <c r="L34" t="b">
        <f>IF(OR(K34="y",K34="n"), N34)</f>
        <v>0</v>
      </c>
      <c r="M34" s="51" t="str">
        <f>IF(K34 = "Y",L34, IF(K34="n",0, ""))</f>
        <v/>
      </c>
      <c r="N34" s="53">
        <v>50</v>
      </c>
      <c r="O34" s="37"/>
    </row>
    <row r="35" spans="1:15" ht="20.25" customHeight="1">
      <c r="A35" s="469"/>
      <c r="B35" s="469"/>
      <c r="C35" s="101" t="str">
        <f>Glossary!B18</f>
        <v>AEM Certification Exam</v>
      </c>
      <c r="D35" s="402"/>
      <c r="E35" t="b">
        <f t="shared" si="20"/>
        <v>0</v>
      </c>
      <c r="F35" s="51" t="str">
        <f t="shared" si="21"/>
        <v/>
      </c>
      <c r="G35" s="69">
        <v>40</v>
      </c>
      <c r="H35" s="400"/>
      <c r="I35" s="56"/>
      <c r="J35" s="152"/>
      <c r="K35" s="152"/>
      <c r="O35" s="37"/>
    </row>
    <row r="36" spans="1:15" ht="18" customHeight="1">
      <c r="A36" s="469"/>
      <c r="B36" s="478"/>
      <c r="C36" s="227"/>
      <c r="D36" s="227"/>
      <c r="E36" s="227"/>
      <c r="F36" s="227"/>
      <c r="G36" s="227"/>
      <c r="H36" s="153"/>
      <c r="I36" s="73"/>
      <c r="J36" s="227"/>
      <c r="K36" s="227"/>
      <c r="O36" s="37"/>
    </row>
    <row r="37" spans="1:15" ht="15" customHeight="1">
      <c r="A37" s="469"/>
      <c r="B37" s="495" t="s">
        <v>86</v>
      </c>
      <c r="C37" s="138" t="str">
        <f>Glossary!B57</f>
        <v>Content Architecture Document</v>
      </c>
      <c r="D37" s="410"/>
      <c r="E37" t="b">
        <f t="shared" ref="E37:E39" si="22">IF(OR(D37="y",D37="n"), G37)</f>
        <v>0</v>
      </c>
      <c r="F37" s="51" t="str">
        <f t="shared" ref="F37:F39" si="23">IF(D37 = "Y",E37, IF(D37="n",0, ""))</f>
        <v/>
      </c>
      <c r="G37" s="53">
        <v>20</v>
      </c>
      <c r="H37" s="411"/>
      <c r="I37" s="56"/>
      <c r="J37" s="122" t="str">
        <f>Glossary!B254</f>
        <v>Testing Strategy</v>
      </c>
      <c r="K37" s="410"/>
      <c r="L37" t="b">
        <f t="shared" ref="L37:L38" si="24">IF(OR(K37="y",K37="n"), N37)</f>
        <v>0</v>
      </c>
      <c r="M37" s="51" t="str">
        <f t="shared" ref="M37:M38" si="25">IF(K37 = "Y",L37, IF(K37="n",0, ""))</f>
        <v/>
      </c>
      <c r="N37" s="53">
        <v>40</v>
      </c>
      <c r="O37" s="37"/>
    </row>
    <row r="38" spans="1:15" ht="15" customHeight="1">
      <c r="A38" s="469"/>
      <c r="B38" s="469"/>
      <c r="C38" s="138" t="s">
        <v>117</v>
      </c>
      <c r="D38" s="402"/>
      <c r="E38" t="b">
        <f t="shared" si="22"/>
        <v>0</v>
      </c>
      <c r="F38" s="51" t="str">
        <f t="shared" si="23"/>
        <v/>
      </c>
      <c r="G38" s="53">
        <v>40</v>
      </c>
      <c r="H38" s="400"/>
      <c r="I38" s="56"/>
      <c r="J38" s="45" t="str">
        <f>Glossary!B254</f>
        <v>Testing Strategy</v>
      </c>
      <c r="K38" s="402"/>
      <c r="L38" t="b">
        <f t="shared" si="24"/>
        <v>0</v>
      </c>
      <c r="M38" s="51" t="str">
        <f t="shared" si="25"/>
        <v/>
      </c>
      <c r="N38" s="53">
        <v>20</v>
      </c>
      <c r="O38" s="37"/>
    </row>
    <row r="39" spans="1:15" ht="15" customHeight="1">
      <c r="A39" s="469"/>
      <c r="B39" s="469"/>
      <c r="C39" s="101" t="str">
        <f>Glossary!B166</f>
        <v>Performance KPIs</v>
      </c>
      <c r="D39" s="402"/>
      <c r="E39" t="b">
        <f t="shared" si="22"/>
        <v>0</v>
      </c>
      <c r="F39" s="51" t="str">
        <f t="shared" si="23"/>
        <v/>
      </c>
      <c r="G39" s="69">
        <v>25</v>
      </c>
      <c r="H39" s="400"/>
      <c r="I39" s="56"/>
      <c r="J39" s="92"/>
      <c r="K39" s="326"/>
      <c r="O39" s="37"/>
    </row>
    <row r="40" spans="1:15" ht="18.75" customHeight="1">
      <c r="A40" s="469"/>
      <c r="B40" s="478"/>
      <c r="C40" s="227"/>
      <c r="D40" s="227"/>
      <c r="E40" s="227"/>
      <c r="F40" s="227"/>
      <c r="G40" s="227"/>
      <c r="H40" s="153"/>
      <c r="I40" s="73"/>
      <c r="J40" s="227"/>
      <c r="K40" s="151"/>
      <c r="O40" s="37"/>
    </row>
    <row r="41" spans="1:15" ht="18.75" customHeight="1">
      <c r="A41" s="469"/>
      <c r="B41" s="495" t="s">
        <v>98</v>
      </c>
      <c r="C41" s="101" t="str">
        <f>Glossary!B261</f>
        <v>Third party system for integration</v>
      </c>
      <c r="D41" s="410"/>
      <c r="E41" t="b">
        <f t="shared" ref="E41:E44" si="26">IF(OR(D41="y",D41="n"), G41)</f>
        <v>0</v>
      </c>
      <c r="F41" s="51" t="str">
        <f t="shared" ref="F41:F44" si="27">IF(D41 = "Y",E41, IF(D41="n",0, ""))</f>
        <v/>
      </c>
      <c r="G41" s="53">
        <v>30</v>
      </c>
      <c r="H41" s="411"/>
      <c r="I41" s="56"/>
      <c r="J41" s="45" t="str">
        <f>Glossary!B262</f>
        <v>Thirday party Testing Concept</v>
      </c>
      <c r="K41" s="402"/>
      <c r="L41" t="b">
        <f t="shared" ref="L41:L42" si="28">IF(OR(K41="y",K41="n"), N41)</f>
        <v>0</v>
      </c>
      <c r="M41" s="51" t="str">
        <f t="shared" ref="M41:M42" si="29">IF(K41 = "Y",L41, IF(K41="n",0, ""))</f>
        <v/>
      </c>
      <c r="N41" s="53">
        <v>30</v>
      </c>
      <c r="O41" s="37"/>
    </row>
    <row r="42" spans="1:15" ht="16.5" customHeight="1">
      <c r="A42" s="469"/>
      <c r="B42" s="469"/>
      <c r="C42" s="101" t="str">
        <f>Glossary!B258</f>
        <v>Third party integration concept</v>
      </c>
      <c r="D42" s="402"/>
      <c r="E42" t="b">
        <f t="shared" si="26"/>
        <v>0</v>
      </c>
      <c r="F42" s="51" t="str">
        <f t="shared" si="27"/>
        <v/>
      </c>
      <c r="G42" s="69">
        <v>20</v>
      </c>
      <c r="H42" s="400"/>
      <c r="I42" s="56"/>
      <c r="J42" s="101" t="str">
        <f>Glossary!B257</f>
        <v>Third party systems access enabled</v>
      </c>
      <c r="K42" s="402"/>
      <c r="L42" t="b">
        <f t="shared" si="28"/>
        <v>0</v>
      </c>
      <c r="M42" s="51" t="str">
        <f t="shared" si="29"/>
        <v/>
      </c>
      <c r="N42" s="53">
        <v>30</v>
      </c>
      <c r="O42" s="37"/>
    </row>
    <row r="43" spans="1:15" ht="16.5" customHeight="1">
      <c r="A43" s="469"/>
      <c r="B43" s="469"/>
      <c r="C43" s="101" t="str">
        <f>Glossary!B260</f>
        <v>Third party security concept</v>
      </c>
      <c r="D43" s="402"/>
      <c r="E43" t="b">
        <f t="shared" si="26"/>
        <v>0</v>
      </c>
      <c r="F43" s="51" t="str">
        <f t="shared" si="27"/>
        <v/>
      </c>
      <c r="G43" s="69">
        <v>20</v>
      </c>
      <c r="H43" s="400"/>
      <c r="I43" s="56"/>
      <c r="J43" s="152"/>
      <c r="K43" s="152"/>
      <c r="O43" s="37"/>
    </row>
    <row r="44" spans="1:15" ht="15.75" customHeight="1">
      <c r="A44" s="469"/>
      <c r="B44" s="469"/>
      <c r="C44" s="101" t="str">
        <f>Glossary!B259</f>
        <v>Third party integration Specification</v>
      </c>
      <c r="D44" s="402"/>
      <c r="E44" t="b">
        <f t="shared" si="26"/>
        <v>0</v>
      </c>
      <c r="F44" s="51" t="str">
        <f t="shared" si="27"/>
        <v/>
      </c>
      <c r="G44" s="69">
        <v>25</v>
      </c>
      <c r="H44" s="400"/>
      <c r="I44" s="56"/>
      <c r="J44" s="152"/>
      <c r="K44" s="152"/>
      <c r="O44" s="37"/>
    </row>
    <row r="45" spans="1:15" ht="16.5" customHeight="1">
      <c r="A45" s="469"/>
      <c r="B45" s="478"/>
      <c r="C45" s="151"/>
      <c r="D45" s="151"/>
      <c r="E45" s="151"/>
      <c r="F45" s="151"/>
      <c r="G45" s="151"/>
      <c r="H45" s="151"/>
      <c r="I45" s="73"/>
      <c r="J45" s="151"/>
      <c r="K45" s="151"/>
      <c r="O45" s="37"/>
    </row>
    <row r="46" spans="1:15" ht="16.5" customHeight="1">
      <c r="A46" s="469"/>
      <c r="B46" s="495" t="s">
        <v>99</v>
      </c>
      <c r="C46" s="138" t="str">
        <f>Glossary!B198</f>
        <v>Requirements Documentation</v>
      </c>
      <c r="D46" s="410"/>
      <c r="E46" t="b">
        <f t="shared" ref="E46:E56" si="30">IF(OR(D46="y",D46="n"), G46)</f>
        <v>0</v>
      </c>
      <c r="F46" s="51" t="str">
        <f t="shared" ref="F46:F56" si="31">IF(D46 = "Y",E46, IF(D46="n",0, ""))</f>
        <v/>
      </c>
      <c r="G46" s="53">
        <v>40</v>
      </c>
      <c r="H46" s="411"/>
      <c r="I46" s="56"/>
      <c r="J46" s="121" t="s">
        <v>119</v>
      </c>
      <c r="K46" s="410"/>
      <c r="L46" t="b">
        <f t="shared" ref="L46:L53" si="32">IF(OR(K46="y",K46="n"), N46)</f>
        <v>0</v>
      </c>
      <c r="M46" s="51" t="str">
        <f t="shared" ref="M46:M53" si="33">IF(K46 = "Y",L46, IF(K46="n",0, ""))</f>
        <v/>
      </c>
      <c r="N46" s="53">
        <v>30</v>
      </c>
      <c r="O46" s="37"/>
    </row>
    <row r="47" spans="1:15" ht="16.5" customHeight="1">
      <c r="A47" s="469"/>
      <c r="B47" s="469"/>
      <c r="C47" s="112" t="str">
        <f>Glossary!B54</f>
        <v>Components and templates realtionship concept</v>
      </c>
      <c r="D47" s="402"/>
      <c r="E47" t="b">
        <f t="shared" si="30"/>
        <v>0</v>
      </c>
      <c r="F47" s="51" t="str">
        <f t="shared" si="31"/>
        <v/>
      </c>
      <c r="G47" s="53">
        <v>30</v>
      </c>
      <c r="H47" s="400"/>
      <c r="I47" s="56"/>
      <c r="J47" s="45" t="str">
        <f>Glossary!B24</f>
        <v>Automated Testing Strategy</v>
      </c>
      <c r="K47" s="402"/>
      <c r="L47" t="b">
        <f t="shared" si="32"/>
        <v>0</v>
      </c>
      <c r="M47" s="51" t="str">
        <f t="shared" si="33"/>
        <v/>
      </c>
      <c r="N47" s="53">
        <v>20</v>
      </c>
      <c r="O47" s="37"/>
    </row>
    <row r="48" spans="1:15" ht="16.5" customHeight="1">
      <c r="A48" s="469"/>
      <c r="B48" s="469"/>
      <c r="C48" s="101" t="str">
        <f>Glossary!B224</f>
        <v>Special Functionality Specification</v>
      </c>
      <c r="D48" s="402"/>
      <c r="E48" t="b">
        <f t="shared" si="30"/>
        <v>0</v>
      </c>
      <c r="F48" s="51" t="str">
        <f t="shared" si="31"/>
        <v/>
      </c>
      <c r="G48" s="53">
        <v>25</v>
      </c>
      <c r="H48" s="400"/>
      <c r="I48" s="56"/>
      <c r="J48" s="45" t="str">
        <f>Glossary!B249</f>
        <v>Testing Concept</v>
      </c>
      <c r="K48" s="402"/>
      <c r="L48" t="b">
        <f t="shared" si="32"/>
        <v>0</v>
      </c>
      <c r="M48" s="51" t="str">
        <f t="shared" si="33"/>
        <v/>
      </c>
      <c r="N48" s="53">
        <v>25</v>
      </c>
      <c r="O48" s="37"/>
    </row>
    <row r="49" spans="1:15" ht="19.5" customHeight="1">
      <c r="A49" s="469"/>
      <c r="B49" s="469"/>
      <c r="C49" s="101" t="str">
        <f>Glossary!B166</f>
        <v>Performance KPIs</v>
      </c>
      <c r="D49" s="402"/>
      <c r="E49" t="b">
        <f t="shared" si="30"/>
        <v>0</v>
      </c>
      <c r="F49" s="51" t="str">
        <f t="shared" si="31"/>
        <v/>
      </c>
      <c r="G49" s="53">
        <v>30</v>
      </c>
      <c r="H49" s="400"/>
      <c r="I49" s="56"/>
      <c r="J49" s="45" t="str">
        <f>Glossary!B271</f>
        <v>Use Cases converted into test scenarios</v>
      </c>
      <c r="K49" s="402"/>
      <c r="L49" t="b">
        <f t="shared" si="32"/>
        <v>0</v>
      </c>
      <c r="M49" s="51" t="str">
        <f t="shared" si="33"/>
        <v/>
      </c>
      <c r="N49" s="53">
        <v>30</v>
      </c>
      <c r="O49" s="37"/>
    </row>
    <row r="50" spans="1:15" ht="18" customHeight="1">
      <c r="A50" s="469"/>
      <c r="B50" s="469"/>
      <c r="C50" s="206" t="str">
        <f>Glossary!B278</f>
        <v>Workflow Specification</v>
      </c>
      <c r="D50" s="402"/>
      <c r="E50" t="b">
        <f t="shared" si="30"/>
        <v>0</v>
      </c>
      <c r="F50" s="51" t="str">
        <f t="shared" si="31"/>
        <v/>
      </c>
      <c r="G50" s="53">
        <v>20</v>
      </c>
      <c r="H50" s="400"/>
      <c r="I50" s="56"/>
      <c r="J50" s="69" t="str">
        <f>Glossary!B100</f>
        <v>Happy Paths defined</v>
      </c>
      <c r="K50" s="402"/>
      <c r="L50" t="b">
        <f t="shared" si="32"/>
        <v>0</v>
      </c>
      <c r="M50" s="51" t="str">
        <f t="shared" si="33"/>
        <v/>
      </c>
      <c r="N50" s="53">
        <v>20</v>
      </c>
      <c r="O50" s="37"/>
    </row>
    <row r="51" spans="1:15" ht="18.75" customHeight="1">
      <c r="A51" s="469"/>
      <c r="B51" s="469"/>
      <c r="C51" s="45" t="str">
        <f>Glossary!B254</f>
        <v>Testing Strategy</v>
      </c>
      <c r="D51" s="402"/>
      <c r="E51" t="b">
        <f t="shared" si="30"/>
        <v>0</v>
      </c>
      <c r="F51" s="51" t="str">
        <f t="shared" si="31"/>
        <v/>
      </c>
      <c r="G51" s="53">
        <v>20</v>
      </c>
      <c r="H51" s="400"/>
      <c r="I51" s="56"/>
      <c r="J51" s="69" t="str">
        <f>Glossary!B217</f>
        <v>Smoke Test Concept</v>
      </c>
      <c r="K51" s="402"/>
      <c r="L51" t="b">
        <f t="shared" si="32"/>
        <v>0</v>
      </c>
      <c r="M51" s="51" t="str">
        <f t="shared" si="33"/>
        <v/>
      </c>
      <c r="N51" s="53">
        <v>40</v>
      </c>
      <c r="O51" s="37"/>
    </row>
    <row r="52" spans="1:15" ht="17.25" customHeight="1">
      <c r="A52" s="469"/>
      <c r="B52" s="469"/>
      <c r="C52" s="45" t="str">
        <f>Glossary!B251</f>
        <v>Testing Plans</v>
      </c>
      <c r="D52" s="402"/>
      <c r="E52" t="b">
        <f t="shared" si="30"/>
        <v>0</v>
      </c>
      <c r="F52" s="51" t="str">
        <f t="shared" si="31"/>
        <v/>
      </c>
      <c r="G52" s="53">
        <v>30</v>
      </c>
      <c r="H52" s="400"/>
      <c r="I52" s="56"/>
      <c r="J52" s="69" t="str">
        <f>Glossary!B173</f>
        <v>Persona based Testing Concept</v>
      </c>
      <c r="K52" s="402"/>
      <c r="L52" t="b">
        <f t="shared" si="32"/>
        <v>0</v>
      </c>
      <c r="M52" s="51" t="str">
        <f t="shared" si="33"/>
        <v/>
      </c>
      <c r="N52" s="53">
        <v>20</v>
      </c>
      <c r="O52" s="37"/>
    </row>
    <row r="53" spans="1:15" ht="17.25" customHeight="1">
      <c r="A53" s="469"/>
      <c r="B53" s="469"/>
      <c r="C53" s="45" t="str">
        <f>Glossary!B270</f>
        <v>Use cases</v>
      </c>
      <c r="D53" s="402"/>
      <c r="E53" t="b">
        <f t="shared" si="30"/>
        <v>0</v>
      </c>
      <c r="F53" s="51" t="str">
        <f t="shared" si="31"/>
        <v/>
      </c>
      <c r="G53" s="53">
        <v>30</v>
      </c>
      <c r="H53" s="400"/>
      <c r="I53" s="56"/>
      <c r="J53" s="69" t="str">
        <f>Glossary!B128</f>
        <v>Integration Testing</v>
      </c>
      <c r="K53" s="402"/>
      <c r="L53" t="b">
        <f t="shared" si="32"/>
        <v>0</v>
      </c>
      <c r="M53" s="51" t="str">
        <f t="shared" si="33"/>
        <v/>
      </c>
      <c r="N53" s="53">
        <v>25</v>
      </c>
      <c r="O53" s="37"/>
    </row>
    <row r="54" spans="1:15" ht="17.25" customHeight="1">
      <c r="A54" s="469"/>
      <c r="B54" s="469"/>
      <c r="C54" s="45" t="str">
        <f>Glossary!B72</f>
        <v>Development Methodology</v>
      </c>
      <c r="D54" s="402"/>
      <c r="E54" t="b">
        <f t="shared" si="30"/>
        <v>0</v>
      </c>
      <c r="F54" s="51" t="str">
        <f t="shared" si="31"/>
        <v/>
      </c>
      <c r="G54" s="53">
        <v>15</v>
      </c>
      <c r="H54" s="400"/>
      <c r="I54" s="56"/>
      <c r="J54" s="92"/>
      <c r="K54" s="331"/>
      <c r="O54" s="37"/>
    </row>
    <row r="55" spans="1:15" ht="17.25" customHeight="1">
      <c r="A55" s="469"/>
      <c r="B55" s="469"/>
      <c r="C55" s="45" t="str">
        <f>Glossary!B259</f>
        <v>Third party integration Specification</v>
      </c>
      <c r="D55" s="402"/>
      <c r="E55" t="b">
        <f t="shared" si="30"/>
        <v>0</v>
      </c>
      <c r="F55" s="51" t="str">
        <f t="shared" si="31"/>
        <v/>
      </c>
      <c r="G55" s="53">
        <v>30</v>
      </c>
      <c r="H55" s="400"/>
      <c r="I55" s="56"/>
      <c r="J55" s="92"/>
      <c r="K55" s="331"/>
      <c r="O55" s="37"/>
    </row>
    <row r="56" spans="1:15" ht="18.75" customHeight="1">
      <c r="A56" s="469"/>
      <c r="B56" s="469"/>
      <c r="C56" s="45" t="str">
        <f>Glossary!B204</f>
        <v>Roles and Rights Specification</v>
      </c>
      <c r="D56" s="402"/>
      <c r="E56" t="b">
        <f t="shared" si="30"/>
        <v>0</v>
      </c>
      <c r="F56" s="51" t="str">
        <f t="shared" si="31"/>
        <v/>
      </c>
      <c r="G56" s="69">
        <v>20</v>
      </c>
      <c r="H56" s="400"/>
      <c r="I56" s="56"/>
      <c r="J56" s="92"/>
      <c r="K56" s="331"/>
      <c r="O56" s="37"/>
    </row>
    <row r="57" spans="1:15" ht="18.75" customHeight="1">
      <c r="A57" s="88"/>
      <c r="B57" s="478"/>
      <c r="C57" s="126"/>
      <c r="D57" s="126"/>
      <c r="E57" s="126"/>
      <c r="F57" s="126"/>
      <c r="G57" s="126"/>
      <c r="H57" s="165"/>
      <c r="I57" s="74"/>
      <c r="J57" s="126"/>
      <c r="K57" s="165"/>
      <c r="O57" s="37"/>
    </row>
    <row r="58" spans="1:15" ht="18.75" hidden="1" customHeight="1">
      <c r="A58" s="88"/>
      <c r="B58" s="332"/>
      <c r="C58" s="121"/>
      <c r="D58" s="94">
        <f>COUNTA(D34:D56,K34,K37:K38,K41:K42,K46:K53)/COUNTA(F34:F56,M34,M37:M38,M41:M42,M46:M53)</f>
        <v>0</v>
      </c>
      <c r="E58" s="53">
        <f t="shared" ref="E58:F58" si="34">SUM(E34:E56)</f>
        <v>0</v>
      </c>
      <c r="F58" s="53">
        <f t="shared" si="34"/>
        <v>0</v>
      </c>
      <c r="G58" s="53"/>
      <c r="H58" s="273" t="str">
        <f>IFERROR(AVERAGE(H34:H56),"")</f>
        <v/>
      </c>
      <c r="I58" s="56"/>
      <c r="J58" s="95"/>
      <c r="K58" s="97"/>
      <c r="L58">
        <f t="shared" ref="L58:M58" si="35">SUM(L34:L53)</f>
        <v>0</v>
      </c>
      <c r="M58">
        <f t="shared" si="35"/>
        <v>0</v>
      </c>
      <c r="O58" s="37"/>
    </row>
    <row r="59" spans="1:15" ht="16.5" customHeight="1">
      <c r="A59" s="498" t="s">
        <v>50</v>
      </c>
      <c r="B59" s="495" t="s">
        <v>106</v>
      </c>
      <c r="C59" s="101" t="str">
        <f>Glossary!B252</f>
        <v>Test environment ready</v>
      </c>
      <c r="D59" s="402"/>
      <c r="E59" t="b">
        <f t="shared" ref="E59:E61" si="36">IF(OR(D59="y",D59="n"), G59)</f>
        <v>0</v>
      </c>
      <c r="F59" s="51" t="str">
        <f t="shared" ref="F59:F61" si="37">IF(D59 = "Y",E59, IF(D59="n",0, ""))</f>
        <v/>
      </c>
      <c r="G59" s="53">
        <v>40</v>
      </c>
      <c r="H59" s="400"/>
      <c r="I59" s="56"/>
      <c r="J59" s="122" t="str">
        <f>Glossary!B255</f>
        <v>Test Suite</v>
      </c>
      <c r="K59" s="402"/>
      <c r="L59" t="b">
        <f t="shared" ref="L59:L60" si="38">IF(OR(K59="y",K59="n"), N59)</f>
        <v>0</v>
      </c>
      <c r="M59" s="51" t="str">
        <f t="shared" ref="M59:M60" si="39">IF(K59 = "Y",L59, IF(K59="n",0, ""))</f>
        <v/>
      </c>
      <c r="N59" s="53">
        <v>25</v>
      </c>
      <c r="O59" s="37"/>
    </row>
    <row r="60" spans="1:15" ht="16.5" customHeight="1">
      <c r="A60" s="469"/>
      <c r="B60" s="469"/>
      <c r="C60" s="45" t="str">
        <f>Glossary!B24</f>
        <v>Automated Testing Strategy</v>
      </c>
      <c r="D60" s="402"/>
      <c r="E60" t="b">
        <f t="shared" si="36"/>
        <v>0</v>
      </c>
      <c r="F60" s="51" t="str">
        <f t="shared" si="37"/>
        <v/>
      </c>
      <c r="G60" s="53">
        <v>30</v>
      </c>
      <c r="H60" s="400"/>
      <c r="I60" s="56"/>
      <c r="J60" s="45" t="str">
        <f>Glossary!B115</f>
        <v>implementation - Automated Testing Strategy</v>
      </c>
      <c r="K60" s="402"/>
      <c r="L60" t="b">
        <f t="shared" si="38"/>
        <v>0</v>
      </c>
      <c r="M60" s="51" t="str">
        <f t="shared" si="39"/>
        <v/>
      </c>
      <c r="N60" s="53">
        <v>20</v>
      </c>
      <c r="O60" s="37"/>
    </row>
    <row r="61" spans="1:15" ht="16.5" customHeight="1">
      <c r="A61" s="469"/>
      <c r="B61" s="469"/>
      <c r="C61" s="101" t="str">
        <f>Glossary!B11</f>
        <v>Architecture Draft</v>
      </c>
      <c r="D61" s="402"/>
      <c r="E61" t="b">
        <f t="shared" si="36"/>
        <v>0</v>
      </c>
      <c r="F61" s="51" t="str">
        <f t="shared" si="37"/>
        <v/>
      </c>
      <c r="G61" s="69">
        <v>20</v>
      </c>
      <c r="H61" s="400"/>
      <c r="I61" s="56"/>
      <c r="J61" s="92"/>
      <c r="K61" s="123"/>
      <c r="O61" s="37"/>
    </row>
    <row r="62" spans="1:15" ht="16.5" customHeight="1">
      <c r="A62" s="469"/>
      <c r="B62" s="478"/>
      <c r="C62" s="227"/>
      <c r="D62" s="227"/>
      <c r="E62" s="227"/>
      <c r="F62" s="227"/>
      <c r="G62" s="227"/>
      <c r="H62" s="153"/>
      <c r="I62" s="73"/>
      <c r="J62" s="227"/>
      <c r="K62" s="153"/>
      <c r="O62" s="37"/>
    </row>
    <row r="63" spans="1:15" ht="19.5" customHeight="1">
      <c r="A63" s="469"/>
      <c r="B63" s="495" t="s">
        <v>102</v>
      </c>
      <c r="C63" s="138" t="str">
        <f>Glossary!B176</f>
        <v>Production environment ready</v>
      </c>
      <c r="D63" s="410"/>
      <c r="E63" t="b">
        <f t="shared" ref="E63:E64" si="40">IF(OR(D63="y",D63="n"), G63)</f>
        <v>0</v>
      </c>
      <c r="F63" s="51" t="str">
        <f t="shared" ref="F63:F64" si="41">IF(D63 = "Y",E63, IF(D63="n",0, ""))</f>
        <v/>
      </c>
      <c r="G63" s="53">
        <v>30</v>
      </c>
      <c r="H63" s="411"/>
      <c r="I63" s="56"/>
      <c r="J63" s="112" t="str">
        <f>Glossary!B218</f>
        <v>Smoke Tests executed for system validation</v>
      </c>
      <c r="K63" s="402"/>
      <c r="L63" t="b">
        <f>IF(OR(K63="y",K63="n"), N63)</f>
        <v>0</v>
      </c>
      <c r="M63" s="51" t="str">
        <f>IF(K63 = "Y",L63, IF(K63="n",0, ""))</f>
        <v/>
      </c>
      <c r="N63" s="53">
        <v>40</v>
      </c>
      <c r="O63" s="37"/>
    </row>
    <row r="64" spans="1:15" ht="16.5" customHeight="1">
      <c r="A64" s="469"/>
      <c r="B64" s="469"/>
      <c r="C64" s="45" t="str">
        <f>Glossary!B257</f>
        <v>Third party systems access enabled</v>
      </c>
      <c r="D64" s="402"/>
      <c r="E64" t="b">
        <f t="shared" si="40"/>
        <v>0</v>
      </c>
      <c r="F64" s="51" t="str">
        <f t="shared" si="41"/>
        <v/>
      </c>
      <c r="G64" s="69">
        <v>30</v>
      </c>
      <c r="H64" s="400"/>
      <c r="I64" s="56"/>
      <c r="J64" s="152"/>
      <c r="K64" s="152"/>
      <c r="O64" s="37"/>
    </row>
    <row r="65" spans="1:15" ht="16.5" customHeight="1">
      <c r="A65" s="469"/>
      <c r="B65" s="469"/>
      <c r="C65" s="126"/>
      <c r="D65" s="126"/>
      <c r="E65" s="126"/>
      <c r="F65" s="126"/>
      <c r="G65" s="126"/>
      <c r="H65" s="165"/>
      <c r="I65" s="74"/>
      <c r="J65" s="126"/>
      <c r="K65" s="126"/>
      <c r="O65" s="37"/>
    </row>
    <row r="66" spans="1:15" ht="16.5" customHeight="1">
      <c r="A66" s="469"/>
      <c r="B66" s="495" t="s">
        <v>103</v>
      </c>
      <c r="C66" s="138" t="str">
        <f>Glossary!B128</f>
        <v>Integration Testing</v>
      </c>
      <c r="D66" s="410"/>
      <c r="E66" t="b">
        <f t="shared" ref="E66:E67" si="42">IF(OR(D66="y",D66="n"), G66)</f>
        <v>0</v>
      </c>
      <c r="F66" s="51" t="str">
        <f t="shared" ref="F66:F67" si="43">IF(D66 = "Y",E66, IF(D66="n",0, ""))</f>
        <v/>
      </c>
      <c r="G66" s="53">
        <v>25</v>
      </c>
      <c r="H66" s="411"/>
      <c r="I66" s="56"/>
      <c r="J66" s="45" t="str">
        <f>Glossary!B115</f>
        <v>implementation - Automated Testing Strategy</v>
      </c>
      <c r="K66" s="410"/>
      <c r="L66" t="b">
        <f>IF(OR(K66="y",K66="n"), N66)</f>
        <v>0</v>
      </c>
      <c r="M66" s="51" t="str">
        <f>IF(K66 = "Y",L66, IF(K66="n",0, ""))</f>
        <v/>
      </c>
      <c r="N66" s="53">
        <v>40</v>
      </c>
      <c r="O66" s="37"/>
    </row>
    <row r="67" spans="1:15" ht="16.5" customHeight="1">
      <c r="A67" s="469"/>
      <c r="B67" s="469"/>
      <c r="C67" s="101" t="str">
        <f>Glossary!B71</f>
        <v>Development Role Definition</v>
      </c>
      <c r="D67" s="402"/>
      <c r="E67" t="b">
        <f t="shared" si="42"/>
        <v>0</v>
      </c>
      <c r="F67" s="51" t="str">
        <f t="shared" si="43"/>
        <v/>
      </c>
      <c r="G67" s="69">
        <v>20</v>
      </c>
      <c r="H67" s="400"/>
      <c r="I67" s="56"/>
      <c r="J67" s="92"/>
      <c r="K67" s="123"/>
      <c r="O67" s="37"/>
    </row>
    <row r="68" spans="1:15" ht="16.5" customHeight="1">
      <c r="A68" s="469"/>
      <c r="B68" s="478"/>
      <c r="C68" s="227"/>
      <c r="D68" s="227"/>
      <c r="E68" s="227"/>
      <c r="F68" s="227"/>
      <c r="G68" s="227"/>
      <c r="H68" s="153"/>
      <c r="I68" s="73"/>
      <c r="J68" s="227"/>
      <c r="K68" s="153"/>
      <c r="O68" s="37"/>
    </row>
    <row r="69" spans="1:15" ht="19.5" customHeight="1">
      <c r="A69" s="469"/>
      <c r="B69" s="495" t="s">
        <v>108</v>
      </c>
      <c r="C69" s="141" t="str">
        <f>Glossary!B129</f>
        <v>Issue tracking system and processes</v>
      </c>
      <c r="D69" s="410"/>
      <c r="E69" t="b">
        <f>IF(OR(D69="y",D69="n"), G69)</f>
        <v>0</v>
      </c>
      <c r="F69" s="51" t="str">
        <f>IF(D69 = "Y",E69, IF(D69="n",0, ""))</f>
        <v/>
      </c>
      <c r="G69" s="53">
        <v>25</v>
      </c>
      <c r="H69" s="411"/>
      <c r="I69" s="56"/>
      <c r="J69" s="121" t="str">
        <f>Glossary!B256</f>
        <v>Test Reports</v>
      </c>
      <c r="K69" s="410"/>
      <c r="L69" t="b">
        <f>IF(OR(K69="y",K69="n"), N69)</f>
        <v>0</v>
      </c>
      <c r="M69" s="51" t="str">
        <f>IF(K69 = "Y",L69, IF(K69="n",0, ""))</f>
        <v/>
      </c>
      <c r="N69" s="53">
        <v>40</v>
      </c>
      <c r="O69" s="37"/>
    </row>
    <row r="70" spans="1:15" ht="19.5" customHeight="1">
      <c r="A70" s="469"/>
      <c r="B70" s="469"/>
      <c r="C70" s="141"/>
      <c r="D70" s="126"/>
      <c r="E70" s="126"/>
      <c r="F70" s="126"/>
      <c r="G70" s="126"/>
      <c r="H70" s="165"/>
      <c r="I70" s="74"/>
      <c r="J70" s="126"/>
      <c r="K70" s="126"/>
      <c r="L70" s="127"/>
      <c r="M70" s="51"/>
      <c r="O70" s="37"/>
    </row>
    <row r="71" spans="1:15" ht="16.5" hidden="1" customHeight="1">
      <c r="A71" s="478"/>
      <c r="B71" s="478"/>
      <c r="C71" s="101"/>
      <c r="D71" s="143">
        <f>COUNTA(D59:D69,K59:K60,K63,K66,K69)/COUNTA(F59:F69,M59:M60,M63,M66,M69)</f>
        <v>0</v>
      </c>
      <c r="E71" s="143">
        <f t="shared" ref="E71:F71" si="44">SUM(E59:E69)</f>
        <v>0</v>
      </c>
      <c r="F71" s="143">
        <f t="shared" si="44"/>
        <v>0</v>
      </c>
      <c r="G71" s="143"/>
      <c r="H71" s="178" t="str">
        <f>IFERROR(AVERAGE(H59:H69),"")</f>
        <v/>
      </c>
      <c r="I71" s="37"/>
      <c r="J71" s="143"/>
      <c r="K71" s="123"/>
      <c r="L71">
        <f t="shared" ref="L71:M71" si="45">SUM(L59:L60,L63,L66,L69)</f>
        <v>0</v>
      </c>
      <c r="M71">
        <f t="shared" si="45"/>
        <v>0</v>
      </c>
      <c r="O71" s="37"/>
    </row>
    <row r="72" spans="1:15" ht="16.5" customHeight="1">
      <c r="A72" s="498" t="s">
        <v>51</v>
      </c>
      <c r="B72" s="496" t="s">
        <v>83</v>
      </c>
      <c r="C72" s="45" t="str">
        <f>Glossary!B62</f>
        <v>Customer Test Reports</v>
      </c>
      <c r="D72" s="402"/>
      <c r="E72" t="b">
        <f>IF(OR(D72="y",D72="n"), G72)</f>
        <v>0</v>
      </c>
      <c r="F72" s="51" t="str">
        <f>IF(D72 = "Y",E72, IF(D72="n",0, ""))</f>
        <v/>
      </c>
      <c r="G72" s="53">
        <v>40</v>
      </c>
      <c r="H72" s="400"/>
      <c r="I72" s="56"/>
      <c r="J72" s="45" t="str">
        <f>Glossary!B235</f>
        <v>Support in validation of reported issues</v>
      </c>
      <c r="K72" s="402"/>
      <c r="L72" t="b">
        <f>IF(OR(K72="y",K72="n"), N72)</f>
        <v>0</v>
      </c>
      <c r="M72" s="51" t="str">
        <f>IF(K72 = "Y",L72, IF(K72="n",0, ""))</f>
        <v/>
      </c>
      <c r="N72" s="53">
        <v>40</v>
      </c>
      <c r="O72" s="37"/>
    </row>
    <row r="73" spans="1:15" ht="16.5" customHeight="1">
      <c r="A73" s="469"/>
      <c r="B73" s="478"/>
      <c r="C73" s="110"/>
      <c r="D73" s="295"/>
      <c r="E73" s="295"/>
      <c r="F73" s="295"/>
      <c r="G73" s="295"/>
      <c r="H73" s="319"/>
      <c r="I73" s="74"/>
      <c r="J73" s="295"/>
      <c r="K73" s="220"/>
      <c r="L73" s="53"/>
      <c r="M73" s="51"/>
      <c r="O73" s="37"/>
    </row>
    <row r="74" spans="1:15" ht="16.5" customHeight="1">
      <c r="A74" s="469"/>
      <c r="B74" s="496" t="s">
        <v>84</v>
      </c>
      <c r="C74" s="122" t="str">
        <f>Glossary!B167</f>
        <v>Performance and scalability concept</v>
      </c>
      <c r="D74" s="402"/>
      <c r="E74" t="b">
        <f t="shared" ref="E74:E81" si="46">IF(OR(D74="y",D74="n"), G74)</f>
        <v>0</v>
      </c>
      <c r="F74" s="51" t="str">
        <f t="shared" ref="F74:F81" si="47">IF(D74 = "Y",E74, IF(D74="n",0, ""))</f>
        <v/>
      </c>
      <c r="G74" s="53">
        <v>40</v>
      </c>
      <c r="H74" s="400"/>
      <c r="I74" s="56"/>
      <c r="J74" s="138" t="str">
        <f>Glossary!B256</f>
        <v>Test Reports</v>
      </c>
      <c r="K74" s="402"/>
      <c r="L74" t="b">
        <f t="shared" ref="L74:L80" si="48">IF(OR(K74="y",K74="n"), N74)</f>
        <v>0</v>
      </c>
      <c r="M74" s="51" t="str">
        <f t="shared" ref="M74:M80" si="49">IF(K74 = "Y",L74, IF(K74="n",0, ""))</f>
        <v/>
      </c>
      <c r="N74" s="53">
        <v>20</v>
      </c>
      <c r="O74" s="37"/>
    </row>
    <row r="75" spans="1:15" ht="16.5" customHeight="1">
      <c r="A75" s="469"/>
      <c r="B75" s="469"/>
      <c r="C75" s="121" t="str">
        <f>Glossary!B166</f>
        <v>Performance KPIs</v>
      </c>
      <c r="D75" s="402"/>
      <c r="E75" t="b">
        <f t="shared" si="46"/>
        <v>0</v>
      </c>
      <c r="F75" s="51" t="str">
        <f t="shared" si="47"/>
        <v/>
      </c>
      <c r="G75" s="53">
        <v>20</v>
      </c>
      <c r="H75" s="400"/>
      <c r="I75" s="56"/>
      <c r="J75" s="45" t="str">
        <f>Glossary!B26</f>
        <v>Automated Testing Strategy validated against realistic and expected load</v>
      </c>
      <c r="K75" s="402"/>
      <c r="L75" t="b">
        <f t="shared" si="48"/>
        <v>0</v>
      </c>
      <c r="M75" s="51" t="str">
        <f t="shared" si="49"/>
        <v/>
      </c>
      <c r="N75" s="53">
        <v>25</v>
      </c>
      <c r="O75" s="37"/>
    </row>
    <row r="76" spans="1:15" ht="15.75" customHeight="1">
      <c r="A76" s="469"/>
      <c r="B76" s="469"/>
      <c r="C76" s="101" t="str">
        <f>Glossary!B250</f>
        <v>Test Content</v>
      </c>
      <c r="D76" s="402"/>
      <c r="E76" t="b">
        <f t="shared" si="46"/>
        <v>0</v>
      </c>
      <c r="F76" s="51" t="str">
        <f t="shared" si="47"/>
        <v/>
      </c>
      <c r="G76" s="53">
        <v>30</v>
      </c>
      <c r="H76" s="400"/>
      <c r="I76" s="56"/>
      <c r="J76" s="45" t="str">
        <f>Glossary!B25</f>
        <v>Automated test suite adapted to real content and results compared to KPIs</v>
      </c>
      <c r="K76" s="402"/>
      <c r="L76" t="b">
        <f t="shared" si="48"/>
        <v>0</v>
      </c>
      <c r="M76" s="51" t="str">
        <f t="shared" si="49"/>
        <v/>
      </c>
      <c r="N76" s="53">
        <v>30</v>
      </c>
      <c r="O76" s="37"/>
    </row>
    <row r="77" spans="1:15" ht="17.25" customHeight="1">
      <c r="A77" s="469"/>
      <c r="B77" s="469"/>
      <c r="C77" s="45" t="str">
        <f>Glossary!B249</f>
        <v>Testing Concept</v>
      </c>
      <c r="D77" s="402"/>
      <c r="E77" t="b">
        <f t="shared" si="46"/>
        <v>0</v>
      </c>
      <c r="F77" s="51" t="str">
        <f t="shared" si="47"/>
        <v/>
      </c>
      <c r="G77" s="53">
        <v>20</v>
      </c>
      <c r="H77" s="400"/>
      <c r="I77" s="56"/>
      <c r="J77" s="45" t="str">
        <f>Glossary!B249</f>
        <v>Testing Concept</v>
      </c>
      <c r="K77" s="402"/>
      <c r="L77" t="b">
        <f t="shared" si="48"/>
        <v>0</v>
      </c>
      <c r="M77" s="51" t="str">
        <f t="shared" si="49"/>
        <v/>
      </c>
      <c r="N77" s="53">
        <v>20</v>
      </c>
      <c r="O77" s="37"/>
    </row>
    <row r="78" spans="1:15" ht="15" customHeight="1">
      <c r="A78" s="469"/>
      <c r="B78" s="469"/>
      <c r="C78" s="119" t="str">
        <f>Glossary!B255</f>
        <v>Test Suite</v>
      </c>
      <c r="D78" s="402"/>
      <c r="E78" t="b">
        <f t="shared" si="46"/>
        <v>0</v>
      </c>
      <c r="F78" s="51" t="str">
        <f t="shared" si="47"/>
        <v/>
      </c>
      <c r="G78" s="53">
        <v>20</v>
      </c>
      <c r="H78" s="400"/>
      <c r="I78" s="56"/>
      <c r="J78" s="119" t="str">
        <f>Glossary!B5</f>
        <v>Acceptance from Business Stakeholders</v>
      </c>
      <c r="K78" s="402"/>
      <c r="L78" t="b">
        <f t="shared" si="48"/>
        <v>0</v>
      </c>
      <c r="M78" s="51" t="str">
        <f t="shared" si="49"/>
        <v/>
      </c>
      <c r="N78" s="53">
        <v>40</v>
      </c>
      <c r="O78" s="37"/>
    </row>
    <row r="79" spans="1:15" ht="18" customHeight="1">
      <c r="A79" s="469"/>
      <c r="B79" s="469"/>
      <c r="C79" s="161" t="str">
        <f>Glossary!B24</f>
        <v>Automated Testing Strategy</v>
      </c>
      <c r="D79" s="402"/>
      <c r="E79" t="b">
        <f t="shared" si="46"/>
        <v>0</v>
      </c>
      <c r="F79" s="51" t="str">
        <f t="shared" si="47"/>
        <v/>
      </c>
      <c r="G79" s="53">
        <v>10</v>
      </c>
      <c r="H79" s="400"/>
      <c r="I79" s="56"/>
      <c r="J79" s="45" t="str">
        <f>Glossary!B171</f>
        <v>Penetration Test Results</v>
      </c>
      <c r="K79" s="402"/>
      <c r="L79" t="b">
        <f t="shared" si="48"/>
        <v>0</v>
      </c>
      <c r="M79" s="51" t="str">
        <f t="shared" si="49"/>
        <v/>
      </c>
      <c r="N79" s="53">
        <v>30</v>
      </c>
      <c r="O79" s="37"/>
    </row>
    <row r="80" spans="1:15" ht="16.5" customHeight="1">
      <c r="A80" s="469"/>
      <c r="B80" s="469"/>
      <c r="C80" s="161" t="str">
        <f>Glossary!B270</f>
        <v>Use cases</v>
      </c>
      <c r="D80" s="402"/>
      <c r="E80" t="b">
        <f t="shared" si="46"/>
        <v>0</v>
      </c>
      <c r="F80" s="51" t="str">
        <f t="shared" si="47"/>
        <v/>
      </c>
      <c r="G80" s="53">
        <v>20</v>
      </c>
      <c r="H80" s="400"/>
      <c r="I80" s="56"/>
      <c r="J80" s="69" t="s">
        <v>120</v>
      </c>
      <c r="K80" s="402"/>
      <c r="L80" t="b">
        <f t="shared" si="48"/>
        <v>0</v>
      </c>
      <c r="M80" s="51" t="str">
        <f t="shared" si="49"/>
        <v/>
      </c>
      <c r="N80" s="53">
        <v>30</v>
      </c>
      <c r="O80" s="37"/>
    </row>
    <row r="81" spans="1:15" ht="16.5" customHeight="1">
      <c r="A81" s="469"/>
      <c r="B81" s="469"/>
      <c r="C81" s="122" t="str">
        <f>Glossary!B78</f>
        <v xml:space="preserve">Durabilty Test </v>
      </c>
      <c r="D81" s="402"/>
      <c r="E81" t="b">
        <f t="shared" si="46"/>
        <v>0</v>
      </c>
      <c r="F81" s="51" t="str">
        <f t="shared" si="47"/>
        <v/>
      </c>
      <c r="G81" s="69">
        <v>20</v>
      </c>
      <c r="H81" s="400"/>
      <c r="I81" s="56"/>
      <c r="J81" s="92"/>
      <c r="K81" s="92"/>
      <c r="O81" s="37"/>
    </row>
    <row r="82" spans="1:15" ht="16.5" customHeight="1">
      <c r="A82" s="478"/>
      <c r="B82" s="478"/>
      <c r="C82" s="337"/>
      <c r="D82" s="337"/>
      <c r="E82" s="337"/>
      <c r="F82" s="337"/>
      <c r="G82" s="337"/>
      <c r="H82" s="337"/>
      <c r="I82" s="74"/>
      <c r="J82" s="337"/>
      <c r="K82" s="337"/>
      <c r="O82" s="37"/>
    </row>
    <row r="83" spans="1:15" ht="20.25" hidden="1" customHeight="1">
      <c r="A83" s="294"/>
      <c r="B83" s="329"/>
      <c r="C83" s="216"/>
      <c r="D83" s="94">
        <f>COUNTA(D72:D81,K72:K80)/COUNTA(F72:F81,M72:M80)</f>
        <v>0</v>
      </c>
      <c r="E83" s="53">
        <f t="shared" ref="E83:F83" si="50">SUM(E72:E81)</f>
        <v>0</v>
      </c>
      <c r="F83" s="53">
        <f t="shared" si="50"/>
        <v>0</v>
      </c>
      <c r="G83" s="53"/>
      <c r="H83" s="273" t="str">
        <f>IFERROR(AVERAGE(H72:H81),"")</f>
        <v/>
      </c>
      <c r="I83" s="56"/>
      <c r="J83" s="95"/>
      <c r="K83" s="95"/>
      <c r="L83">
        <f t="shared" ref="L83:M83" si="51">SUM(L72:L80)</f>
        <v>0</v>
      </c>
      <c r="M83">
        <f t="shared" si="51"/>
        <v>0</v>
      </c>
      <c r="O83" s="37"/>
    </row>
    <row r="84" spans="1:15" ht="16.5" customHeight="1">
      <c r="A84" s="468" t="s">
        <v>93</v>
      </c>
      <c r="B84" s="496" t="s">
        <v>121</v>
      </c>
      <c r="C84" s="69" t="str">
        <f>Glossary!B217</f>
        <v>Smoke Test Concept</v>
      </c>
      <c r="D84" s="402"/>
      <c r="E84" s="178" t="b">
        <f>IF(OR(D84="y",D84="n"), G84)</f>
        <v>0</v>
      </c>
      <c r="F84" s="170" t="str">
        <f>IF(D84 = "Y",E84, IF(D84="n",0, ""))</f>
        <v/>
      </c>
      <c r="G84" s="69">
        <v>40</v>
      </c>
      <c r="H84" s="400"/>
      <c r="I84" s="56"/>
      <c r="J84" s="122" t="str">
        <f>Glossary!B218</f>
        <v>Smoke Tests executed for system validation</v>
      </c>
      <c r="K84" s="402"/>
      <c r="L84" t="b">
        <f>IF(OR(K84="y",K84="n"), N84)</f>
        <v>0</v>
      </c>
      <c r="M84" s="51" t="str">
        <f>IF(K84 = "Y",L84, IF(K84="n",0, ""))</f>
        <v/>
      </c>
      <c r="N84" s="53">
        <v>25</v>
      </c>
      <c r="O84" s="37"/>
    </row>
    <row r="85" spans="1:15" ht="16.5" hidden="1" customHeight="1">
      <c r="A85" s="470"/>
      <c r="B85" s="470"/>
      <c r="C85" s="138"/>
      <c r="D85" s="138">
        <f>COUNTA(D84,K84)/COUNTA(F84,M84)</f>
        <v>0</v>
      </c>
      <c r="E85" s="138">
        <f t="shared" ref="E85:F85" si="52">SUM(E84)</f>
        <v>0</v>
      </c>
      <c r="F85" s="138">
        <f t="shared" si="52"/>
        <v>0</v>
      </c>
      <c r="G85" s="138"/>
      <c r="H85" s="72" t="str">
        <f>IFERROR(AVERAGE(H84),"")</f>
        <v/>
      </c>
      <c r="I85" s="37"/>
      <c r="J85" s="138"/>
      <c r="K85" s="138"/>
      <c r="L85">
        <f t="shared" ref="L85:M85" si="53">SUM(L84)</f>
        <v>0</v>
      </c>
      <c r="M85">
        <f t="shared" si="53"/>
        <v>0</v>
      </c>
      <c r="O85" s="37"/>
    </row>
    <row r="86" spans="1:15" ht="19.5" customHeight="1">
      <c r="A86" s="211"/>
      <c r="B86" s="211"/>
      <c r="C86" s="211"/>
      <c r="D86" s="211"/>
      <c r="E86" s="211"/>
      <c r="F86" s="211"/>
      <c r="G86" s="211"/>
      <c r="H86" s="211"/>
      <c r="I86" s="37"/>
      <c r="J86" s="211"/>
      <c r="K86" s="211"/>
      <c r="L86" s="37"/>
      <c r="M86" s="37"/>
      <c r="N86" s="37"/>
      <c r="O86" s="37"/>
    </row>
    <row r="87" spans="1:15" ht="12.75" customHeight="1">
      <c r="A87" s="212"/>
      <c r="B87" s="212"/>
      <c r="C87" s="212"/>
      <c r="D87" s="212"/>
      <c r="E87" s="212"/>
      <c r="F87" s="212"/>
      <c r="G87" s="212"/>
      <c r="H87" s="212"/>
      <c r="J87" s="212"/>
      <c r="K87" s="212"/>
    </row>
    <row r="88" spans="1:15" ht="12.75" customHeight="1">
      <c r="A88" s="212"/>
      <c r="B88" s="212"/>
      <c r="C88" s="212"/>
      <c r="D88" s="212"/>
      <c r="E88" s="212"/>
      <c r="F88" s="212"/>
      <c r="G88" s="212"/>
      <c r="H88" s="212"/>
      <c r="J88" s="212"/>
      <c r="K88" s="212"/>
    </row>
    <row r="89" spans="1:15" ht="12.75" customHeight="1">
      <c r="A89" s="212"/>
      <c r="B89" s="212"/>
      <c r="C89" s="212"/>
      <c r="D89" s="212"/>
      <c r="E89" s="212"/>
      <c r="F89" s="212"/>
      <c r="G89" s="212"/>
      <c r="H89" s="212"/>
      <c r="J89" s="212"/>
      <c r="K89" s="212"/>
    </row>
    <row r="90" spans="1:15" ht="12.75" customHeight="1">
      <c r="A90" s="212"/>
      <c r="B90" s="212"/>
      <c r="C90" s="212"/>
      <c r="D90" s="212"/>
      <c r="E90" s="212"/>
      <c r="F90" s="212"/>
      <c r="G90" s="212"/>
      <c r="H90" s="212"/>
      <c r="J90" s="212"/>
      <c r="K90" s="212"/>
    </row>
    <row r="91" spans="1:15" ht="12.75" customHeight="1">
      <c r="A91" s="212"/>
      <c r="B91" s="212"/>
      <c r="C91" s="212"/>
      <c r="D91" s="213"/>
      <c r="E91" s="213"/>
      <c r="F91" s="213"/>
      <c r="G91" s="213"/>
      <c r="H91" s="213"/>
      <c r="I91" s="214"/>
      <c r="J91" s="213"/>
      <c r="K91" s="212"/>
    </row>
    <row r="92" spans="1:15" ht="12.75" customHeight="1">
      <c r="A92" s="212"/>
      <c r="B92" s="212"/>
      <c r="C92" s="212"/>
      <c r="D92" s="212"/>
      <c r="E92" s="212"/>
      <c r="F92" s="212"/>
      <c r="G92" s="212"/>
      <c r="H92" s="212"/>
      <c r="J92" s="212"/>
      <c r="K92" s="212"/>
    </row>
    <row r="93" spans="1:15" ht="12.75" customHeight="1">
      <c r="A93" s="212"/>
      <c r="B93" s="212"/>
      <c r="C93" s="212"/>
      <c r="D93" s="212"/>
      <c r="E93" s="212"/>
      <c r="F93" s="212"/>
      <c r="G93" s="212"/>
      <c r="H93" s="212"/>
      <c r="J93" s="212"/>
      <c r="K93" s="212"/>
    </row>
    <row r="94" spans="1:15" ht="12.75" customHeight="1">
      <c r="A94" s="212"/>
      <c r="B94" s="212"/>
      <c r="C94" s="212"/>
      <c r="D94" s="212"/>
      <c r="E94" s="212"/>
      <c r="F94" s="212"/>
      <c r="G94" s="212"/>
      <c r="H94" s="212"/>
      <c r="J94" s="212"/>
      <c r="K94" s="212"/>
    </row>
    <row r="95" spans="1:15" ht="12.75" customHeight="1">
      <c r="A95" s="212"/>
      <c r="B95" s="212"/>
      <c r="C95" s="212"/>
      <c r="D95" s="212"/>
      <c r="E95" s="212"/>
      <c r="F95" s="212"/>
      <c r="G95" s="212"/>
      <c r="H95" s="212"/>
      <c r="J95" s="212"/>
      <c r="K95" s="212"/>
    </row>
    <row r="96" spans="1:15" ht="12.75" customHeight="1">
      <c r="A96" s="212"/>
      <c r="B96" s="212"/>
      <c r="C96" s="212"/>
      <c r="D96" s="212"/>
      <c r="E96" s="212"/>
      <c r="F96" s="212"/>
      <c r="G96" s="212"/>
      <c r="H96" s="212"/>
      <c r="J96" s="212"/>
      <c r="K96" s="212"/>
    </row>
    <row r="97" spans="1:11" ht="12.75" customHeight="1">
      <c r="A97" s="212"/>
      <c r="B97" s="212"/>
      <c r="C97" s="212"/>
      <c r="D97" s="212"/>
      <c r="E97" s="212"/>
      <c r="F97" s="212"/>
      <c r="G97" s="212"/>
      <c r="H97" s="212"/>
      <c r="J97" s="212"/>
      <c r="K97" s="212"/>
    </row>
    <row r="98" spans="1:11" ht="12.75" customHeight="1">
      <c r="A98" s="212"/>
      <c r="B98" s="212"/>
      <c r="C98" s="212"/>
      <c r="D98" s="212"/>
      <c r="E98" s="212"/>
      <c r="F98" s="212"/>
      <c r="G98" s="212"/>
      <c r="H98" s="212"/>
      <c r="J98" s="212"/>
      <c r="K98" s="212"/>
    </row>
    <row r="99" spans="1:11" ht="12.75" customHeight="1">
      <c r="A99" s="212"/>
      <c r="B99" s="212"/>
      <c r="C99" s="212"/>
      <c r="D99" s="212"/>
      <c r="E99" s="212"/>
      <c r="F99" s="212"/>
      <c r="G99" s="212"/>
      <c r="H99" s="212"/>
      <c r="J99" s="212"/>
      <c r="K99" s="212"/>
    </row>
    <row r="100" spans="1:11" ht="12.75" customHeight="1">
      <c r="A100" s="212"/>
      <c r="B100" s="212"/>
      <c r="C100" s="212"/>
      <c r="D100" s="212"/>
      <c r="E100" s="212"/>
      <c r="F100" s="212"/>
      <c r="G100" s="212"/>
      <c r="H100" s="212"/>
      <c r="J100" s="212"/>
      <c r="K100" s="212"/>
    </row>
    <row r="101" spans="1:11" ht="12.75" customHeight="1">
      <c r="A101" s="212"/>
      <c r="B101" s="212"/>
      <c r="C101" s="212"/>
      <c r="D101" s="212"/>
      <c r="E101" s="212"/>
      <c r="F101" s="212"/>
      <c r="G101" s="212"/>
      <c r="H101" s="212"/>
      <c r="J101" s="212"/>
      <c r="K101" s="212"/>
    </row>
    <row r="102" spans="1:11" ht="12.75" customHeight="1">
      <c r="A102" s="212"/>
      <c r="B102" s="212"/>
      <c r="C102" s="212"/>
      <c r="D102" s="212"/>
      <c r="E102" s="212"/>
      <c r="F102" s="212"/>
      <c r="G102" s="212"/>
      <c r="H102" s="212"/>
      <c r="J102" s="212"/>
      <c r="K102" s="212"/>
    </row>
    <row r="103" spans="1:11" ht="12.75" customHeight="1">
      <c r="A103" s="212"/>
      <c r="B103" s="212"/>
      <c r="C103" s="212"/>
      <c r="D103" s="212"/>
      <c r="E103" s="212"/>
      <c r="F103" s="212"/>
      <c r="G103" s="212"/>
      <c r="H103" s="212"/>
      <c r="J103" s="212"/>
      <c r="K103" s="212"/>
    </row>
    <row r="104" spans="1:11" ht="12.75" customHeight="1">
      <c r="A104" s="212"/>
      <c r="B104" s="212"/>
      <c r="C104" s="212"/>
      <c r="D104" s="212"/>
      <c r="E104" s="212"/>
      <c r="F104" s="212"/>
      <c r="G104" s="212"/>
      <c r="H104" s="212"/>
      <c r="J104" s="212"/>
      <c r="K104" s="212"/>
    </row>
    <row r="105" spans="1:11" ht="12.75" customHeight="1">
      <c r="A105" s="212"/>
      <c r="B105" s="212"/>
      <c r="C105" s="212"/>
      <c r="D105" s="212"/>
      <c r="E105" s="212"/>
      <c r="F105" s="212"/>
      <c r="G105" s="212"/>
      <c r="H105" s="212"/>
      <c r="J105" s="212"/>
      <c r="K105" s="212"/>
    </row>
    <row r="106" spans="1:11" ht="12.75" customHeight="1">
      <c r="A106" s="212"/>
      <c r="B106" s="212"/>
      <c r="C106" s="212"/>
      <c r="D106" s="212"/>
      <c r="E106" s="212"/>
      <c r="F106" s="212"/>
      <c r="G106" s="212"/>
      <c r="H106" s="212"/>
      <c r="J106" s="212"/>
      <c r="K106" s="212"/>
    </row>
    <row r="107" spans="1:11" ht="12.75" customHeight="1">
      <c r="A107" s="212"/>
      <c r="B107" s="212"/>
      <c r="C107" s="212"/>
      <c r="D107" s="212"/>
      <c r="E107" s="212"/>
      <c r="F107" s="212"/>
      <c r="G107" s="212"/>
      <c r="H107" s="212"/>
      <c r="J107" s="212"/>
      <c r="K107" s="212"/>
    </row>
    <row r="108" spans="1:11" ht="12.75" customHeight="1">
      <c r="A108" s="212"/>
      <c r="B108" s="212"/>
      <c r="C108" s="212"/>
      <c r="D108" s="212"/>
      <c r="E108" s="212"/>
      <c r="F108" s="212"/>
      <c r="G108" s="212"/>
      <c r="H108" s="212"/>
      <c r="J108" s="212"/>
      <c r="K108" s="212"/>
    </row>
    <row r="109" spans="1:11" ht="12.75" customHeight="1">
      <c r="A109" s="212"/>
      <c r="B109" s="212"/>
      <c r="C109" s="212"/>
      <c r="D109" s="212"/>
      <c r="E109" s="212"/>
      <c r="F109" s="212"/>
      <c r="G109" s="212"/>
      <c r="H109" s="212"/>
      <c r="J109" s="212"/>
      <c r="K109" s="212"/>
    </row>
    <row r="110" spans="1:11" ht="12.75" customHeight="1">
      <c r="A110" s="212"/>
      <c r="B110" s="212"/>
      <c r="C110" s="212"/>
      <c r="D110" s="212"/>
      <c r="E110" s="212"/>
      <c r="F110" s="212"/>
      <c r="G110" s="212"/>
      <c r="H110" s="212"/>
      <c r="J110" s="212"/>
      <c r="K110" s="212"/>
    </row>
    <row r="111" spans="1:11" ht="12.75" customHeight="1">
      <c r="A111" s="212"/>
      <c r="B111" s="212"/>
      <c r="C111" s="212"/>
      <c r="D111" s="212"/>
      <c r="E111" s="212"/>
      <c r="F111" s="212"/>
      <c r="G111" s="212"/>
      <c r="H111" s="212"/>
      <c r="J111" s="212"/>
      <c r="K111" s="212"/>
    </row>
    <row r="112" spans="1:11" ht="12.75" customHeight="1">
      <c r="A112" s="212"/>
      <c r="B112" s="212"/>
      <c r="C112" s="212"/>
      <c r="D112" s="212"/>
      <c r="E112" s="212"/>
      <c r="F112" s="212"/>
      <c r="G112" s="212"/>
      <c r="H112" s="212"/>
      <c r="J112" s="212"/>
      <c r="K112" s="212"/>
    </row>
    <row r="113" spans="1:11" ht="12.75" customHeight="1">
      <c r="A113" s="212"/>
      <c r="B113" s="212"/>
      <c r="C113" s="212"/>
      <c r="D113" s="212"/>
      <c r="E113" s="212"/>
      <c r="F113" s="212"/>
      <c r="G113" s="212"/>
      <c r="H113" s="212"/>
      <c r="J113" s="212"/>
      <c r="K113" s="212"/>
    </row>
    <row r="114" spans="1:11" ht="12.75" customHeight="1">
      <c r="A114" s="212"/>
      <c r="B114" s="212"/>
      <c r="C114" s="212"/>
      <c r="D114" s="212"/>
      <c r="E114" s="212"/>
      <c r="F114" s="212"/>
      <c r="G114" s="212"/>
      <c r="H114" s="212"/>
      <c r="J114" s="212"/>
      <c r="K114" s="212"/>
    </row>
    <row r="115" spans="1:11" ht="12.75" customHeight="1">
      <c r="A115" s="212"/>
      <c r="B115" s="212"/>
      <c r="C115" s="212"/>
      <c r="D115" s="212"/>
      <c r="E115" s="212"/>
      <c r="F115" s="212"/>
      <c r="G115" s="212"/>
      <c r="H115" s="212"/>
      <c r="J115" s="212"/>
      <c r="K115" s="212"/>
    </row>
    <row r="116" spans="1:11" ht="12.75" customHeight="1">
      <c r="A116" s="212"/>
      <c r="B116" s="212"/>
      <c r="C116" s="212"/>
      <c r="D116" s="212"/>
      <c r="E116" s="212"/>
      <c r="F116" s="212"/>
      <c r="G116" s="212"/>
      <c r="H116" s="212"/>
      <c r="J116" s="212"/>
      <c r="K116" s="212"/>
    </row>
    <row r="117" spans="1:11" ht="12.75" customHeight="1">
      <c r="A117" s="212"/>
      <c r="B117" s="212"/>
      <c r="C117" s="212"/>
      <c r="D117" s="212"/>
      <c r="E117" s="212"/>
      <c r="F117" s="212"/>
      <c r="G117" s="212"/>
      <c r="H117" s="212"/>
      <c r="J117" s="212"/>
      <c r="K117" s="212"/>
    </row>
    <row r="118" spans="1:11" ht="12.75" customHeight="1">
      <c r="A118" s="212"/>
      <c r="B118" s="212"/>
      <c r="C118" s="212"/>
      <c r="D118" s="212"/>
      <c r="E118" s="212"/>
      <c r="F118" s="212"/>
      <c r="G118" s="212"/>
      <c r="H118" s="212"/>
      <c r="J118" s="212"/>
      <c r="K118" s="212"/>
    </row>
    <row r="119" spans="1:11" ht="12.75" customHeight="1">
      <c r="A119" s="212"/>
      <c r="B119" s="212"/>
      <c r="C119" s="212"/>
      <c r="D119" s="212"/>
      <c r="E119" s="212"/>
      <c r="F119" s="212"/>
      <c r="G119" s="212"/>
      <c r="H119" s="212"/>
      <c r="J119" s="212"/>
      <c r="K119" s="212"/>
    </row>
    <row r="120" spans="1:11" ht="12.75" customHeight="1">
      <c r="A120" s="212"/>
      <c r="B120" s="212"/>
      <c r="C120" s="212"/>
      <c r="D120" s="212"/>
      <c r="E120" s="212"/>
      <c r="F120" s="212"/>
      <c r="G120" s="212"/>
      <c r="H120" s="212"/>
      <c r="J120" s="212"/>
      <c r="K120" s="212"/>
    </row>
    <row r="121" spans="1:11" ht="12.75" customHeight="1">
      <c r="A121" s="212"/>
      <c r="B121" s="212"/>
      <c r="C121" s="212"/>
      <c r="D121" s="212"/>
      <c r="E121" s="212"/>
      <c r="F121" s="212"/>
      <c r="G121" s="212"/>
      <c r="H121" s="212"/>
      <c r="J121" s="212"/>
      <c r="K121" s="212"/>
    </row>
    <row r="122" spans="1:11" ht="12.75" customHeight="1">
      <c r="A122" s="212"/>
      <c r="B122" s="212"/>
      <c r="C122" s="212"/>
      <c r="D122" s="212"/>
      <c r="E122" s="212"/>
      <c r="F122" s="212"/>
      <c r="G122" s="212"/>
      <c r="H122" s="212"/>
      <c r="J122" s="212"/>
      <c r="K122" s="212"/>
    </row>
    <row r="123" spans="1:11" ht="12.75" customHeight="1">
      <c r="A123" s="212"/>
      <c r="B123" s="212"/>
      <c r="C123" s="212"/>
      <c r="D123" s="212"/>
      <c r="E123" s="212"/>
      <c r="F123" s="212"/>
      <c r="G123" s="212"/>
      <c r="H123" s="212"/>
      <c r="J123" s="212"/>
      <c r="K123" s="212"/>
    </row>
    <row r="124" spans="1:11" ht="12.75" customHeight="1">
      <c r="A124" s="212"/>
      <c r="B124" s="212"/>
      <c r="C124" s="212"/>
      <c r="D124" s="212"/>
      <c r="E124" s="212"/>
      <c r="F124" s="212"/>
      <c r="G124" s="212"/>
      <c r="H124" s="212"/>
      <c r="J124" s="212"/>
      <c r="K124" s="212"/>
    </row>
    <row r="125" spans="1:11" ht="12.75" customHeight="1">
      <c r="A125" s="212"/>
      <c r="B125" s="212"/>
      <c r="C125" s="212"/>
      <c r="D125" s="212"/>
      <c r="E125" s="212"/>
      <c r="F125" s="212"/>
      <c r="G125" s="212"/>
      <c r="H125" s="212"/>
      <c r="J125" s="212"/>
      <c r="K125" s="212"/>
    </row>
    <row r="126" spans="1:11" ht="12.75" customHeight="1">
      <c r="A126" s="212"/>
      <c r="B126" s="212"/>
      <c r="C126" s="212"/>
      <c r="D126" s="212"/>
      <c r="E126" s="212"/>
      <c r="F126" s="212"/>
      <c r="G126" s="212"/>
      <c r="H126" s="212"/>
      <c r="J126" s="212"/>
      <c r="K126" s="212"/>
    </row>
    <row r="127" spans="1:11" ht="12.75" customHeight="1">
      <c r="A127" s="212"/>
      <c r="B127" s="212"/>
      <c r="C127" s="212"/>
      <c r="D127" s="212"/>
      <c r="E127" s="212"/>
      <c r="F127" s="212"/>
      <c r="G127" s="212"/>
      <c r="H127" s="212"/>
      <c r="J127" s="212"/>
      <c r="K127" s="212"/>
    </row>
    <row r="128" spans="1:11" ht="12.75" customHeight="1">
      <c r="A128" s="212"/>
      <c r="B128" s="212"/>
      <c r="C128" s="212"/>
      <c r="D128" s="212"/>
      <c r="E128" s="212"/>
      <c r="F128" s="212"/>
      <c r="G128" s="212"/>
      <c r="H128" s="212"/>
      <c r="J128" s="212"/>
      <c r="K128" s="212"/>
    </row>
    <row r="129" spans="1:11" ht="12.75" customHeight="1">
      <c r="A129" s="212"/>
      <c r="B129" s="212"/>
      <c r="C129" s="212"/>
      <c r="D129" s="212"/>
      <c r="E129" s="212"/>
      <c r="F129" s="212"/>
      <c r="G129" s="212"/>
      <c r="H129" s="212"/>
      <c r="J129" s="212"/>
      <c r="K129" s="212"/>
    </row>
    <row r="130" spans="1:11" ht="12.75" customHeight="1">
      <c r="A130" s="212"/>
      <c r="B130" s="212"/>
      <c r="C130" s="212"/>
      <c r="D130" s="212"/>
      <c r="E130" s="212"/>
      <c r="F130" s="212"/>
      <c r="G130" s="212"/>
      <c r="H130" s="212"/>
      <c r="J130" s="212"/>
      <c r="K130" s="212"/>
    </row>
    <row r="131" spans="1:11" ht="12.75" customHeight="1">
      <c r="A131" s="212"/>
      <c r="B131" s="212"/>
      <c r="C131" s="212"/>
      <c r="D131" s="212"/>
      <c r="E131" s="212"/>
      <c r="F131" s="212"/>
      <c r="G131" s="212"/>
      <c r="H131" s="212"/>
      <c r="J131" s="212"/>
      <c r="K131" s="212"/>
    </row>
    <row r="132" spans="1:11" ht="12.75" customHeight="1">
      <c r="A132" s="212"/>
      <c r="B132" s="212"/>
      <c r="C132" s="212"/>
      <c r="D132" s="212"/>
      <c r="E132" s="212"/>
      <c r="F132" s="212"/>
      <c r="G132" s="212"/>
      <c r="H132" s="212"/>
      <c r="J132" s="212"/>
      <c r="K132" s="212"/>
    </row>
    <row r="133" spans="1:11" ht="12.75" customHeight="1">
      <c r="A133" s="212"/>
      <c r="B133" s="212"/>
      <c r="C133" s="212"/>
      <c r="D133" s="212"/>
      <c r="E133" s="212"/>
      <c r="F133" s="212"/>
      <c r="G133" s="212"/>
      <c r="H133" s="212"/>
      <c r="J133" s="212"/>
      <c r="K133" s="212"/>
    </row>
    <row r="134" spans="1:11" ht="12.75" customHeight="1">
      <c r="A134" s="212"/>
      <c r="B134" s="212"/>
      <c r="C134" s="212"/>
      <c r="D134" s="212"/>
      <c r="E134" s="212"/>
      <c r="F134" s="212"/>
      <c r="G134" s="212"/>
      <c r="H134" s="212"/>
      <c r="J134" s="212"/>
      <c r="K134" s="212"/>
    </row>
    <row r="135" spans="1:11" ht="12.75" customHeight="1">
      <c r="A135" s="212"/>
      <c r="B135" s="212"/>
      <c r="C135" s="212"/>
      <c r="D135" s="212"/>
      <c r="E135" s="212"/>
      <c r="F135" s="212"/>
      <c r="G135" s="212"/>
      <c r="H135" s="212"/>
      <c r="J135" s="212"/>
      <c r="K135" s="212"/>
    </row>
    <row r="136" spans="1:11" ht="12.75" customHeight="1">
      <c r="A136" s="212"/>
      <c r="B136" s="212"/>
      <c r="C136" s="212"/>
      <c r="D136" s="212"/>
      <c r="E136" s="212"/>
      <c r="F136" s="212"/>
      <c r="G136" s="212"/>
      <c r="H136" s="212"/>
      <c r="J136" s="212"/>
      <c r="K136" s="212"/>
    </row>
    <row r="137" spans="1:11" ht="12.75" customHeight="1">
      <c r="A137" s="212"/>
      <c r="B137" s="212"/>
      <c r="C137" s="212"/>
      <c r="D137" s="212"/>
      <c r="E137" s="212"/>
      <c r="F137" s="212"/>
      <c r="G137" s="212"/>
      <c r="H137" s="212"/>
      <c r="J137" s="212"/>
      <c r="K137" s="212"/>
    </row>
    <row r="138" spans="1:11" ht="12.75" customHeight="1">
      <c r="A138" s="212"/>
      <c r="B138" s="212"/>
      <c r="C138" s="212"/>
      <c r="D138" s="212"/>
      <c r="E138" s="212"/>
      <c r="F138" s="212"/>
      <c r="G138" s="212"/>
      <c r="H138" s="212"/>
      <c r="J138" s="212"/>
      <c r="K138" s="212"/>
    </row>
    <row r="139" spans="1:11" ht="12.75" customHeight="1">
      <c r="A139" s="212"/>
      <c r="B139" s="212"/>
      <c r="C139" s="212"/>
      <c r="D139" s="212"/>
      <c r="E139" s="212"/>
      <c r="F139" s="212"/>
      <c r="G139" s="212"/>
      <c r="H139" s="212"/>
      <c r="J139" s="212"/>
      <c r="K139" s="212"/>
    </row>
    <row r="140" spans="1:11" ht="12.75" customHeight="1">
      <c r="A140" s="212"/>
      <c r="B140" s="212"/>
      <c r="C140" s="212"/>
      <c r="D140" s="212"/>
      <c r="E140" s="212"/>
      <c r="F140" s="212"/>
      <c r="G140" s="212"/>
      <c r="H140" s="212"/>
      <c r="J140" s="212"/>
      <c r="K140" s="212"/>
    </row>
    <row r="141" spans="1:11" ht="12.75" customHeight="1">
      <c r="A141" s="212"/>
      <c r="B141" s="212"/>
      <c r="C141" s="212"/>
      <c r="D141" s="212"/>
      <c r="E141" s="212"/>
      <c r="F141" s="212"/>
      <c r="G141" s="212"/>
      <c r="H141" s="212"/>
      <c r="J141" s="212"/>
      <c r="K141" s="212"/>
    </row>
    <row r="142" spans="1:11" ht="12.75" customHeight="1">
      <c r="A142" s="212"/>
      <c r="B142" s="212"/>
      <c r="C142" s="212"/>
      <c r="D142" s="212"/>
      <c r="E142" s="212"/>
      <c r="F142" s="212"/>
      <c r="G142" s="212"/>
      <c r="H142" s="212"/>
      <c r="J142" s="212"/>
      <c r="K142" s="212"/>
    </row>
    <row r="143" spans="1:11" ht="12.75" customHeight="1">
      <c r="A143" s="212"/>
      <c r="B143" s="212"/>
      <c r="C143" s="212"/>
      <c r="D143" s="212"/>
      <c r="E143" s="212"/>
      <c r="F143" s="212"/>
      <c r="G143" s="212"/>
      <c r="H143" s="212"/>
      <c r="J143" s="212"/>
      <c r="K143" s="212"/>
    </row>
    <row r="144" spans="1:11" ht="12.75" customHeight="1">
      <c r="A144" s="212"/>
      <c r="B144" s="212"/>
      <c r="C144" s="212"/>
      <c r="D144" s="212"/>
      <c r="E144" s="212"/>
      <c r="F144" s="212"/>
      <c r="G144" s="212"/>
      <c r="H144" s="212"/>
      <c r="J144" s="212"/>
      <c r="K144" s="212"/>
    </row>
    <row r="145" spans="1:11" ht="12.75" customHeight="1">
      <c r="A145" s="212"/>
      <c r="B145" s="212"/>
      <c r="C145" s="212"/>
      <c r="D145" s="212"/>
      <c r="E145" s="212"/>
      <c r="F145" s="212"/>
      <c r="G145" s="212"/>
      <c r="H145" s="212"/>
      <c r="J145" s="212"/>
      <c r="K145" s="212"/>
    </row>
    <row r="146" spans="1:11" ht="12.75" customHeight="1">
      <c r="A146" s="212"/>
      <c r="B146" s="212"/>
      <c r="C146" s="212"/>
      <c r="D146" s="212"/>
      <c r="E146" s="212"/>
      <c r="F146" s="212"/>
      <c r="G146" s="212"/>
      <c r="H146" s="212"/>
      <c r="J146" s="212"/>
      <c r="K146" s="212"/>
    </row>
    <row r="147" spans="1:11" ht="12.75" customHeight="1">
      <c r="A147" s="212"/>
      <c r="B147" s="212"/>
      <c r="C147" s="212"/>
      <c r="D147" s="212"/>
      <c r="E147" s="212"/>
      <c r="F147" s="212"/>
      <c r="G147" s="212"/>
      <c r="H147" s="212"/>
      <c r="J147" s="212"/>
      <c r="K147" s="212"/>
    </row>
    <row r="148" spans="1:11" ht="12.75" customHeight="1">
      <c r="A148" s="212"/>
      <c r="B148" s="212"/>
      <c r="C148" s="212"/>
      <c r="D148" s="212"/>
      <c r="E148" s="212"/>
      <c r="F148" s="212"/>
      <c r="G148" s="212"/>
      <c r="H148" s="212"/>
      <c r="J148" s="212"/>
      <c r="K148" s="212"/>
    </row>
    <row r="149" spans="1:11" ht="12.75" customHeight="1">
      <c r="A149" s="212"/>
      <c r="B149" s="212"/>
      <c r="C149" s="212"/>
      <c r="D149" s="212"/>
      <c r="E149" s="212"/>
      <c r="F149" s="212"/>
      <c r="G149" s="212"/>
      <c r="H149" s="212"/>
      <c r="J149" s="212"/>
      <c r="K149" s="212"/>
    </row>
    <row r="150" spans="1:11" ht="12.75" customHeight="1">
      <c r="A150" s="212"/>
      <c r="B150" s="212"/>
      <c r="C150" s="212"/>
      <c r="D150" s="212"/>
      <c r="E150" s="212"/>
      <c r="F150" s="212"/>
      <c r="G150" s="212"/>
      <c r="H150" s="212"/>
      <c r="J150" s="212"/>
      <c r="K150" s="212"/>
    </row>
    <row r="151" spans="1:11" ht="12.75" customHeight="1">
      <c r="A151" s="212"/>
      <c r="B151" s="212"/>
      <c r="C151" s="212"/>
      <c r="D151" s="212"/>
      <c r="E151" s="212"/>
      <c r="F151" s="212"/>
      <c r="G151" s="212"/>
      <c r="H151" s="212"/>
      <c r="J151" s="212"/>
      <c r="K151" s="212"/>
    </row>
    <row r="152" spans="1:11" ht="12.75" customHeight="1">
      <c r="A152" s="212"/>
      <c r="B152" s="212"/>
      <c r="C152" s="212"/>
      <c r="D152" s="212"/>
      <c r="E152" s="212"/>
      <c r="F152" s="212"/>
      <c r="G152" s="212"/>
      <c r="H152" s="212"/>
      <c r="J152" s="212"/>
      <c r="K152" s="212"/>
    </row>
    <row r="153" spans="1:11" ht="12.75" customHeight="1">
      <c r="A153" s="212"/>
      <c r="B153" s="212"/>
      <c r="C153" s="212"/>
      <c r="D153" s="212"/>
      <c r="E153" s="212"/>
      <c r="F153" s="212"/>
      <c r="G153" s="212"/>
      <c r="H153" s="212"/>
      <c r="J153" s="212"/>
      <c r="K153" s="212"/>
    </row>
    <row r="154" spans="1:11" ht="12.75" customHeight="1">
      <c r="A154" s="212"/>
      <c r="B154" s="212"/>
      <c r="C154" s="212"/>
      <c r="D154" s="212"/>
      <c r="E154" s="212"/>
      <c r="F154" s="212"/>
      <c r="G154" s="212"/>
      <c r="H154" s="212"/>
      <c r="J154" s="212"/>
      <c r="K154" s="212"/>
    </row>
    <row r="155" spans="1:11" ht="12.75" customHeight="1">
      <c r="A155" s="212"/>
      <c r="B155" s="212"/>
      <c r="C155" s="212"/>
      <c r="D155" s="212"/>
      <c r="E155" s="212"/>
      <c r="F155" s="212"/>
      <c r="G155" s="212"/>
      <c r="H155" s="212"/>
      <c r="J155" s="212"/>
      <c r="K155" s="212"/>
    </row>
    <row r="156" spans="1:11" ht="12.75" customHeight="1">
      <c r="A156" s="212"/>
      <c r="B156" s="212"/>
      <c r="C156" s="212"/>
      <c r="D156" s="212"/>
      <c r="E156" s="212"/>
      <c r="F156" s="212"/>
      <c r="G156" s="212"/>
      <c r="H156" s="212"/>
      <c r="J156" s="212"/>
      <c r="K156" s="212"/>
    </row>
    <row r="157" spans="1:11" ht="12.75" customHeight="1">
      <c r="A157" s="212"/>
      <c r="B157" s="212"/>
      <c r="C157" s="212"/>
      <c r="D157" s="212"/>
      <c r="E157" s="212"/>
      <c r="F157" s="212"/>
      <c r="G157" s="212"/>
      <c r="H157" s="212"/>
      <c r="J157" s="212"/>
      <c r="K157" s="212"/>
    </row>
    <row r="158" spans="1:11" ht="12.75" customHeight="1">
      <c r="A158" s="212"/>
      <c r="B158" s="212"/>
      <c r="C158" s="212"/>
      <c r="D158" s="212"/>
      <c r="E158" s="212"/>
      <c r="F158" s="212"/>
      <c r="G158" s="212"/>
      <c r="H158" s="212"/>
      <c r="J158" s="212"/>
      <c r="K158" s="212"/>
    </row>
    <row r="159" spans="1:11" ht="12.75" customHeight="1">
      <c r="A159" s="212"/>
      <c r="B159" s="212"/>
      <c r="C159" s="212"/>
      <c r="D159" s="212"/>
      <c r="E159" s="212"/>
      <c r="F159" s="212"/>
      <c r="G159" s="212"/>
      <c r="H159" s="212"/>
      <c r="J159" s="212"/>
      <c r="K159" s="212"/>
    </row>
    <row r="160" spans="1:11" ht="12.75" customHeight="1">
      <c r="A160" s="212"/>
      <c r="B160" s="212"/>
      <c r="C160" s="212"/>
      <c r="D160" s="212"/>
      <c r="E160" s="212"/>
      <c r="F160" s="212"/>
      <c r="G160" s="212"/>
      <c r="H160" s="212"/>
      <c r="J160" s="212"/>
      <c r="K160" s="212"/>
    </row>
    <row r="161" spans="1:11" ht="12.75" customHeight="1">
      <c r="A161" s="212"/>
      <c r="B161" s="212"/>
      <c r="C161" s="212"/>
      <c r="D161" s="212"/>
      <c r="E161" s="212"/>
      <c r="F161" s="212"/>
      <c r="G161" s="212"/>
      <c r="H161" s="212"/>
      <c r="J161" s="212"/>
      <c r="K161" s="212"/>
    </row>
    <row r="162" spans="1:11" ht="12.75" customHeight="1">
      <c r="A162" s="212"/>
      <c r="B162" s="212"/>
      <c r="C162" s="212"/>
      <c r="D162" s="212"/>
      <c r="E162" s="212"/>
      <c r="F162" s="212"/>
      <c r="G162" s="212"/>
      <c r="H162" s="212"/>
      <c r="J162" s="212"/>
      <c r="K162" s="212"/>
    </row>
    <row r="163" spans="1:11" ht="12.75" customHeight="1">
      <c r="A163" s="212"/>
      <c r="B163" s="212"/>
      <c r="C163" s="212"/>
      <c r="D163" s="212"/>
      <c r="E163" s="212"/>
      <c r="F163" s="212"/>
      <c r="G163" s="212"/>
      <c r="H163" s="212"/>
      <c r="J163" s="212"/>
      <c r="K163" s="212"/>
    </row>
    <row r="164" spans="1:11" ht="12.75" customHeight="1">
      <c r="A164" s="212"/>
      <c r="B164" s="212"/>
      <c r="C164" s="212"/>
      <c r="D164" s="212"/>
      <c r="E164" s="212"/>
      <c r="F164" s="212"/>
      <c r="G164" s="212"/>
      <c r="H164" s="212"/>
      <c r="J164" s="212"/>
      <c r="K164" s="212"/>
    </row>
    <row r="165" spans="1:11" ht="12.75" customHeight="1">
      <c r="A165" s="212"/>
      <c r="B165" s="212"/>
      <c r="C165" s="212"/>
      <c r="D165" s="212"/>
      <c r="E165" s="212"/>
      <c r="F165" s="212"/>
      <c r="G165" s="212"/>
      <c r="H165" s="212"/>
      <c r="J165" s="212"/>
      <c r="K165" s="212"/>
    </row>
    <row r="166" spans="1:11" ht="12.75" customHeight="1">
      <c r="A166" s="212"/>
      <c r="B166" s="212"/>
      <c r="C166" s="212"/>
      <c r="D166" s="212"/>
      <c r="E166" s="212"/>
      <c r="F166" s="212"/>
      <c r="G166" s="212"/>
      <c r="H166" s="212"/>
      <c r="J166" s="212"/>
      <c r="K166" s="212"/>
    </row>
    <row r="167" spans="1:11" ht="12.75" customHeight="1">
      <c r="A167" s="212"/>
      <c r="B167" s="212"/>
      <c r="C167" s="212"/>
      <c r="D167" s="212"/>
      <c r="E167" s="212"/>
      <c r="F167" s="212"/>
      <c r="G167" s="212"/>
      <c r="H167" s="212"/>
      <c r="J167" s="212"/>
      <c r="K167" s="212"/>
    </row>
    <row r="168" spans="1:11" ht="12.75" customHeight="1">
      <c r="A168" s="212"/>
      <c r="B168" s="212"/>
      <c r="C168" s="212"/>
      <c r="D168" s="212"/>
      <c r="E168" s="212"/>
      <c r="F168" s="212"/>
      <c r="G168" s="212"/>
      <c r="H168" s="212"/>
      <c r="J168" s="212"/>
      <c r="K168" s="212"/>
    </row>
    <row r="169" spans="1:11" ht="12.75" customHeight="1">
      <c r="A169" s="212"/>
      <c r="B169" s="212"/>
      <c r="C169" s="212"/>
      <c r="D169" s="212"/>
      <c r="E169" s="212"/>
      <c r="F169" s="212"/>
      <c r="G169" s="212"/>
      <c r="H169" s="212"/>
      <c r="J169" s="212"/>
      <c r="K169" s="212"/>
    </row>
    <row r="170" spans="1:11" ht="12.75" customHeight="1">
      <c r="A170" s="212"/>
      <c r="B170" s="212"/>
      <c r="C170" s="212"/>
      <c r="D170" s="212"/>
      <c r="E170" s="212"/>
      <c r="F170" s="212"/>
      <c r="G170" s="212"/>
      <c r="H170" s="212"/>
      <c r="J170" s="212"/>
      <c r="K170" s="212"/>
    </row>
    <row r="171" spans="1:11" ht="12.75" customHeight="1">
      <c r="A171" s="212"/>
      <c r="B171" s="212"/>
      <c r="C171" s="212"/>
      <c r="D171" s="212"/>
      <c r="E171" s="212"/>
      <c r="F171" s="212"/>
      <c r="G171" s="212"/>
      <c r="H171" s="212"/>
      <c r="J171" s="212"/>
      <c r="K171" s="212"/>
    </row>
    <row r="172" spans="1:11" ht="12.75" customHeight="1">
      <c r="A172" s="212"/>
      <c r="B172" s="212"/>
      <c r="C172" s="212"/>
      <c r="D172" s="212"/>
      <c r="E172" s="212"/>
      <c r="F172" s="212"/>
      <c r="G172" s="212"/>
      <c r="H172" s="212"/>
      <c r="J172" s="212"/>
      <c r="K172" s="212"/>
    </row>
    <row r="173" spans="1:11" ht="12.75" customHeight="1">
      <c r="A173" s="212"/>
      <c r="B173" s="212"/>
      <c r="C173" s="212"/>
      <c r="D173" s="212"/>
      <c r="E173" s="212"/>
      <c r="F173" s="212"/>
      <c r="G173" s="212"/>
      <c r="H173" s="212"/>
      <c r="J173" s="212"/>
      <c r="K173" s="212"/>
    </row>
    <row r="174" spans="1:11" ht="12.75" customHeight="1">
      <c r="A174" s="212"/>
      <c r="B174" s="212"/>
      <c r="C174" s="212"/>
      <c r="D174" s="212"/>
      <c r="E174" s="212"/>
      <c r="F174" s="212"/>
      <c r="G174" s="212"/>
      <c r="H174" s="212"/>
      <c r="J174" s="212"/>
      <c r="K174" s="212"/>
    </row>
    <row r="175" spans="1:11" ht="12.75" customHeight="1">
      <c r="A175" s="212"/>
      <c r="B175" s="212"/>
      <c r="C175" s="212"/>
      <c r="D175" s="212"/>
      <c r="E175" s="212"/>
      <c r="F175" s="212"/>
      <c r="G175" s="212"/>
      <c r="H175" s="212"/>
      <c r="J175" s="212"/>
      <c r="K175" s="212"/>
    </row>
    <row r="176" spans="1:11" ht="12.75" customHeight="1">
      <c r="A176" s="212"/>
      <c r="B176" s="212"/>
      <c r="C176" s="212"/>
      <c r="D176" s="212"/>
      <c r="E176" s="212"/>
      <c r="F176" s="212"/>
      <c r="G176" s="212"/>
      <c r="H176" s="212"/>
      <c r="J176" s="212"/>
      <c r="K176" s="212"/>
    </row>
    <row r="177" spans="1:11" ht="12.75" customHeight="1">
      <c r="A177" s="212"/>
      <c r="B177" s="212"/>
      <c r="C177" s="212"/>
      <c r="D177" s="212"/>
      <c r="E177" s="212"/>
      <c r="F177" s="212"/>
      <c r="G177" s="212"/>
      <c r="H177" s="212"/>
      <c r="J177" s="212"/>
      <c r="K177" s="212"/>
    </row>
    <row r="178" spans="1:11" ht="12.75" customHeight="1">
      <c r="A178" s="212"/>
      <c r="B178" s="212"/>
      <c r="C178" s="212"/>
      <c r="D178" s="212"/>
      <c r="E178" s="212"/>
      <c r="F178" s="212"/>
      <c r="G178" s="212"/>
      <c r="H178" s="212"/>
      <c r="J178" s="212"/>
      <c r="K178" s="212"/>
    </row>
    <row r="179" spans="1:11" ht="12.75" customHeight="1">
      <c r="A179" s="212"/>
      <c r="B179" s="212"/>
      <c r="C179" s="212"/>
      <c r="D179" s="212"/>
      <c r="E179" s="212"/>
      <c r="F179" s="212"/>
      <c r="G179" s="212"/>
      <c r="H179" s="212"/>
      <c r="J179" s="212"/>
      <c r="K179" s="212"/>
    </row>
    <row r="180" spans="1:11" ht="12.75" customHeight="1">
      <c r="A180" s="212"/>
      <c r="B180" s="212"/>
      <c r="C180" s="212"/>
      <c r="D180" s="212"/>
      <c r="E180" s="212"/>
      <c r="F180" s="212"/>
      <c r="G180" s="212"/>
      <c r="H180" s="212"/>
      <c r="J180" s="212"/>
      <c r="K180" s="212"/>
    </row>
    <row r="181" spans="1:11" ht="12.75" customHeight="1">
      <c r="A181" s="212"/>
      <c r="B181" s="212"/>
      <c r="C181" s="212"/>
      <c r="D181" s="212"/>
      <c r="E181" s="212"/>
      <c r="F181" s="212"/>
      <c r="G181" s="212"/>
      <c r="H181" s="212"/>
      <c r="J181" s="212"/>
      <c r="K181" s="212"/>
    </row>
    <row r="182" spans="1:11" ht="12.75" customHeight="1">
      <c r="A182" s="212"/>
      <c r="B182" s="212"/>
      <c r="C182" s="212"/>
      <c r="D182" s="212"/>
      <c r="E182" s="212"/>
      <c r="F182" s="212"/>
      <c r="G182" s="212"/>
      <c r="H182" s="212"/>
      <c r="J182" s="212"/>
      <c r="K182" s="212"/>
    </row>
    <row r="183" spans="1:11" ht="12.75" customHeight="1">
      <c r="A183" s="212"/>
      <c r="B183" s="212"/>
      <c r="C183" s="212"/>
      <c r="D183" s="212"/>
      <c r="E183" s="212"/>
      <c r="F183" s="212"/>
      <c r="G183" s="212"/>
      <c r="H183" s="212"/>
      <c r="J183" s="212"/>
      <c r="K183" s="212"/>
    </row>
    <row r="184" spans="1:11" ht="12.75" customHeight="1">
      <c r="A184" s="212"/>
      <c r="B184" s="212"/>
      <c r="C184" s="212"/>
      <c r="D184" s="212"/>
      <c r="E184" s="212"/>
      <c r="F184" s="212"/>
      <c r="G184" s="212"/>
      <c r="H184" s="212"/>
      <c r="J184" s="212"/>
      <c r="K184" s="212"/>
    </row>
    <row r="185" spans="1:11" ht="12.75" customHeight="1">
      <c r="A185" s="212"/>
      <c r="B185" s="212"/>
      <c r="C185" s="212"/>
      <c r="D185" s="212"/>
      <c r="E185" s="212"/>
      <c r="F185" s="212"/>
      <c r="G185" s="212"/>
      <c r="H185" s="212"/>
      <c r="J185" s="212"/>
      <c r="K185" s="212"/>
    </row>
    <row r="186" spans="1:11" ht="12.75" customHeight="1">
      <c r="A186" s="212"/>
      <c r="B186" s="212"/>
      <c r="C186" s="212"/>
      <c r="D186" s="212"/>
      <c r="E186" s="212"/>
      <c r="F186" s="212"/>
      <c r="G186" s="212"/>
      <c r="H186" s="212"/>
      <c r="J186" s="212"/>
      <c r="K186" s="212"/>
    </row>
    <row r="187" spans="1:11" ht="12.75" customHeight="1">
      <c r="A187" s="212"/>
      <c r="B187" s="212"/>
      <c r="C187" s="212"/>
      <c r="D187" s="212"/>
      <c r="E187" s="212"/>
      <c r="F187" s="212"/>
      <c r="G187" s="212"/>
      <c r="H187" s="212"/>
      <c r="J187" s="212"/>
      <c r="K187" s="212"/>
    </row>
    <row r="188" spans="1:11" ht="12.75" customHeight="1">
      <c r="A188" s="212"/>
      <c r="B188" s="212"/>
      <c r="C188" s="212"/>
      <c r="D188" s="212"/>
      <c r="E188" s="212"/>
      <c r="F188" s="212"/>
      <c r="G188" s="212"/>
      <c r="H188" s="212"/>
      <c r="J188" s="212"/>
      <c r="K188" s="212"/>
    </row>
    <row r="189" spans="1:11" ht="12.75" customHeight="1">
      <c r="A189" s="212"/>
      <c r="B189" s="212"/>
      <c r="C189" s="212"/>
      <c r="D189" s="212"/>
      <c r="E189" s="212"/>
      <c r="F189" s="212"/>
      <c r="G189" s="212"/>
      <c r="H189" s="212"/>
      <c r="J189" s="212"/>
      <c r="K189" s="212"/>
    </row>
    <row r="190" spans="1:11" ht="12.75" customHeight="1">
      <c r="A190" s="212"/>
      <c r="B190" s="212"/>
      <c r="C190" s="212"/>
      <c r="D190" s="212"/>
      <c r="E190" s="212"/>
      <c r="F190" s="212"/>
      <c r="G190" s="212"/>
      <c r="H190" s="212"/>
      <c r="J190" s="212"/>
      <c r="K190" s="212"/>
    </row>
    <row r="191" spans="1:11" ht="12.75" customHeight="1">
      <c r="A191" s="212"/>
      <c r="B191" s="212"/>
      <c r="C191" s="212"/>
      <c r="D191" s="212"/>
      <c r="E191" s="212"/>
      <c r="F191" s="212"/>
      <c r="G191" s="212"/>
      <c r="H191" s="212"/>
      <c r="J191" s="212"/>
      <c r="K191" s="212"/>
    </row>
    <row r="192" spans="1:11" ht="12.75" customHeight="1">
      <c r="A192" s="212"/>
      <c r="B192" s="212"/>
      <c r="C192" s="212"/>
      <c r="D192" s="212"/>
      <c r="E192" s="212"/>
      <c r="F192" s="212"/>
      <c r="G192" s="212"/>
      <c r="H192" s="212"/>
      <c r="J192" s="212"/>
      <c r="K192" s="212"/>
    </row>
    <row r="193" spans="1:11" ht="12.75" customHeight="1">
      <c r="A193" s="212"/>
      <c r="B193" s="212"/>
      <c r="C193" s="212"/>
      <c r="D193" s="212"/>
      <c r="E193" s="212"/>
      <c r="F193" s="212"/>
      <c r="G193" s="212"/>
      <c r="H193" s="212"/>
      <c r="J193" s="212"/>
      <c r="K193" s="212"/>
    </row>
    <row r="194" spans="1:11" ht="12.75" customHeight="1">
      <c r="A194" s="212"/>
      <c r="B194" s="212"/>
      <c r="C194" s="212"/>
      <c r="D194" s="212"/>
      <c r="E194" s="212"/>
      <c r="F194" s="212"/>
      <c r="G194" s="212"/>
      <c r="H194" s="212"/>
      <c r="J194" s="212"/>
      <c r="K194" s="212"/>
    </row>
    <row r="195" spans="1:11" ht="12.75" customHeight="1">
      <c r="A195" s="212"/>
      <c r="B195" s="212"/>
      <c r="C195" s="212"/>
      <c r="D195" s="212"/>
      <c r="E195" s="212"/>
      <c r="F195" s="212"/>
      <c r="G195" s="212"/>
      <c r="H195" s="212"/>
      <c r="J195" s="212"/>
      <c r="K195" s="212"/>
    </row>
    <row r="196" spans="1:11" ht="12.75" customHeight="1">
      <c r="A196" s="212"/>
      <c r="B196" s="212"/>
      <c r="C196" s="212"/>
      <c r="D196" s="212"/>
      <c r="E196" s="212"/>
      <c r="F196" s="212"/>
      <c r="G196" s="212"/>
      <c r="H196" s="212"/>
      <c r="J196" s="212"/>
      <c r="K196" s="212"/>
    </row>
    <row r="197" spans="1:11" ht="12.75" customHeight="1">
      <c r="A197" s="212"/>
      <c r="B197" s="212"/>
      <c r="C197" s="212"/>
      <c r="D197" s="212"/>
      <c r="E197" s="212"/>
      <c r="F197" s="212"/>
      <c r="G197" s="212"/>
      <c r="H197" s="212"/>
      <c r="J197" s="212"/>
      <c r="K197" s="212"/>
    </row>
    <row r="198" spans="1:11" ht="12.75" customHeight="1">
      <c r="A198" s="212"/>
      <c r="B198" s="212"/>
      <c r="C198" s="212"/>
      <c r="D198" s="212"/>
      <c r="E198" s="212"/>
      <c r="F198" s="212"/>
      <c r="G198" s="212"/>
      <c r="H198" s="212"/>
      <c r="J198" s="212"/>
      <c r="K198" s="212"/>
    </row>
    <row r="199" spans="1:11" ht="12.75" customHeight="1">
      <c r="A199" s="212"/>
      <c r="B199" s="212"/>
      <c r="C199" s="212"/>
      <c r="D199" s="212"/>
      <c r="E199" s="212"/>
      <c r="F199" s="212"/>
      <c r="G199" s="212"/>
      <c r="H199" s="212"/>
      <c r="J199" s="212"/>
      <c r="K199" s="212"/>
    </row>
    <row r="200" spans="1:11" ht="12.75" customHeight="1">
      <c r="A200" s="212"/>
      <c r="B200" s="212"/>
      <c r="C200" s="212"/>
      <c r="D200" s="212"/>
      <c r="E200" s="212"/>
      <c r="F200" s="212"/>
      <c r="G200" s="212"/>
      <c r="H200" s="212"/>
      <c r="J200" s="212"/>
      <c r="K200" s="212"/>
    </row>
    <row r="201" spans="1:11" ht="12.75" customHeight="1">
      <c r="A201" s="212"/>
      <c r="B201" s="212"/>
      <c r="C201" s="212"/>
      <c r="D201" s="212"/>
      <c r="E201" s="212"/>
      <c r="F201" s="212"/>
      <c r="G201" s="212"/>
      <c r="H201" s="212"/>
      <c r="J201" s="212"/>
      <c r="K201" s="212"/>
    </row>
    <row r="202" spans="1:11" ht="12.75" customHeight="1">
      <c r="A202" s="212"/>
      <c r="B202" s="212"/>
      <c r="C202" s="212"/>
      <c r="D202" s="212"/>
      <c r="E202" s="212"/>
      <c r="F202" s="212"/>
      <c r="G202" s="212"/>
      <c r="H202" s="212"/>
      <c r="J202" s="212"/>
      <c r="K202" s="212"/>
    </row>
    <row r="203" spans="1:11" ht="12.75" customHeight="1">
      <c r="A203" s="212"/>
      <c r="B203" s="212"/>
      <c r="C203" s="212"/>
      <c r="D203" s="212"/>
      <c r="E203" s="212"/>
      <c r="F203" s="212"/>
      <c r="G203" s="212"/>
      <c r="H203" s="212"/>
      <c r="J203" s="212"/>
      <c r="K203" s="212"/>
    </row>
    <row r="204" spans="1:11" ht="12.75" customHeight="1">
      <c r="A204" s="212"/>
      <c r="B204" s="212"/>
      <c r="C204" s="212"/>
      <c r="D204" s="212"/>
      <c r="E204" s="212"/>
      <c r="F204" s="212"/>
      <c r="G204" s="212"/>
      <c r="H204" s="212"/>
      <c r="J204" s="212"/>
      <c r="K204" s="212"/>
    </row>
    <row r="205" spans="1:11" ht="12.75" customHeight="1">
      <c r="A205" s="212"/>
      <c r="B205" s="212"/>
      <c r="C205" s="212"/>
      <c r="D205" s="212"/>
      <c r="E205" s="212"/>
      <c r="F205" s="212"/>
      <c r="G205" s="212"/>
      <c r="H205" s="212"/>
      <c r="J205" s="212"/>
      <c r="K205" s="212"/>
    </row>
    <row r="206" spans="1:11" ht="12.75" customHeight="1">
      <c r="A206" s="212"/>
      <c r="B206" s="212"/>
      <c r="C206" s="212"/>
      <c r="D206" s="212"/>
      <c r="E206" s="212"/>
      <c r="F206" s="212"/>
      <c r="G206" s="212"/>
      <c r="H206" s="212"/>
      <c r="J206" s="212"/>
      <c r="K206" s="212"/>
    </row>
    <row r="207" spans="1:11" ht="12.75" customHeight="1">
      <c r="A207" s="212"/>
      <c r="B207" s="212"/>
      <c r="C207" s="212"/>
      <c r="D207" s="212"/>
      <c r="E207" s="212"/>
      <c r="F207" s="212"/>
      <c r="G207" s="212"/>
      <c r="H207" s="212"/>
      <c r="J207" s="212"/>
      <c r="K207" s="212"/>
    </row>
    <row r="208" spans="1:11" ht="12.75" customHeight="1">
      <c r="A208" s="212"/>
      <c r="B208" s="212"/>
      <c r="C208" s="212"/>
      <c r="D208" s="212"/>
      <c r="E208" s="212"/>
      <c r="F208" s="212"/>
      <c r="G208" s="212"/>
      <c r="H208" s="212"/>
      <c r="J208" s="212"/>
      <c r="K208" s="212"/>
    </row>
    <row r="209" spans="1:11" ht="12.75" customHeight="1">
      <c r="A209" s="212"/>
      <c r="B209" s="212"/>
      <c r="C209" s="212"/>
      <c r="D209" s="212"/>
      <c r="E209" s="212"/>
      <c r="F209" s="212"/>
      <c r="G209" s="212"/>
      <c r="H209" s="212"/>
      <c r="J209" s="212"/>
      <c r="K209" s="212"/>
    </row>
    <row r="210" spans="1:11" ht="12.75" customHeight="1">
      <c r="A210" s="212"/>
      <c r="B210" s="212"/>
      <c r="C210" s="212"/>
      <c r="D210" s="212"/>
      <c r="E210" s="212"/>
      <c r="F210" s="212"/>
      <c r="G210" s="212"/>
      <c r="H210" s="212"/>
      <c r="J210" s="212"/>
      <c r="K210" s="212"/>
    </row>
    <row r="211" spans="1:11" ht="12.75" customHeight="1">
      <c r="A211" s="212"/>
      <c r="B211" s="212"/>
      <c r="C211" s="212"/>
      <c r="D211" s="212"/>
      <c r="E211" s="212"/>
      <c r="F211" s="212"/>
      <c r="G211" s="212"/>
      <c r="H211" s="212"/>
      <c r="J211" s="212"/>
      <c r="K211" s="212"/>
    </row>
    <row r="212" spans="1:11" ht="12.75" customHeight="1">
      <c r="A212" s="212"/>
      <c r="B212" s="212"/>
      <c r="C212" s="212"/>
      <c r="D212" s="212"/>
      <c r="E212" s="212"/>
      <c r="F212" s="212"/>
      <c r="G212" s="212"/>
      <c r="H212" s="212"/>
      <c r="J212" s="212"/>
      <c r="K212" s="212"/>
    </row>
    <row r="213" spans="1:11" ht="12.75" customHeight="1">
      <c r="A213" s="212"/>
      <c r="B213" s="212"/>
      <c r="C213" s="212"/>
      <c r="D213" s="212"/>
      <c r="E213" s="212"/>
      <c r="F213" s="212"/>
      <c r="G213" s="212"/>
      <c r="H213" s="212"/>
      <c r="J213" s="212"/>
      <c r="K213" s="212"/>
    </row>
    <row r="214" spans="1:11" ht="12.75" customHeight="1">
      <c r="A214" s="212"/>
      <c r="B214" s="212"/>
      <c r="C214" s="212"/>
      <c r="D214" s="212"/>
      <c r="E214" s="212"/>
      <c r="F214" s="212"/>
      <c r="G214" s="212"/>
      <c r="H214" s="212"/>
      <c r="J214" s="212"/>
      <c r="K214" s="212"/>
    </row>
    <row r="215" spans="1:11" ht="12.75" customHeight="1">
      <c r="A215" s="212"/>
      <c r="B215" s="212"/>
      <c r="C215" s="212"/>
      <c r="D215" s="212"/>
      <c r="E215" s="212"/>
      <c r="F215" s="212"/>
      <c r="G215" s="212"/>
      <c r="H215" s="212"/>
      <c r="J215" s="212"/>
      <c r="K215" s="212"/>
    </row>
    <row r="216" spans="1:11" ht="12.75" customHeight="1">
      <c r="A216" s="212"/>
      <c r="B216" s="212"/>
      <c r="C216" s="212"/>
      <c r="D216" s="212"/>
      <c r="E216" s="212"/>
      <c r="F216" s="212"/>
      <c r="G216" s="212"/>
      <c r="H216" s="212"/>
      <c r="J216" s="212"/>
      <c r="K216" s="212"/>
    </row>
    <row r="217" spans="1:11" ht="12.75" customHeight="1">
      <c r="A217" s="212"/>
      <c r="B217" s="212"/>
      <c r="C217" s="212"/>
      <c r="D217" s="212"/>
      <c r="E217" s="212"/>
      <c r="F217" s="212"/>
      <c r="G217" s="212"/>
      <c r="H217" s="212"/>
      <c r="J217" s="212"/>
      <c r="K217" s="212"/>
    </row>
    <row r="218" spans="1:11" ht="12.75" customHeight="1">
      <c r="A218" s="212"/>
      <c r="B218" s="212"/>
      <c r="C218" s="212"/>
      <c r="D218" s="212"/>
      <c r="E218" s="212"/>
      <c r="F218" s="212"/>
      <c r="G218" s="212"/>
      <c r="H218" s="212"/>
      <c r="J218" s="212"/>
      <c r="K218" s="212"/>
    </row>
    <row r="219" spans="1:11" ht="12.75" customHeight="1">
      <c r="A219" s="212"/>
      <c r="B219" s="212"/>
      <c r="C219" s="212"/>
      <c r="D219" s="212"/>
      <c r="E219" s="212"/>
      <c r="F219" s="212"/>
      <c r="G219" s="212"/>
      <c r="H219" s="212"/>
      <c r="J219" s="212"/>
      <c r="K219" s="212"/>
    </row>
    <row r="220" spans="1:11" ht="12.75" customHeight="1">
      <c r="A220" s="212"/>
      <c r="B220" s="212"/>
      <c r="C220" s="212"/>
      <c r="D220" s="212"/>
      <c r="E220" s="212"/>
      <c r="F220" s="212"/>
      <c r="G220" s="212"/>
      <c r="H220" s="212"/>
      <c r="J220" s="212"/>
      <c r="K220" s="212"/>
    </row>
    <row r="221" spans="1:11" ht="12.75" customHeight="1">
      <c r="A221" s="212"/>
      <c r="B221" s="212"/>
      <c r="C221" s="212"/>
      <c r="D221" s="212"/>
      <c r="E221" s="212"/>
      <c r="F221" s="212"/>
      <c r="G221" s="212"/>
      <c r="H221" s="212"/>
      <c r="J221" s="212"/>
      <c r="K221" s="212"/>
    </row>
    <row r="222" spans="1:11" ht="12.75" customHeight="1">
      <c r="A222" s="212"/>
      <c r="B222" s="212"/>
      <c r="C222" s="212"/>
      <c r="D222" s="212"/>
      <c r="E222" s="212"/>
      <c r="F222" s="212"/>
      <c r="G222" s="212"/>
      <c r="H222" s="212"/>
      <c r="J222" s="212"/>
      <c r="K222" s="212"/>
    </row>
    <row r="223" spans="1:11" ht="12.75" customHeight="1">
      <c r="A223" s="212"/>
      <c r="B223" s="212"/>
      <c r="C223" s="212"/>
      <c r="D223" s="212"/>
      <c r="E223" s="212"/>
      <c r="F223" s="212"/>
      <c r="G223" s="212"/>
      <c r="H223" s="212"/>
      <c r="J223" s="212"/>
      <c r="K223" s="212"/>
    </row>
    <row r="224" spans="1:11" ht="12.75" customHeight="1">
      <c r="A224" s="212"/>
      <c r="B224" s="212"/>
      <c r="C224" s="212"/>
      <c r="D224" s="212"/>
      <c r="E224" s="212"/>
      <c r="F224" s="212"/>
      <c r="G224" s="212"/>
      <c r="H224" s="212"/>
      <c r="J224" s="212"/>
      <c r="K224" s="212"/>
    </row>
    <row r="225" spans="1:11" ht="12.75" customHeight="1">
      <c r="A225" s="212"/>
      <c r="B225" s="212"/>
      <c r="C225" s="212"/>
      <c r="D225" s="212"/>
      <c r="E225" s="212"/>
      <c r="F225" s="212"/>
      <c r="G225" s="212"/>
      <c r="H225" s="212"/>
      <c r="J225" s="212"/>
      <c r="K225" s="212"/>
    </row>
    <row r="226" spans="1:11" ht="12.75" customHeight="1">
      <c r="A226" s="212"/>
      <c r="B226" s="212"/>
      <c r="C226" s="212"/>
      <c r="D226" s="212"/>
      <c r="E226" s="212"/>
      <c r="F226" s="212"/>
      <c r="G226" s="212"/>
      <c r="H226" s="212"/>
      <c r="J226" s="212"/>
      <c r="K226" s="212"/>
    </row>
    <row r="227" spans="1:11" ht="12.75" customHeight="1">
      <c r="A227" s="212"/>
      <c r="B227" s="212"/>
      <c r="C227" s="212"/>
      <c r="D227" s="212"/>
      <c r="E227" s="212"/>
      <c r="F227" s="212"/>
      <c r="G227" s="212"/>
      <c r="H227" s="212"/>
      <c r="J227" s="212"/>
      <c r="K227" s="212"/>
    </row>
    <row r="228" spans="1:11" ht="12.75" customHeight="1">
      <c r="A228" s="212"/>
      <c r="B228" s="212"/>
      <c r="C228" s="212"/>
      <c r="D228" s="212"/>
      <c r="E228" s="212"/>
      <c r="F228" s="212"/>
      <c r="G228" s="212"/>
      <c r="H228" s="212"/>
      <c r="J228" s="212"/>
      <c r="K228" s="212"/>
    </row>
    <row r="229" spans="1:11" ht="12.75" customHeight="1">
      <c r="A229" s="212"/>
      <c r="B229" s="212"/>
      <c r="C229" s="212"/>
      <c r="D229" s="212"/>
      <c r="E229" s="212"/>
      <c r="F229" s="212"/>
      <c r="G229" s="212"/>
      <c r="H229" s="212"/>
      <c r="J229" s="212"/>
      <c r="K229" s="212"/>
    </row>
    <row r="230" spans="1:11" ht="12.75" customHeight="1">
      <c r="A230" s="212"/>
      <c r="B230" s="212"/>
      <c r="C230" s="212"/>
      <c r="D230" s="212"/>
      <c r="E230" s="212"/>
      <c r="F230" s="212"/>
      <c r="G230" s="212"/>
      <c r="H230" s="212"/>
      <c r="J230" s="212"/>
      <c r="K230" s="212"/>
    </row>
    <row r="231" spans="1:11" ht="12.75" customHeight="1">
      <c r="A231" s="212"/>
      <c r="B231" s="212"/>
      <c r="C231" s="212"/>
      <c r="D231" s="212"/>
      <c r="E231" s="212"/>
      <c r="F231" s="212"/>
      <c r="G231" s="212"/>
      <c r="H231" s="212"/>
      <c r="J231" s="212"/>
      <c r="K231" s="212"/>
    </row>
    <row r="232" spans="1:11" ht="12.75" customHeight="1">
      <c r="A232" s="212"/>
      <c r="B232" s="212"/>
      <c r="C232" s="212"/>
      <c r="D232" s="212"/>
      <c r="E232" s="212"/>
      <c r="F232" s="212"/>
      <c r="G232" s="212"/>
      <c r="H232" s="212"/>
      <c r="J232" s="212"/>
      <c r="K232" s="212"/>
    </row>
    <row r="233" spans="1:11" ht="12.75" customHeight="1">
      <c r="A233" s="212"/>
      <c r="B233" s="212"/>
      <c r="C233" s="212"/>
      <c r="D233" s="212"/>
      <c r="E233" s="212"/>
      <c r="F233" s="212"/>
      <c r="G233" s="212"/>
      <c r="H233" s="212"/>
      <c r="J233" s="212"/>
      <c r="K233" s="212"/>
    </row>
    <row r="234" spans="1:11" ht="12.75" customHeight="1">
      <c r="A234" s="212"/>
      <c r="B234" s="212"/>
      <c r="C234" s="212"/>
      <c r="D234" s="212"/>
      <c r="E234" s="212"/>
      <c r="F234" s="212"/>
      <c r="G234" s="212"/>
      <c r="H234" s="212"/>
      <c r="J234" s="212"/>
      <c r="K234" s="212"/>
    </row>
    <row r="235" spans="1:11" ht="12.75" customHeight="1">
      <c r="A235" s="212"/>
      <c r="B235" s="212"/>
      <c r="C235" s="212"/>
      <c r="D235" s="212"/>
      <c r="E235" s="212"/>
      <c r="F235" s="212"/>
      <c r="G235" s="212"/>
      <c r="H235" s="212"/>
      <c r="J235" s="212"/>
      <c r="K235" s="212"/>
    </row>
    <row r="236" spans="1:11" ht="12.75" customHeight="1">
      <c r="A236" s="212"/>
      <c r="B236" s="212"/>
      <c r="C236" s="212"/>
      <c r="D236" s="212"/>
      <c r="E236" s="212"/>
      <c r="F236" s="212"/>
      <c r="G236" s="212"/>
      <c r="H236" s="212"/>
      <c r="J236" s="212"/>
      <c r="K236" s="212"/>
    </row>
    <row r="237" spans="1:11" ht="12.75" customHeight="1">
      <c r="A237" s="212"/>
      <c r="B237" s="212"/>
      <c r="C237" s="212"/>
      <c r="D237" s="212"/>
      <c r="E237" s="212"/>
      <c r="F237" s="212"/>
      <c r="G237" s="212"/>
      <c r="H237" s="212"/>
      <c r="J237" s="212"/>
      <c r="K237" s="212"/>
    </row>
    <row r="238" spans="1:11" ht="12.75" customHeight="1">
      <c r="A238" s="212"/>
      <c r="B238" s="212"/>
      <c r="C238" s="212"/>
      <c r="D238" s="212"/>
      <c r="E238" s="212"/>
      <c r="F238" s="212"/>
      <c r="G238" s="212"/>
      <c r="H238" s="212"/>
      <c r="J238" s="212"/>
      <c r="K238" s="212"/>
    </row>
    <row r="239" spans="1:11" ht="12.75" customHeight="1">
      <c r="A239" s="212"/>
      <c r="B239" s="212"/>
      <c r="C239" s="212"/>
      <c r="D239" s="212"/>
      <c r="E239" s="212"/>
      <c r="F239" s="212"/>
      <c r="G239" s="212"/>
      <c r="H239" s="212"/>
      <c r="J239" s="212"/>
      <c r="K239" s="212"/>
    </row>
    <row r="240" spans="1:11" ht="12.75" customHeight="1">
      <c r="A240" s="212"/>
      <c r="B240" s="212"/>
      <c r="C240" s="212"/>
      <c r="D240" s="212"/>
      <c r="E240" s="212"/>
      <c r="F240" s="212"/>
      <c r="G240" s="212"/>
      <c r="H240" s="212"/>
      <c r="J240" s="212"/>
      <c r="K240" s="212"/>
    </row>
    <row r="241" spans="1:11" ht="12.75" customHeight="1">
      <c r="A241" s="212"/>
      <c r="B241" s="212"/>
      <c r="C241" s="212"/>
      <c r="D241" s="212"/>
      <c r="E241" s="212"/>
      <c r="F241" s="212"/>
      <c r="G241" s="212"/>
      <c r="H241" s="212"/>
      <c r="J241" s="212"/>
      <c r="K241" s="212"/>
    </row>
    <row r="242" spans="1:11" ht="12.75" customHeight="1">
      <c r="A242" s="212"/>
      <c r="B242" s="212"/>
      <c r="C242" s="212"/>
      <c r="D242" s="212"/>
      <c r="E242" s="212"/>
      <c r="F242" s="212"/>
      <c r="G242" s="212"/>
      <c r="H242" s="212"/>
      <c r="J242" s="212"/>
      <c r="K242" s="212"/>
    </row>
    <row r="243" spans="1:11" ht="12.75" customHeight="1">
      <c r="A243" s="212"/>
      <c r="B243" s="212"/>
      <c r="C243" s="212"/>
      <c r="D243" s="212"/>
      <c r="E243" s="212"/>
      <c r="F243" s="212"/>
      <c r="G243" s="212"/>
      <c r="H243" s="212"/>
      <c r="J243" s="212"/>
      <c r="K243" s="212"/>
    </row>
    <row r="244" spans="1:11" ht="12.75" customHeight="1">
      <c r="A244" s="212"/>
      <c r="B244" s="212"/>
      <c r="C244" s="212"/>
      <c r="D244" s="212"/>
      <c r="E244" s="212"/>
      <c r="F244" s="212"/>
      <c r="G244" s="212"/>
      <c r="H244" s="212"/>
      <c r="J244" s="212"/>
      <c r="K244" s="212"/>
    </row>
    <row r="245" spans="1:11" ht="12.75" customHeight="1">
      <c r="A245" s="212"/>
      <c r="B245" s="212"/>
      <c r="C245" s="212"/>
      <c r="D245" s="212"/>
      <c r="E245" s="212"/>
      <c r="F245" s="212"/>
      <c r="G245" s="212"/>
      <c r="H245" s="212"/>
      <c r="J245" s="212"/>
      <c r="K245" s="212"/>
    </row>
    <row r="246" spans="1:11" ht="12.75" customHeight="1">
      <c r="A246" s="212"/>
      <c r="B246" s="212"/>
      <c r="C246" s="212"/>
      <c r="D246" s="212"/>
      <c r="E246" s="212"/>
      <c r="F246" s="212"/>
      <c r="G246" s="212"/>
      <c r="H246" s="212"/>
      <c r="J246" s="212"/>
      <c r="K246" s="212"/>
    </row>
    <row r="247" spans="1:11" ht="12.75" customHeight="1">
      <c r="A247" s="212"/>
      <c r="B247" s="212"/>
      <c r="C247" s="212"/>
      <c r="D247" s="212"/>
      <c r="E247" s="212"/>
      <c r="F247" s="212"/>
      <c r="G247" s="212"/>
      <c r="H247" s="212"/>
      <c r="J247" s="212"/>
      <c r="K247" s="212"/>
    </row>
    <row r="248" spans="1:11" ht="12.75" customHeight="1">
      <c r="A248" s="212"/>
      <c r="B248" s="212"/>
      <c r="C248" s="212"/>
      <c r="D248" s="212"/>
      <c r="E248" s="212"/>
      <c r="F248" s="212"/>
      <c r="G248" s="212"/>
      <c r="H248" s="212"/>
      <c r="J248" s="212"/>
      <c r="K248" s="212"/>
    </row>
    <row r="249" spans="1:11" ht="12.75" customHeight="1">
      <c r="A249" s="212"/>
      <c r="B249" s="212"/>
      <c r="C249" s="212"/>
      <c r="D249" s="212"/>
      <c r="E249" s="212"/>
      <c r="F249" s="212"/>
      <c r="G249" s="212"/>
      <c r="H249" s="212"/>
      <c r="J249" s="212"/>
      <c r="K249" s="212"/>
    </row>
    <row r="250" spans="1:11" ht="12.75" customHeight="1">
      <c r="A250" s="212"/>
      <c r="B250" s="212"/>
      <c r="C250" s="212"/>
      <c r="D250" s="212"/>
      <c r="E250" s="212"/>
      <c r="F250" s="212"/>
      <c r="G250" s="212"/>
      <c r="H250" s="212"/>
      <c r="J250" s="212"/>
      <c r="K250" s="212"/>
    </row>
    <row r="251" spans="1:11" ht="12.75" customHeight="1">
      <c r="A251" s="212"/>
      <c r="B251" s="212"/>
      <c r="C251" s="212"/>
      <c r="D251" s="212"/>
      <c r="E251" s="212"/>
      <c r="F251" s="212"/>
      <c r="G251" s="212"/>
      <c r="H251" s="212"/>
      <c r="J251" s="212"/>
      <c r="K251" s="212"/>
    </row>
    <row r="252" spans="1:11" ht="12.75" customHeight="1">
      <c r="A252" s="212"/>
      <c r="B252" s="212"/>
      <c r="C252" s="212"/>
      <c r="D252" s="212"/>
      <c r="E252" s="212"/>
      <c r="F252" s="212"/>
      <c r="G252" s="212"/>
      <c r="H252" s="212"/>
      <c r="J252" s="212"/>
      <c r="K252" s="212"/>
    </row>
    <row r="253" spans="1:11" ht="12.75" customHeight="1">
      <c r="A253" s="212"/>
      <c r="B253" s="212"/>
      <c r="C253" s="212"/>
      <c r="D253" s="212"/>
      <c r="E253" s="212"/>
      <c r="F253" s="212"/>
      <c r="G253" s="212"/>
      <c r="H253" s="212"/>
      <c r="J253" s="212"/>
      <c r="K253" s="212"/>
    </row>
    <row r="254" spans="1:11" ht="12.75" customHeight="1">
      <c r="A254" s="212"/>
      <c r="B254" s="212"/>
      <c r="C254" s="212"/>
      <c r="D254" s="212"/>
      <c r="E254" s="212"/>
      <c r="F254" s="212"/>
      <c r="G254" s="212"/>
      <c r="H254" s="212"/>
      <c r="J254" s="212"/>
      <c r="K254" s="212"/>
    </row>
    <row r="255" spans="1:11" ht="12.75" customHeight="1">
      <c r="A255" s="212"/>
      <c r="B255" s="212"/>
      <c r="C255" s="212"/>
      <c r="D255" s="212"/>
      <c r="E255" s="212"/>
      <c r="F255" s="212"/>
      <c r="G255" s="212"/>
      <c r="H255" s="212"/>
      <c r="J255" s="212"/>
      <c r="K255" s="212"/>
    </row>
    <row r="256" spans="1:11" ht="12.75" customHeight="1">
      <c r="A256" s="212"/>
      <c r="B256" s="212"/>
      <c r="C256" s="212"/>
      <c r="D256" s="212"/>
      <c r="E256" s="212"/>
      <c r="F256" s="212"/>
      <c r="G256" s="212"/>
      <c r="H256" s="212"/>
      <c r="J256" s="212"/>
      <c r="K256" s="212"/>
    </row>
    <row r="257" spans="1:11" ht="12.75" customHeight="1">
      <c r="A257" s="212"/>
      <c r="B257" s="212"/>
      <c r="C257" s="212"/>
      <c r="D257" s="212"/>
      <c r="E257" s="212"/>
      <c r="F257" s="212"/>
      <c r="G257" s="212"/>
      <c r="H257" s="212"/>
      <c r="J257" s="212"/>
      <c r="K257" s="212"/>
    </row>
    <row r="258" spans="1:11" ht="12.75" customHeight="1">
      <c r="A258" s="212"/>
      <c r="B258" s="212"/>
      <c r="C258" s="212"/>
      <c r="D258" s="212"/>
      <c r="E258" s="212"/>
      <c r="F258" s="212"/>
      <c r="G258" s="212"/>
      <c r="H258" s="212"/>
      <c r="J258" s="212"/>
      <c r="K258" s="212"/>
    </row>
    <row r="259" spans="1:11" ht="12.75" customHeight="1">
      <c r="A259" s="212"/>
      <c r="B259" s="212"/>
      <c r="C259" s="212"/>
      <c r="D259" s="212"/>
      <c r="E259" s="212"/>
      <c r="F259" s="212"/>
      <c r="G259" s="212"/>
      <c r="H259" s="212"/>
      <c r="J259" s="212"/>
      <c r="K259" s="212"/>
    </row>
    <row r="260" spans="1:11" ht="12.75" customHeight="1">
      <c r="A260" s="212"/>
      <c r="B260" s="212"/>
      <c r="C260" s="212"/>
      <c r="D260" s="212"/>
      <c r="E260" s="212"/>
      <c r="F260" s="212"/>
      <c r="G260" s="212"/>
      <c r="H260" s="212"/>
      <c r="J260" s="212"/>
      <c r="K260" s="212"/>
    </row>
    <row r="261" spans="1:11" ht="12.75" customHeight="1">
      <c r="A261" s="212"/>
      <c r="B261" s="212"/>
      <c r="C261" s="212"/>
      <c r="D261" s="212"/>
      <c r="E261" s="212"/>
      <c r="F261" s="212"/>
      <c r="G261" s="212"/>
      <c r="H261" s="212"/>
      <c r="J261" s="212"/>
      <c r="K261" s="212"/>
    </row>
    <row r="262" spans="1:11" ht="12.75" customHeight="1">
      <c r="A262" s="212"/>
      <c r="B262" s="212"/>
      <c r="C262" s="212"/>
      <c r="D262" s="212"/>
      <c r="E262" s="212"/>
      <c r="F262" s="212"/>
      <c r="G262" s="212"/>
      <c r="H262" s="212"/>
      <c r="J262" s="212"/>
      <c r="K262" s="212"/>
    </row>
    <row r="263" spans="1:11" ht="12.75" customHeight="1">
      <c r="A263" s="212"/>
      <c r="B263" s="212"/>
      <c r="C263" s="212"/>
      <c r="D263" s="212"/>
      <c r="E263" s="212"/>
      <c r="F263" s="212"/>
      <c r="G263" s="212"/>
      <c r="H263" s="212"/>
      <c r="J263" s="212"/>
      <c r="K263" s="212"/>
    </row>
    <row r="264" spans="1:11" ht="12.75" customHeight="1">
      <c r="A264" s="212"/>
      <c r="B264" s="212"/>
      <c r="C264" s="212"/>
      <c r="D264" s="212"/>
      <c r="E264" s="212"/>
      <c r="F264" s="212"/>
      <c r="G264" s="212"/>
      <c r="H264" s="212"/>
      <c r="J264" s="212"/>
      <c r="K264" s="212"/>
    </row>
    <row r="265" spans="1:11" ht="12.75" customHeight="1">
      <c r="A265" s="212"/>
      <c r="B265" s="212"/>
      <c r="C265" s="212"/>
      <c r="D265" s="212"/>
      <c r="E265" s="212"/>
      <c r="F265" s="212"/>
      <c r="G265" s="212"/>
      <c r="H265" s="212"/>
      <c r="J265" s="212"/>
      <c r="K265" s="212"/>
    </row>
    <row r="266" spans="1:11" ht="12.75" customHeight="1">
      <c r="A266" s="212"/>
      <c r="B266" s="212"/>
      <c r="C266" s="212"/>
      <c r="D266" s="212"/>
      <c r="E266" s="212"/>
      <c r="F266" s="212"/>
      <c r="G266" s="212"/>
      <c r="H266" s="212"/>
      <c r="J266" s="212"/>
      <c r="K266" s="212"/>
    </row>
    <row r="267" spans="1:11" ht="12.75" customHeight="1">
      <c r="A267" s="212"/>
      <c r="B267" s="212"/>
      <c r="C267" s="212"/>
      <c r="D267" s="212"/>
      <c r="E267" s="212"/>
      <c r="F267" s="212"/>
      <c r="G267" s="212"/>
      <c r="H267" s="212"/>
      <c r="J267" s="212"/>
      <c r="K267" s="212"/>
    </row>
    <row r="268" spans="1:11" ht="12.75" customHeight="1">
      <c r="A268" s="212"/>
      <c r="B268" s="212"/>
      <c r="C268" s="212"/>
      <c r="D268" s="212"/>
      <c r="E268" s="212"/>
      <c r="F268" s="212"/>
      <c r="G268" s="212"/>
      <c r="H268" s="212"/>
      <c r="J268" s="212"/>
      <c r="K268" s="212"/>
    </row>
    <row r="269" spans="1:11" ht="12.75" customHeight="1">
      <c r="A269" s="212"/>
      <c r="B269" s="212"/>
      <c r="C269" s="212"/>
      <c r="D269" s="212"/>
      <c r="E269" s="212"/>
      <c r="F269" s="212"/>
      <c r="G269" s="212"/>
      <c r="H269" s="212"/>
      <c r="J269" s="212"/>
      <c r="K269" s="212"/>
    </row>
    <row r="270" spans="1:11" ht="12.75" customHeight="1">
      <c r="A270" s="212"/>
      <c r="B270" s="212"/>
      <c r="C270" s="212"/>
      <c r="D270" s="212"/>
      <c r="E270" s="212"/>
      <c r="F270" s="212"/>
      <c r="G270" s="212"/>
      <c r="H270" s="212"/>
      <c r="J270" s="212"/>
      <c r="K270" s="212"/>
    </row>
    <row r="271" spans="1:11" ht="12.75" customHeight="1">
      <c r="A271" s="212"/>
      <c r="B271" s="212"/>
      <c r="C271" s="212"/>
      <c r="D271" s="212"/>
      <c r="E271" s="212"/>
      <c r="F271" s="212"/>
      <c r="G271" s="212"/>
      <c r="H271" s="212"/>
      <c r="J271" s="212"/>
      <c r="K271" s="212"/>
    </row>
    <row r="272" spans="1:11" ht="12.75" customHeight="1">
      <c r="A272" s="212"/>
      <c r="B272" s="212"/>
      <c r="C272" s="212"/>
      <c r="D272" s="212"/>
      <c r="E272" s="212"/>
      <c r="F272" s="212"/>
      <c r="G272" s="212"/>
      <c r="H272" s="212"/>
      <c r="J272" s="212"/>
      <c r="K272" s="212"/>
    </row>
    <row r="273" spans="1:11" ht="12.75" customHeight="1">
      <c r="A273" s="212"/>
      <c r="B273" s="212"/>
      <c r="C273" s="212"/>
      <c r="D273" s="212"/>
      <c r="E273" s="212"/>
      <c r="F273" s="212"/>
      <c r="G273" s="212"/>
      <c r="H273" s="212"/>
      <c r="J273" s="212"/>
      <c r="K273" s="212"/>
    </row>
    <row r="274" spans="1:11" ht="12.75" customHeight="1">
      <c r="A274" s="212"/>
      <c r="B274" s="212"/>
      <c r="C274" s="212"/>
      <c r="D274" s="212"/>
      <c r="E274" s="212"/>
      <c r="F274" s="212"/>
      <c r="G274" s="212"/>
      <c r="H274" s="212"/>
      <c r="J274" s="212"/>
      <c r="K274" s="212"/>
    </row>
    <row r="275" spans="1:11" ht="12.75" customHeight="1">
      <c r="A275" s="212"/>
      <c r="B275" s="212"/>
      <c r="C275" s="212"/>
      <c r="D275" s="212"/>
      <c r="E275" s="212"/>
      <c r="F275" s="212"/>
      <c r="G275" s="212"/>
      <c r="H275" s="212"/>
      <c r="J275" s="212"/>
      <c r="K275" s="212"/>
    </row>
    <row r="276" spans="1:11" ht="12.75" customHeight="1">
      <c r="A276" s="212"/>
      <c r="B276" s="212"/>
      <c r="C276" s="212"/>
      <c r="D276" s="212"/>
      <c r="E276" s="212"/>
      <c r="F276" s="212"/>
      <c r="G276" s="212"/>
      <c r="H276" s="212"/>
      <c r="J276" s="212"/>
      <c r="K276" s="212"/>
    </row>
    <row r="277" spans="1:11" ht="12.75" customHeight="1">
      <c r="A277" s="212"/>
      <c r="B277" s="212"/>
      <c r="C277" s="212"/>
      <c r="D277" s="212"/>
      <c r="E277" s="212"/>
      <c r="F277" s="212"/>
      <c r="G277" s="212"/>
      <c r="H277" s="212"/>
      <c r="J277" s="212"/>
      <c r="K277" s="212"/>
    </row>
    <row r="278" spans="1:11" ht="12.75" customHeight="1">
      <c r="A278" s="212"/>
      <c r="B278" s="212"/>
      <c r="C278" s="212"/>
      <c r="D278" s="212"/>
      <c r="E278" s="212"/>
      <c r="F278" s="212"/>
      <c r="G278" s="212"/>
      <c r="H278" s="212"/>
      <c r="J278" s="212"/>
      <c r="K278" s="212"/>
    </row>
    <row r="279" spans="1:11" ht="12.75" customHeight="1">
      <c r="A279" s="212"/>
      <c r="B279" s="212"/>
      <c r="C279" s="212"/>
      <c r="D279" s="212"/>
      <c r="E279" s="212"/>
      <c r="F279" s="212"/>
      <c r="G279" s="212"/>
      <c r="H279" s="212"/>
      <c r="J279" s="212"/>
      <c r="K279" s="212"/>
    </row>
    <row r="280" spans="1:11" ht="12.75" customHeight="1">
      <c r="A280" s="212"/>
      <c r="B280" s="212"/>
      <c r="C280" s="212"/>
      <c r="D280" s="212"/>
      <c r="E280" s="212"/>
      <c r="F280" s="212"/>
      <c r="G280" s="212"/>
      <c r="H280" s="212"/>
      <c r="J280" s="212"/>
      <c r="K280" s="212"/>
    </row>
    <row r="281" spans="1:11" ht="12.75" customHeight="1">
      <c r="A281" s="212"/>
      <c r="B281" s="212"/>
      <c r="C281" s="212"/>
      <c r="D281" s="212"/>
      <c r="E281" s="212"/>
      <c r="F281" s="212"/>
      <c r="G281" s="212"/>
      <c r="H281" s="212"/>
      <c r="J281" s="212"/>
      <c r="K281" s="212"/>
    </row>
    <row r="282" spans="1:11" ht="12.75" customHeight="1">
      <c r="A282" s="212"/>
      <c r="B282" s="212"/>
      <c r="C282" s="212"/>
      <c r="D282" s="212"/>
      <c r="E282" s="212"/>
      <c r="F282" s="212"/>
      <c r="G282" s="212"/>
      <c r="H282" s="212"/>
      <c r="J282" s="212"/>
      <c r="K282" s="212"/>
    </row>
    <row r="283" spans="1:11" ht="12.75" customHeight="1">
      <c r="A283" s="212"/>
      <c r="B283" s="212"/>
      <c r="C283" s="212"/>
      <c r="D283" s="212"/>
      <c r="E283" s="212"/>
      <c r="F283" s="212"/>
      <c r="G283" s="212"/>
      <c r="H283" s="212"/>
      <c r="J283" s="212"/>
      <c r="K283" s="212"/>
    </row>
    <row r="284" spans="1:11" ht="12.75" customHeight="1">
      <c r="A284" s="212"/>
      <c r="B284" s="212"/>
      <c r="C284" s="212"/>
      <c r="D284" s="212"/>
      <c r="E284" s="212"/>
      <c r="F284" s="212"/>
      <c r="G284" s="212"/>
      <c r="H284" s="212"/>
      <c r="J284" s="212"/>
      <c r="K284" s="212"/>
    </row>
    <row r="285" spans="1:11" ht="12.75" customHeight="1">
      <c r="A285" s="212"/>
      <c r="B285" s="212"/>
      <c r="C285" s="212"/>
      <c r="D285" s="212"/>
      <c r="E285" s="212"/>
      <c r="F285" s="212"/>
      <c r="G285" s="212"/>
      <c r="H285" s="212"/>
      <c r="J285" s="212"/>
      <c r="K285" s="212"/>
    </row>
    <row r="286" spans="1:11" ht="12.75" customHeight="1">
      <c r="A286" s="212"/>
      <c r="B286" s="212"/>
      <c r="C286" s="212"/>
      <c r="D286" s="212"/>
      <c r="E286" s="212"/>
      <c r="F286" s="212"/>
      <c r="G286" s="212"/>
      <c r="H286" s="212"/>
      <c r="J286" s="212"/>
      <c r="K286" s="212"/>
    </row>
    <row r="287" spans="1:11" ht="12.75" customHeight="1">
      <c r="A287" s="212"/>
      <c r="B287" s="212"/>
      <c r="C287" s="212"/>
      <c r="D287" s="212"/>
      <c r="E287" s="212"/>
      <c r="F287" s="212"/>
      <c r="G287" s="212"/>
      <c r="H287" s="212"/>
      <c r="J287" s="212"/>
      <c r="K287" s="212"/>
    </row>
    <row r="288" spans="1:11" ht="12.75" customHeight="1">
      <c r="A288" s="212"/>
      <c r="B288" s="212"/>
      <c r="C288" s="212"/>
      <c r="D288" s="212"/>
      <c r="E288" s="212"/>
      <c r="F288" s="212"/>
      <c r="G288" s="212"/>
      <c r="H288" s="212"/>
      <c r="J288" s="212"/>
      <c r="K288" s="212"/>
    </row>
    <row r="289" spans="1:11" ht="12.75" customHeight="1">
      <c r="A289" s="212"/>
      <c r="B289" s="212"/>
      <c r="C289" s="212"/>
      <c r="D289" s="212"/>
      <c r="E289" s="212"/>
      <c r="F289" s="212"/>
      <c r="G289" s="212"/>
      <c r="H289" s="212"/>
      <c r="J289" s="212"/>
      <c r="K289" s="212"/>
    </row>
    <row r="290" spans="1:11" ht="12.75" customHeight="1">
      <c r="A290" s="212"/>
      <c r="B290" s="212"/>
      <c r="C290" s="212"/>
      <c r="D290" s="212"/>
      <c r="E290" s="212"/>
      <c r="F290" s="212"/>
      <c r="G290" s="212"/>
      <c r="H290" s="212"/>
      <c r="J290" s="212"/>
      <c r="K290" s="212"/>
    </row>
    <row r="291" spans="1:11" ht="12.75" customHeight="1">
      <c r="A291" s="212"/>
      <c r="B291" s="212"/>
      <c r="C291" s="212"/>
      <c r="D291" s="212"/>
      <c r="E291" s="212"/>
      <c r="F291" s="212"/>
      <c r="G291" s="212"/>
      <c r="H291" s="212"/>
      <c r="J291" s="212"/>
      <c r="K291" s="212"/>
    </row>
    <row r="292" spans="1:11" ht="12.75" customHeight="1">
      <c r="A292" s="212"/>
      <c r="B292" s="212"/>
      <c r="C292" s="212"/>
      <c r="D292" s="212"/>
      <c r="E292" s="212"/>
      <c r="F292" s="212"/>
      <c r="G292" s="212"/>
      <c r="H292" s="212"/>
      <c r="J292" s="212"/>
      <c r="K292" s="212"/>
    </row>
    <row r="293" spans="1:11" ht="12.75" customHeight="1">
      <c r="A293" s="212"/>
      <c r="B293" s="212"/>
      <c r="C293" s="212"/>
      <c r="D293" s="212"/>
      <c r="E293" s="212"/>
      <c r="F293" s="212"/>
      <c r="G293" s="212"/>
      <c r="H293" s="212"/>
      <c r="J293" s="212"/>
      <c r="K293" s="212"/>
    </row>
    <row r="294" spans="1:11" ht="12.75" customHeight="1">
      <c r="A294" s="212"/>
      <c r="B294" s="212"/>
      <c r="C294" s="212"/>
      <c r="D294" s="212"/>
      <c r="E294" s="212"/>
      <c r="F294" s="212"/>
      <c r="G294" s="212"/>
      <c r="H294" s="212"/>
      <c r="J294" s="212"/>
      <c r="K294" s="212"/>
    </row>
    <row r="295" spans="1:11" ht="12.75" customHeight="1">
      <c r="A295" s="212"/>
      <c r="B295" s="212"/>
      <c r="C295" s="212"/>
      <c r="D295" s="212"/>
      <c r="E295" s="212"/>
      <c r="F295" s="212"/>
      <c r="G295" s="212"/>
      <c r="H295" s="212"/>
      <c r="J295" s="212"/>
      <c r="K295" s="212"/>
    </row>
    <row r="296" spans="1:11" ht="12.75" customHeight="1">
      <c r="A296" s="212"/>
      <c r="B296" s="212"/>
      <c r="C296" s="212"/>
      <c r="D296" s="212"/>
      <c r="E296" s="212"/>
      <c r="F296" s="212"/>
      <c r="G296" s="212"/>
      <c r="H296" s="212"/>
      <c r="J296" s="212"/>
      <c r="K296" s="212"/>
    </row>
    <row r="297" spans="1:11" ht="12.75" customHeight="1">
      <c r="A297" s="212"/>
      <c r="B297" s="212"/>
      <c r="C297" s="212"/>
      <c r="D297" s="212"/>
      <c r="E297" s="212"/>
      <c r="F297" s="212"/>
      <c r="G297" s="212"/>
      <c r="H297" s="212"/>
      <c r="J297" s="212"/>
      <c r="K297" s="212"/>
    </row>
    <row r="298" spans="1:11" ht="12.75" customHeight="1">
      <c r="A298" s="212"/>
      <c r="B298" s="212"/>
      <c r="C298" s="212"/>
      <c r="D298" s="212"/>
      <c r="E298" s="212"/>
      <c r="F298" s="212"/>
      <c r="G298" s="212"/>
      <c r="H298" s="212"/>
      <c r="J298" s="212"/>
      <c r="K298" s="212"/>
    </row>
    <row r="299" spans="1:11" ht="12.75" customHeight="1">
      <c r="A299" s="212"/>
      <c r="B299" s="212"/>
      <c r="C299" s="212"/>
      <c r="D299" s="212"/>
      <c r="E299" s="212"/>
      <c r="F299" s="212"/>
      <c r="G299" s="212"/>
      <c r="H299" s="212"/>
      <c r="J299" s="212"/>
      <c r="K299" s="212"/>
    </row>
    <row r="300" spans="1:11" ht="12.75" customHeight="1">
      <c r="A300" s="212"/>
      <c r="B300" s="212"/>
      <c r="C300" s="212"/>
      <c r="D300" s="212"/>
      <c r="E300" s="212"/>
      <c r="F300" s="212"/>
      <c r="G300" s="212"/>
      <c r="H300" s="212"/>
      <c r="J300" s="212"/>
      <c r="K300" s="212"/>
    </row>
    <row r="301" spans="1:11" ht="12.75" customHeight="1">
      <c r="A301" s="212"/>
      <c r="B301" s="212"/>
      <c r="C301" s="212"/>
      <c r="D301" s="212"/>
      <c r="E301" s="212"/>
      <c r="F301" s="212"/>
      <c r="G301" s="212"/>
      <c r="H301" s="212"/>
      <c r="J301" s="212"/>
      <c r="K301" s="212"/>
    </row>
    <row r="302" spans="1:11" ht="12.75" customHeight="1">
      <c r="A302" s="212"/>
      <c r="B302" s="212"/>
      <c r="C302" s="212"/>
      <c r="D302" s="212"/>
      <c r="E302" s="212"/>
      <c r="F302" s="212"/>
      <c r="G302" s="212"/>
      <c r="H302" s="212"/>
      <c r="J302" s="212"/>
      <c r="K302" s="212"/>
    </row>
    <row r="303" spans="1:11" ht="12.75" customHeight="1">
      <c r="A303" s="212"/>
      <c r="B303" s="212"/>
      <c r="C303" s="212"/>
      <c r="D303" s="212"/>
      <c r="E303" s="212"/>
      <c r="F303" s="212"/>
      <c r="G303" s="212"/>
      <c r="H303" s="212"/>
      <c r="J303" s="212"/>
      <c r="K303" s="212"/>
    </row>
    <row r="304" spans="1:11" ht="12.75" customHeight="1">
      <c r="A304" s="212"/>
      <c r="B304" s="212"/>
      <c r="C304" s="212"/>
      <c r="D304" s="212"/>
      <c r="E304" s="212"/>
      <c r="F304" s="212"/>
      <c r="G304" s="212"/>
      <c r="H304" s="212"/>
      <c r="J304" s="212"/>
      <c r="K304" s="212"/>
    </row>
    <row r="305" spans="1:11" ht="12.75" customHeight="1">
      <c r="A305" s="212"/>
      <c r="B305" s="212"/>
      <c r="C305" s="212"/>
      <c r="D305" s="212"/>
      <c r="E305" s="212"/>
      <c r="F305" s="212"/>
      <c r="G305" s="212"/>
      <c r="H305" s="212"/>
      <c r="J305" s="212"/>
      <c r="K305" s="212"/>
    </row>
    <row r="306" spans="1:11" ht="12.75" customHeight="1">
      <c r="A306" s="212"/>
      <c r="B306" s="212"/>
      <c r="C306" s="212"/>
      <c r="D306" s="212"/>
      <c r="E306" s="212"/>
      <c r="F306" s="212"/>
      <c r="G306" s="212"/>
      <c r="H306" s="212"/>
      <c r="J306" s="212"/>
      <c r="K306" s="212"/>
    </row>
    <row r="307" spans="1:11" ht="12.75" customHeight="1">
      <c r="A307" s="212"/>
      <c r="B307" s="212"/>
      <c r="C307" s="212"/>
      <c r="D307" s="212"/>
      <c r="E307" s="212"/>
      <c r="F307" s="212"/>
      <c r="G307" s="212"/>
      <c r="H307" s="212"/>
      <c r="J307" s="212"/>
      <c r="K307" s="212"/>
    </row>
    <row r="308" spans="1:11" ht="12.75" customHeight="1">
      <c r="A308" s="212"/>
      <c r="B308" s="212"/>
      <c r="C308" s="212"/>
      <c r="D308" s="212"/>
      <c r="E308" s="212"/>
      <c r="F308" s="212"/>
      <c r="G308" s="212"/>
      <c r="H308" s="212"/>
      <c r="J308" s="212"/>
      <c r="K308" s="212"/>
    </row>
    <row r="309" spans="1:11" ht="12.75" customHeight="1">
      <c r="A309" s="212"/>
      <c r="B309" s="212"/>
      <c r="C309" s="212"/>
      <c r="D309" s="212"/>
      <c r="E309" s="212"/>
      <c r="F309" s="212"/>
      <c r="G309" s="212"/>
      <c r="H309" s="212"/>
      <c r="J309" s="212"/>
      <c r="K309" s="212"/>
    </row>
    <row r="310" spans="1:11" ht="12.75" customHeight="1">
      <c r="A310" s="212"/>
      <c r="B310" s="212"/>
      <c r="C310" s="212"/>
      <c r="D310" s="212"/>
      <c r="E310" s="212"/>
      <c r="F310" s="212"/>
      <c r="G310" s="212"/>
      <c r="H310" s="212"/>
      <c r="J310" s="212"/>
      <c r="K310" s="212"/>
    </row>
    <row r="311" spans="1:11" ht="12.75" customHeight="1">
      <c r="A311" s="212"/>
      <c r="B311" s="212"/>
      <c r="C311" s="212"/>
      <c r="D311" s="212"/>
      <c r="E311" s="212"/>
      <c r="F311" s="212"/>
      <c r="G311" s="212"/>
      <c r="H311" s="212"/>
      <c r="J311" s="212"/>
      <c r="K311" s="212"/>
    </row>
    <row r="312" spans="1:11" ht="12.75" customHeight="1">
      <c r="A312" s="212"/>
      <c r="B312" s="212"/>
      <c r="C312" s="212"/>
      <c r="D312" s="212"/>
      <c r="E312" s="212"/>
      <c r="F312" s="212"/>
      <c r="G312" s="212"/>
      <c r="H312" s="212"/>
      <c r="J312" s="212"/>
      <c r="K312" s="212"/>
    </row>
    <row r="313" spans="1:11" ht="12.75" customHeight="1">
      <c r="A313" s="212"/>
      <c r="B313" s="212"/>
      <c r="C313" s="212"/>
      <c r="D313" s="212"/>
      <c r="E313" s="212"/>
      <c r="F313" s="212"/>
      <c r="G313" s="212"/>
      <c r="H313" s="212"/>
      <c r="J313" s="212"/>
      <c r="K313" s="212"/>
    </row>
    <row r="314" spans="1:11" ht="12.75" customHeight="1">
      <c r="A314" s="212"/>
      <c r="B314" s="212"/>
      <c r="C314" s="212"/>
      <c r="D314" s="212"/>
      <c r="E314" s="212"/>
      <c r="F314" s="212"/>
      <c r="G314" s="212"/>
      <c r="H314" s="212"/>
      <c r="J314" s="212"/>
      <c r="K314" s="212"/>
    </row>
    <row r="315" spans="1:11" ht="12.75" customHeight="1">
      <c r="A315" s="212"/>
      <c r="B315" s="212"/>
      <c r="C315" s="212"/>
      <c r="D315" s="212"/>
      <c r="E315" s="212"/>
      <c r="F315" s="212"/>
      <c r="G315" s="212"/>
      <c r="H315" s="212"/>
      <c r="J315" s="212"/>
      <c r="K315" s="212"/>
    </row>
    <row r="316" spans="1:11" ht="12.75" customHeight="1">
      <c r="A316" s="212"/>
      <c r="B316" s="212"/>
      <c r="C316" s="212"/>
      <c r="D316" s="212"/>
      <c r="E316" s="212"/>
      <c r="F316" s="212"/>
      <c r="G316" s="212"/>
      <c r="H316" s="212"/>
      <c r="J316" s="212"/>
      <c r="K316" s="212"/>
    </row>
    <row r="317" spans="1:11" ht="12.75" customHeight="1">
      <c r="A317" s="212"/>
      <c r="B317" s="212"/>
      <c r="C317" s="212"/>
      <c r="D317" s="212"/>
      <c r="E317" s="212"/>
      <c r="F317" s="212"/>
      <c r="G317" s="212"/>
      <c r="H317" s="212"/>
      <c r="J317" s="212"/>
      <c r="K317" s="212"/>
    </row>
    <row r="318" spans="1:11" ht="12.75" customHeight="1">
      <c r="A318" s="212"/>
      <c r="B318" s="212"/>
      <c r="C318" s="212"/>
      <c r="D318" s="212"/>
      <c r="E318" s="212"/>
      <c r="F318" s="212"/>
      <c r="G318" s="212"/>
      <c r="H318" s="212"/>
      <c r="J318" s="212"/>
      <c r="K318" s="212"/>
    </row>
    <row r="319" spans="1:11" ht="12.75" customHeight="1">
      <c r="A319" s="212"/>
      <c r="B319" s="212"/>
      <c r="C319" s="212"/>
      <c r="D319" s="212"/>
      <c r="E319" s="212"/>
      <c r="F319" s="212"/>
      <c r="G319" s="212"/>
      <c r="H319" s="212"/>
      <c r="J319" s="212"/>
      <c r="K319" s="212"/>
    </row>
    <row r="320" spans="1:11" ht="12.75" customHeight="1">
      <c r="A320" s="212"/>
      <c r="B320" s="212"/>
      <c r="C320" s="212"/>
      <c r="D320" s="212"/>
      <c r="E320" s="212"/>
      <c r="F320" s="212"/>
      <c r="G320" s="212"/>
      <c r="H320" s="212"/>
      <c r="J320" s="212"/>
      <c r="K320" s="212"/>
    </row>
    <row r="321" spans="1:11" ht="12.75" customHeight="1">
      <c r="A321" s="212"/>
      <c r="B321" s="212"/>
      <c r="C321" s="212"/>
      <c r="D321" s="212"/>
      <c r="E321" s="212"/>
      <c r="F321" s="212"/>
      <c r="G321" s="212"/>
      <c r="H321" s="212"/>
      <c r="J321" s="212"/>
      <c r="K321" s="212"/>
    </row>
    <row r="322" spans="1:11" ht="12.75" customHeight="1">
      <c r="A322" s="212"/>
      <c r="B322" s="212"/>
      <c r="C322" s="212"/>
      <c r="D322" s="212"/>
      <c r="E322" s="212"/>
      <c r="F322" s="212"/>
      <c r="G322" s="212"/>
      <c r="H322" s="212"/>
      <c r="J322" s="212"/>
      <c r="K322" s="212"/>
    </row>
    <row r="323" spans="1:11" ht="12.75" customHeight="1">
      <c r="A323" s="212"/>
      <c r="B323" s="212"/>
      <c r="C323" s="212"/>
      <c r="D323" s="212"/>
      <c r="E323" s="212"/>
      <c r="F323" s="212"/>
      <c r="G323" s="212"/>
      <c r="H323" s="212"/>
      <c r="J323" s="212"/>
      <c r="K323" s="212"/>
    </row>
    <row r="324" spans="1:11" ht="12.75" customHeight="1">
      <c r="A324" s="212"/>
      <c r="B324" s="212"/>
      <c r="C324" s="212"/>
      <c r="D324" s="212"/>
      <c r="E324" s="212"/>
      <c r="F324" s="212"/>
      <c r="G324" s="212"/>
      <c r="H324" s="212"/>
      <c r="J324" s="212"/>
      <c r="K324" s="212"/>
    </row>
    <row r="325" spans="1:11" ht="12.75" customHeight="1">
      <c r="A325" s="212"/>
      <c r="B325" s="212"/>
      <c r="C325" s="212"/>
      <c r="D325" s="212"/>
      <c r="E325" s="212"/>
      <c r="F325" s="212"/>
      <c r="G325" s="212"/>
      <c r="H325" s="212"/>
      <c r="J325" s="212"/>
      <c r="K325" s="212"/>
    </row>
    <row r="326" spans="1:11" ht="12.75" customHeight="1">
      <c r="A326" s="212"/>
      <c r="B326" s="212"/>
      <c r="C326" s="212"/>
      <c r="D326" s="212"/>
      <c r="E326" s="212"/>
      <c r="F326" s="212"/>
      <c r="G326" s="212"/>
      <c r="H326" s="212"/>
      <c r="J326" s="212"/>
      <c r="K326" s="212"/>
    </row>
    <row r="327" spans="1:11" ht="12.75" customHeight="1">
      <c r="A327" s="212"/>
      <c r="B327" s="212"/>
      <c r="C327" s="212"/>
      <c r="D327" s="212"/>
      <c r="E327" s="212"/>
      <c r="F327" s="212"/>
      <c r="G327" s="212"/>
      <c r="H327" s="212"/>
      <c r="J327" s="212"/>
      <c r="K327" s="212"/>
    </row>
    <row r="328" spans="1:11" ht="12.75" customHeight="1">
      <c r="A328" s="212"/>
      <c r="B328" s="212"/>
      <c r="C328" s="212"/>
      <c r="D328" s="212"/>
      <c r="E328" s="212"/>
      <c r="F328" s="212"/>
      <c r="G328" s="212"/>
      <c r="H328" s="212"/>
      <c r="J328" s="212"/>
      <c r="K328" s="212"/>
    </row>
    <row r="329" spans="1:11" ht="12.75" customHeight="1">
      <c r="A329" s="212"/>
      <c r="B329" s="212"/>
      <c r="C329" s="212"/>
      <c r="D329" s="212"/>
      <c r="E329" s="212"/>
      <c r="F329" s="212"/>
      <c r="G329" s="212"/>
      <c r="H329" s="212"/>
      <c r="J329" s="212"/>
      <c r="K329" s="212"/>
    </row>
    <row r="330" spans="1:11" ht="12.75" customHeight="1">
      <c r="A330" s="212"/>
      <c r="B330" s="212"/>
      <c r="C330" s="212"/>
      <c r="D330" s="212"/>
      <c r="E330" s="212"/>
      <c r="F330" s="212"/>
      <c r="G330" s="212"/>
      <c r="H330" s="212"/>
      <c r="J330" s="212"/>
      <c r="K330" s="212"/>
    </row>
    <row r="331" spans="1:11" ht="12.75" customHeight="1">
      <c r="A331" s="212"/>
      <c r="B331" s="212"/>
      <c r="C331" s="212"/>
      <c r="D331" s="212"/>
      <c r="E331" s="212"/>
      <c r="F331" s="212"/>
      <c r="G331" s="212"/>
      <c r="H331" s="212"/>
      <c r="J331" s="212"/>
      <c r="K331" s="212"/>
    </row>
    <row r="332" spans="1:11" ht="12.75" customHeight="1">
      <c r="A332" s="212"/>
      <c r="B332" s="212"/>
      <c r="C332" s="212"/>
      <c r="D332" s="212"/>
      <c r="E332" s="212"/>
      <c r="F332" s="212"/>
      <c r="G332" s="212"/>
      <c r="H332" s="212"/>
      <c r="J332" s="212"/>
      <c r="K332" s="212"/>
    </row>
    <row r="333" spans="1:11" ht="12.75" customHeight="1">
      <c r="A333" s="212"/>
      <c r="B333" s="212"/>
      <c r="C333" s="212"/>
      <c r="D333" s="212"/>
      <c r="E333" s="212"/>
      <c r="F333" s="212"/>
      <c r="G333" s="212"/>
      <c r="H333" s="212"/>
      <c r="J333" s="212"/>
      <c r="K333" s="212"/>
    </row>
    <row r="334" spans="1:11" ht="12.75" customHeight="1">
      <c r="A334" s="212"/>
      <c r="B334" s="212"/>
      <c r="C334" s="212"/>
      <c r="D334" s="212"/>
      <c r="E334" s="212"/>
      <c r="F334" s="212"/>
      <c r="G334" s="212"/>
      <c r="H334" s="212"/>
      <c r="J334" s="212"/>
      <c r="K334" s="212"/>
    </row>
    <row r="335" spans="1:11" ht="12.75" customHeight="1">
      <c r="A335" s="212"/>
      <c r="B335" s="212"/>
      <c r="C335" s="212"/>
      <c r="D335" s="212"/>
      <c r="E335" s="212"/>
      <c r="F335" s="212"/>
      <c r="G335" s="212"/>
      <c r="H335" s="212"/>
      <c r="J335" s="212"/>
      <c r="K335" s="212"/>
    </row>
    <row r="336" spans="1:11" ht="12.75" customHeight="1">
      <c r="A336" s="212"/>
      <c r="B336" s="212"/>
      <c r="C336" s="212"/>
      <c r="D336" s="212"/>
      <c r="E336" s="212"/>
      <c r="F336" s="212"/>
      <c r="G336" s="212"/>
      <c r="H336" s="212"/>
      <c r="J336" s="212"/>
      <c r="K336" s="212"/>
    </row>
    <row r="337" spans="1:11" ht="12.75" customHeight="1">
      <c r="A337" s="212"/>
      <c r="B337" s="212"/>
      <c r="C337" s="212"/>
      <c r="D337" s="212"/>
      <c r="E337" s="212"/>
      <c r="F337" s="212"/>
      <c r="G337" s="212"/>
      <c r="H337" s="212"/>
      <c r="J337" s="212"/>
      <c r="K337" s="212"/>
    </row>
    <row r="338" spans="1:11" ht="12.75" customHeight="1">
      <c r="A338" s="212"/>
      <c r="B338" s="212"/>
      <c r="C338" s="212"/>
      <c r="D338" s="212"/>
      <c r="E338" s="212"/>
      <c r="F338" s="212"/>
      <c r="G338" s="212"/>
      <c r="H338" s="212"/>
      <c r="J338" s="212"/>
      <c r="K338" s="212"/>
    </row>
    <row r="339" spans="1:11" ht="12.75" customHeight="1">
      <c r="A339" s="212"/>
      <c r="B339" s="212"/>
      <c r="C339" s="212"/>
      <c r="D339" s="212"/>
      <c r="E339" s="212"/>
      <c r="F339" s="212"/>
      <c r="G339" s="212"/>
      <c r="H339" s="212"/>
      <c r="J339" s="212"/>
      <c r="K339" s="212"/>
    </row>
    <row r="340" spans="1:11" ht="12.75" customHeight="1">
      <c r="A340" s="212"/>
      <c r="B340" s="212"/>
      <c r="C340" s="212"/>
      <c r="D340" s="212"/>
      <c r="E340" s="212"/>
      <c r="F340" s="212"/>
      <c r="G340" s="212"/>
      <c r="H340" s="212"/>
      <c r="J340" s="212"/>
      <c r="K340" s="212"/>
    </row>
    <row r="341" spans="1:11" ht="12.75" customHeight="1">
      <c r="A341" s="212"/>
      <c r="B341" s="212"/>
      <c r="C341" s="212"/>
      <c r="D341" s="212"/>
      <c r="E341" s="212"/>
      <c r="F341" s="212"/>
      <c r="G341" s="212"/>
      <c r="H341" s="212"/>
      <c r="J341" s="212"/>
      <c r="K341" s="212"/>
    </row>
    <row r="342" spans="1:11" ht="12.75" customHeight="1">
      <c r="A342" s="212"/>
      <c r="B342" s="212"/>
      <c r="C342" s="212"/>
      <c r="D342" s="212"/>
      <c r="E342" s="212"/>
      <c r="F342" s="212"/>
      <c r="G342" s="212"/>
      <c r="H342" s="212"/>
      <c r="J342" s="212"/>
      <c r="K342" s="212"/>
    </row>
    <row r="343" spans="1:11" ht="12.75" customHeight="1">
      <c r="A343" s="212"/>
      <c r="B343" s="212"/>
      <c r="C343" s="212"/>
      <c r="D343" s="212"/>
      <c r="E343" s="212"/>
      <c r="F343" s="212"/>
      <c r="G343" s="212"/>
      <c r="H343" s="212"/>
      <c r="J343" s="212"/>
      <c r="K343" s="212"/>
    </row>
    <row r="344" spans="1:11" ht="12.75" customHeight="1">
      <c r="A344" s="212"/>
      <c r="B344" s="212"/>
      <c r="C344" s="212"/>
      <c r="D344" s="212"/>
      <c r="E344" s="212"/>
      <c r="F344" s="212"/>
      <c r="G344" s="212"/>
      <c r="H344" s="212"/>
      <c r="J344" s="212"/>
      <c r="K344" s="212"/>
    </row>
    <row r="345" spans="1:11" ht="12.75" customHeight="1">
      <c r="A345" s="212"/>
      <c r="B345" s="212"/>
      <c r="C345" s="212"/>
      <c r="D345" s="212"/>
      <c r="E345" s="212"/>
      <c r="F345" s="212"/>
      <c r="G345" s="212"/>
      <c r="H345" s="212"/>
      <c r="J345" s="212"/>
      <c r="K345" s="212"/>
    </row>
    <row r="346" spans="1:11" ht="12.75" customHeight="1">
      <c r="A346" s="212"/>
      <c r="B346" s="212"/>
      <c r="C346" s="212"/>
      <c r="D346" s="212"/>
      <c r="E346" s="212"/>
      <c r="F346" s="212"/>
      <c r="G346" s="212"/>
      <c r="H346" s="212"/>
      <c r="J346" s="212"/>
      <c r="K346" s="212"/>
    </row>
    <row r="347" spans="1:11" ht="12.75" customHeight="1">
      <c r="A347" s="212"/>
      <c r="B347" s="212"/>
      <c r="C347" s="212"/>
      <c r="D347" s="212"/>
      <c r="E347" s="212"/>
      <c r="F347" s="212"/>
      <c r="G347" s="212"/>
      <c r="H347" s="212"/>
      <c r="J347" s="212"/>
      <c r="K347" s="212"/>
    </row>
    <row r="348" spans="1:11" ht="12.75" customHeight="1">
      <c r="A348" s="212"/>
      <c r="B348" s="212"/>
      <c r="C348" s="212"/>
      <c r="D348" s="212"/>
      <c r="E348" s="212"/>
      <c r="F348" s="212"/>
      <c r="G348" s="212"/>
      <c r="H348" s="212"/>
      <c r="J348" s="212"/>
      <c r="K348" s="212"/>
    </row>
    <row r="349" spans="1:11" ht="12.75" customHeight="1">
      <c r="A349" s="212"/>
      <c r="B349" s="212"/>
      <c r="C349" s="212"/>
      <c r="D349" s="212"/>
      <c r="E349" s="212"/>
      <c r="F349" s="212"/>
      <c r="G349" s="212"/>
      <c r="H349" s="212"/>
      <c r="J349" s="212"/>
      <c r="K349" s="212"/>
    </row>
    <row r="350" spans="1:11" ht="12.75" customHeight="1">
      <c r="A350" s="212"/>
      <c r="B350" s="212"/>
      <c r="C350" s="212"/>
      <c r="D350" s="212"/>
      <c r="E350" s="212"/>
      <c r="F350" s="212"/>
      <c r="G350" s="212"/>
      <c r="H350" s="212"/>
      <c r="J350" s="212"/>
      <c r="K350" s="212"/>
    </row>
    <row r="351" spans="1:11" ht="12.75" customHeight="1">
      <c r="A351" s="212"/>
      <c r="B351" s="212"/>
      <c r="C351" s="212"/>
      <c r="D351" s="212"/>
      <c r="E351" s="212"/>
      <c r="F351" s="212"/>
      <c r="G351" s="212"/>
      <c r="H351" s="212"/>
      <c r="J351" s="212"/>
      <c r="K351" s="212"/>
    </row>
    <row r="352" spans="1:11" ht="12.75" customHeight="1">
      <c r="A352" s="212"/>
      <c r="B352" s="212"/>
      <c r="C352" s="212"/>
      <c r="D352" s="212"/>
      <c r="E352" s="212"/>
      <c r="F352" s="212"/>
      <c r="G352" s="212"/>
      <c r="H352" s="212"/>
      <c r="J352" s="212"/>
      <c r="K352" s="212"/>
    </row>
    <row r="353" spans="1:11" ht="12.75" customHeight="1">
      <c r="A353" s="212"/>
      <c r="B353" s="212"/>
      <c r="C353" s="212"/>
      <c r="D353" s="212"/>
      <c r="E353" s="212"/>
      <c r="F353" s="212"/>
      <c r="G353" s="212"/>
      <c r="H353" s="212"/>
      <c r="J353" s="212"/>
      <c r="K353" s="212"/>
    </row>
    <row r="354" spans="1:11" ht="12.75" customHeight="1">
      <c r="A354" s="212"/>
      <c r="B354" s="212"/>
      <c r="C354" s="212"/>
      <c r="D354" s="212"/>
      <c r="E354" s="212"/>
      <c r="F354" s="212"/>
      <c r="G354" s="212"/>
      <c r="H354" s="212"/>
      <c r="J354" s="212"/>
      <c r="K354" s="212"/>
    </row>
    <row r="355" spans="1:11" ht="12.75" customHeight="1">
      <c r="A355" s="212"/>
      <c r="B355" s="212"/>
      <c r="C355" s="212"/>
      <c r="D355" s="212"/>
      <c r="E355" s="212"/>
      <c r="F355" s="212"/>
      <c r="G355" s="212"/>
      <c r="H355" s="212"/>
      <c r="J355" s="212"/>
      <c r="K355" s="212"/>
    </row>
    <row r="356" spans="1:11" ht="12.75" customHeight="1">
      <c r="A356" s="212"/>
      <c r="B356" s="212"/>
      <c r="C356" s="212"/>
      <c r="D356" s="212"/>
      <c r="E356" s="212"/>
      <c r="F356" s="212"/>
      <c r="G356" s="212"/>
      <c r="H356" s="212"/>
      <c r="J356" s="212"/>
      <c r="K356" s="212"/>
    </row>
    <row r="357" spans="1:11" ht="12.75" customHeight="1">
      <c r="A357" s="212"/>
      <c r="B357" s="212"/>
      <c r="C357" s="212"/>
      <c r="D357" s="212"/>
      <c r="E357" s="212"/>
      <c r="F357" s="212"/>
      <c r="G357" s="212"/>
      <c r="H357" s="212"/>
      <c r="J357" s="212"/>
      <c r="K357" s="212"/>
    </row>
    <row r="358" spans="1:11" ht="12.75" customHeight="1">
      <c r="A358" s="212"/>
      <c r="B358" s="212"/>
      <c r="C358" s="212"/>
      <c r="D358" s="212"/>
      <c r="E358" s="212"/>
      <c r="F358" s="212"/>
      <c r="G358" s="212"/>
      <c r="H358" s="212"/>
      <c r="J358" s="212"/>
      <c r="K358" s="212"/>
    </row>
    <row r="359" spans="1:11" ht="12.75" customHeight="1">
      <c r="A359" s="212"/>
      <c r="B359" s="212"/>
      <c r="C359" s="212"/>
      <c r="D359" s="212"/>
      <c r="E359" s="212"/>
      <c r="F359" s="212"/>
      <c r="G359" s="212"/>
      <c r="H359" s="212"/>
      <c r="J359" s="212"/>
      <c r="K359" s="212"/>
    </row>
    <row r="360" spans="1:11" ht="12.75" customHeight="1">
      <c r="A360" s="212"/>
      <c r="B360" s="212"/>
      <c r="C360" s="212"/>
      <c r="D360" s="212"/>
      <c r="E360" s="212"/>
      <c r="F360" s="212"/>
      <c r="G360" s="212"/>
      <c r="H360" s="212"/>
      <c r="J360" s="212"/>
      <c r="K360" s="212"/>
    </row>
    <row r="361" spans="1:11" ht="12.75" customHeight="1">
      <c r="A361" s="212"/>
      <c r="B361" s="212"/>
      <c r="C361" s="212"/>
      <c r="D361" s="212"/>
      <c r="E361" s="212"/>
      <c r="F361" s="212"/>
      <c r="G361" s="212"/>
      <c r="H361" s="212"/>
      <c r="J361" s="212"/>
      <c r="K361" s="212"/>
    </row>
    <row r="362" spans="1:11" ht="12.75" customHeight="1">
      <c r="A362" s="212"/>
      <c r="B362" s="212"/>
      <c r="C362" s="212"/>
      <c r="D362" s="212"/>
      <c r="E362" s="212"/>
      <c r="F362" s="212"/>
      <c r="G362" s="212"/>
      <c r="H362" s="212"/>
      <c r="J362" s="212"/>
      <c r="K362" s="212"/>
    </row>
    <row r="363" spans="1:11" ht="12.75" customHeight="1">
      <c r="A363" s="212"/>
      <c r="B363" s="212"/>
      <c r="C363" s="212"/>
      <c r="D363" s="212"/>
      <c r="E363" s="212"/>
      <c r="F363" s="212"/>
      <c r="G363" s="212"/>
      <c r="H363" s="212"/>
      <c r="J363" s="212"/>
      <c r="K363" s="212"/>
    </row>
    <row r="364" spans="1:11" ht="12.75" customHeight="1">
      <c r="A364" s="212"/>
      <c r="B364" s="212"/>
      <c r="C364" s="212"/>
      <c r="D364" s="212"/>
      <c r="E364" s="212"/>
      <c r="F364" s="212"/>
      <c r="G364" s="212"/>
      <c r="H364" s="212"/>
      <c r="J364" s="212"/>
      <c r="K364" s="212"/>
    </row>
    <row r="365" spans="1:11" ht="12.75" customHeight="1">
      <c r="A365" s="212"/>
      <c r="B365" s="212"/>
      <c r="C365" s="212"/>
      <c r="D365" s="212"/>
      <c r="E365" s="212"/>
      <c r="F365" s="212"/>
      <c r="G365" s="212"/>
      <c r="H365" s="212"/>
      <c r="J365" s="212"/>
      <c r="K365" s="212"/>
    </row>
    <row r="366" spans="1:11" ht="12.75" customHeight="1">
      <c r="A366" s="212"/>
      <c r="B366" s="212"/>
      <c r="C366" s="212"/>
      <c r="D366" s="212"/>
      <c r="E366" s="212"/>
      <c r="F366" s="212"/>
      <c r="G366" s="212"/>
      <c r="H366" s="212"/>
      <c r="J366" s="212"/>
      <c r="K366" s="212"/>
    </row>
    <row r="367" spans="1:11" ht="12.75" customHeight="1">
      <c r="A367" s="212"/>
      <c r="B367" s="212"/>
      <c r="C367" s="212"/>
      <c r="D367" s="212"/>
      <c r="E367" s="212"/>
      <c r="F367" s="212"/>
      <c r="G367" s="212"/>
      <c r="H367" s="212"/>
      <c r="J367" s="212"/>
      <c r="K367" s="212"/>
    </row>
    <row r="368" spans="1:11" ht="12.75" customHeight="1">
      <c r="A368" s="212"/>
      <c r="B368" s="212"/>
      <c r="C368" s="212"/>
      <c r="D368" s="212"/>
      <c r="E368" s="212"/>
      <c r="F368" s="212"/>
      <c r="G368" s="212"/>
      <c r="H368" s="212"/>
      <c r="J368" s="212"/>
      <c r="K368" s="212"/>
    </row>
    <row r="369" spans="1:11" ht="12.75" customHeight="1">
      <c r="A369" s="212"/>
      <c r="B369" s="212"/>
      <c r="C369" s="212"/>
      <c r="D369" s="212"/>
      <c r="E369" s="212"/>
      <c r="F369" s="212"/>
      <c r="G369" s="212"/>
      <c r="H369" s="212"/>
      <c r="J369" s="212"/>
      <c r="K369" s="212"/>
    </row>
    <row r="370" spans="1:11" ht="12.75" customHeight="1">
      <c r="A370" s="212"/>
      <c r="B370" s="212"/>
      <c r="C370" s="212"/>
      <c r="D370" s="212"/>
      <c r="E370" s="212"/>
      <c r="F370" s="212"/>
      <c r="G370" s="212"/>
      <c r="H370" s="212"/>
      <c r="J370" s="212"/>
      <c r="K370" s="212"/>
    </row>
    <row r="371" spans="1:11" ht="12.75" customHeight="1">
      <c r="A371" s="212"/>
      <c r="B371" s="212"/>
      <c r="C371" s="212"/>
      <c r="D371" s="212"/>
      <c r="E371" s="212"/>
      <c r="F371" s="212"/>
      <c r="G371" s="212"/>
      <c r="H371" s="212"/>
      <c r="J371" s="212"/>
      <c r="K371" s="212"/>
    </row>
    <row r="372" spans="1:11" ht="12.75" customHeight="1">
      <c r="A372" s="212"/>
      <c r="B372" s="212"/>
      <c r="C372" s="212"/>
      <c r="D372" s="212"/>
      <c r="E372" s="212"/>
      <c r="F372" s="212"/>
      <c r="G372" s="212"/>
      <c r="H372" s="212"/>
      <c r="J372" s="212"/>
      <c r="K372" s="212"/>
    </row>
    <row r="373" spans="1:11" ht="12.75" customHeight="1">
      <c r="A373" s="212"/>
      <c r="B373" s="212"/>
      <c r="C373" s="212"/>
      <c r="D373" s="212"/>
      <c r="E373" s="212"/>
      <c r="F373" s="212"/>
      <c r="G373" s="212"/>
      <c r="H373" s="212"/>
      <c r="J373" s="212"/>
      <c r="K373" s="212"/>
    </row>
    <row r="374" spans="1:11" ht="12.75" customHeight="1">
      <c r="A374" s="212"/>
      <c r="B374" s="212"/>
      <c r="C374" s="212"/>
      <c r="D374" s="212"/>
      <c r="E374" s="212"/>
      <c r="F374" s="212"/>
      <c r="G374" s="212"/>
      <c r="H374" s="212"/>
      <c r="J374" s="212"/>
      <c r="K374" s="212"/>
    </row>
    <row r="375" spans="1:11" ht="12.75" customHeight="1">
      <c r="A375" s="212"/>
      <c r="B375" s="212"/>
      <c r="C375" s="212"/>
      <c r="D375" s="212"/>
      <c r="E375" s="212"/>
      <c r="F375" s="212"/>
      <c r="G375" s="212"/>
      <c r="H375" s="212"/>
      <c r="J375" s="212"/>
      <c r="K375" s="212"/>
    </row>
    <row r="376" spans="1:11" ht="12.75" customHeight="1">
      <c r="A376" s="212"/>
      <c r="B376" s="212"/>
      <c r="C376" s="212"/>
      <c r="D376" s="212"/>
      <c r="E376" s="212"/>
      <c r="F376" s="212"/>
      <c r="G376" s="212"/>
      <c r="H376" s="212"/>
      <c r="J376" s="212"/>
      <c r="K376" s="212"/>
    </row>
    <row r="377" spans="1:11" ht="12.75" customHeight="1">
      <c r="A377" s="212"/>
      <c r="B377" s="212"/>
      <c r="C377" s="212"/>
      <c r="D377" s="212"/>
      <c r="E377" s="212"/>
      <c r="F377" s="212"/>
      <c r="G377" s="212"/>
      <c r="H377" s="212"/>
      <c r="J377" s="212"/>
      <c r="K377" s="212"/>
    </row>
    <row r="378" spans="1:11" ht="12.75" customHeight="1">
      <c r="A378" s="212"/>
      <c r="B378" s="212"/>
      <c r="C378" s="212"/>
      <c r="D378" s="212"/>
      <c r="E378" s="212"/>
      <c r="F378" s="212"/>
      <c r="G378" s="212"/>
      <c r="H378" s="212"/>
      <c r="J378" s="212"/>
      <c r="K378" s="212"/>
    </row>
    <row r="379" spans="1:11" ht="12.75" customHeight="1">
      <c r="A379" s="212"/>
      <c r="B379" s="212"/>
      <c r="C379" s="212"/>
      <c r="D379" s="212"/>
      <c r="E379" s="212"/>
      <c r="F379" s="212"/>
      <c r="G379" s="212"/>
      <c r="H379" s="212"/>
      <c r="J379" s="212"/>
      <c r="K379" s="212"/>
    </row>
    <row r="380" spans="1:11" ht="12.75" customHeight="1">
      <c r="A380" s="212"/>
      <c r="B380" s="212"/>
      <c r="C380" s="212"/>
      <c r="D380" s="212"/>
      <c r="E380" s="212"/>
      <c r="F380" s="212"/>
      <c r="G380" s="212"/>
      <c r="H380" s="212"/>
      <c r="J380" s="212"/>
      <c r="K380" s="212"/>
    </row>
    <row r="381" spans="1:11" ht="12.75" customHeight="1">
      <c r="A381" s="212"/>
      <c r="B381" s="212"/>
      <c r="C381" s="212"/>
      <c r="D381" s="212"/>
      <c r="E381" s="212"/>
      <c r="F381" s="212"/>
      <c r="G381" s="212"/>
      <c r="H381" s="212"/>
      <c r="J381" s="212"/>
      <c r="K381" s="212"/>
    </row>
    <row r="382" spans="1:11" ht="12.75" customHeight="1">
      <c r="A382" s="212"/>
      <c r="B382" s="212"/>
      <c r="C382" s="212"/>
      <c r="D382" s="212"/>
      <c r="E382" s="212"/>
      <c r="F382" s="212"/>
      <c r="G382" s="212"/>
      <c r="H382" s="212"/>
      <c r="J382" s="212"/>
      <c r="K382" s="212"/>
    </row>
    <row r="383" spans="1:11" ht="12.75" customHeight="1">
      <c r="A383" s="212"/>
      <c r="B383" s="212"/>
      <c r="C383" s="212"/>
      <c r="D383" s="212"/>
      <c r="E383" s="212"/>
      <c r="F383" s="212"/>
      <c r="G383" s="212"/>
      <c r="H383" s="212"/>
      <c r="J383" s="212"/>
      <c r="K383" s="212"/>
    </row>
    <row r="384" spans="1:11" ht="12.75" customHeight="1">
      <c r="A384" s="212"/>
      <c r="B384" s="212"/>
      <c r="C384" s="212"/>
      <c r="D384" s="212"/>
      <c r="E384" s="212"/>
      <c r="F384" s="212"/>
      <c r="G384" s="212"/>
      <c r="H384" s="212"/>
      <c r="J384" s="212"/>
      <c r="K384" s="212"/>
    </row>
    <row r="385" spans="1:11" ht="12.75" customHeight="1">
      <c r="A385" s="212"/>
      <c r="B385" s="212"/>
      <c r="C385" s="212"/>
      <c r="D385" s="212"/>
      <c r="E385" s="212"/>
      <c r="F385" s="212"/>
      <c r="G385" s="212"/>
      <c r="H385" s="212"/>
      <c r="J385" s="212"/>
      <c r="K385" s="212"/>
    </row>
    <row r="386" spans="1:11" ht="12.75" customHeight="1">
      <c r="A386" s="212"/>
      <c r="B386" s="212"/>
      <c r="C386" s="212"/>
      <c r="D386" s="212"/>
      <c r="E386" s="212"/>
      <c r="F386" s="212"/>
      <c r="G386" s="212"/>
      <c r="H386" s="212"/>
      <c r="J386" s="212"/>
      <c r="K386" s="212"/>
    </row>
    <row r="387" spans="1:11" ht="12.75" customHeight="1">
      <c r="A387" s="212"/>
      <c r="B387" s="212"/>
      <c r="C387" s="212"/>
      <c r="D387" s="212"/>
      <c r="E387" s="212"/>
      <c r="F387" s="212"/>
      <c r="G387" s="212"/>
      <c r="H387" s="212"/>
      <c r="J387" s="212"/>
      <c r="K387" s="212"/>
    </row>
    <row r="388" spans="1:11" ht="12.75" customHeight="1">
      <c r="A388" s="212"/>
      <c r="B388" s="212"/>
      <c r="C388" s="212"/>
      <c r="D388" s="212"/>
      <c r="E388" s="212"/>
      <c r="F388" s="212"/>
      <c r="G388" s="212"/>
      <c r="H388" s="212"/>
      <c r="J388" s="212"/>
      <c r="K388" s="212"/>
    </row>
    <row r="389" spans="1:11" ht="12.75" customHeight="1">
      <c r="A389" s="212"/>
      <c r="B389" s="212"/>
      <c r="C389" s="212"/>
      <c r="D389" s="212"/>
      <c r="E389" s="212"/>
      <c r="F389" s="212"/>
      <c r="G389" s="212"/>
      <c r="H389" s="212"/>
      <c r="J389" s="212"/>
      <c r="K389" s="212"/>
    </row>
    <row r="390" spans="1:11" ht="12.75" customHeight="1">
      <c r="A390" s="212"/>
      <c r="B390" s="212"/>
      <c r="C390" s="212"/>
      <c r="D390" s="212"/>
      <c r="E390" s="212"/>
      <c r="F390" s="212"/>
      <c r="G390" s="212"/>
      <c r="H390" s="212"/>
      <c r="J390" s="212"/>
      <c r="K390" s="212"/>
    </row>
    <row r="391" spans="1:11" ht="12.75" customHeight="1">
      <c r="A391" s="212"/>
      <c r="B391" s="212"/>
      <c r="C391" s="212"/>
      <c r="D391" s="212"/>
      <c r="E391" s="212"/>
      <c r="F391" s="212"/>
      <c r="G391" s="212"/>
      <c r="H391" s="212"/>
      <c r="J391" s="212"/>
      <c r="K391" s="212"/>
    </row>
    <row r="392" spans="1:11" ht="12.75" customHeight="1">
      <c r="A392" s="212"/>
      <c r="B392" s="212"/>
      <c r="C392" s="212"/>
      <c r="D392" s="212"/>
      <c r="E392" s="212"/>
      <c r="F392" s="212"/>
      <c r="G392" s="212"/>
      <c r="H392" s="212"/>
      <c r="J392" s="212"/>
      <c r="K392" s="212"/>
    </row>
    <row r="393" spans="1:11" ht="12.75" customHeight="1">
      <c r="A393" s="212"/>
      <c r="B393" s="212"/>
      <c r="C393" s="212"/>
      <c r="D393" s="212"/>
      <c r="E393" s="212"/>
      <c r="F393" s="212"/>
      <c r="G393" s="212"/>
      <c r="H393" s="212"/>
      <c r="J393" s="212"/>
      <c r="K393" s="212"/>
    </row>
    <row r="394" spans="1:11" ht="12.75" customHeight="1">
      <c r="A394" s="212"/>
      <c r="B394" s="212"/>
      <c r="C394" s="212"/>
      <c r="D394" s="212"/>
      <c r="E394" s="212"/>
      <c r="F394" s="212"/>
      <c r="G394" s="212"/>
      <c r="H394" s="212"/>
      <c r="J394" s="212"/>
      <c r="K394" s="212"/>
    </row>
    <row r="395" spans="1:11" ht="12.75" customHeight="1">
      <c r="A395" s="212"/>
      <c r="B395" s="212"/>
      <c r="C395" s="212"/>
      <c r="D395" s="212"/>
      <c r="E395" s="212"/>
      <c r="F395" s="212"/>
      <c r="G395" s="212"/>
      <c r="H395" s="212"/>
      <c r="J395" s="212"/>
      <c r="K395" s="212"/>
    </row>
    <row r="396" spans="1:11" ht="12.75" customHeight="1">
      <c r="A396" s="212"/>
      <c r="B396" s="212"/>
      <c r="C396" s="212"/>
      <c r="D396" s="212"/>
      <c r="E396" s="212"/>
      <c r="F396" s="212"/>
      <c r="G396" s="212"/>
      <c r="H396" s="212"/>
      <c r="J396" s="212"/>
      <c r="K396" s="212"/>
    </row>
    <row r="397" spans="1:11" ht="12.75" customHeight="1">
      <c r="A397" s="212"/>
      <c r="B397" s="212"/>
      <c r="C397" s="212"/>
      <c r="D397" s="212"/>
      <c r="E397" s="212"/>
      <c r="F397" s="212"/>
      <c r="G397" s="212"/>
      <c r="H397" s="212"/>
      <c r="J397" s="212"/>
      <c r="K397" s="212"/>
    </row>
    <row r="398" spans="1:11" ht="12.75" customHeight="1">
      <c r="A398" s="212"/>
      <c r="B398" s="212"/>
      <c r="C398" s="212"/>
      <c r="D398" s="212"/>
      <c r="E398" s="212"/>
      <c r="F398" s="212"/>
      <c r="G398" s="212"/>
      <c r="H398" s="212"/>
      <c r="J398" s="212"/>
      <c r="K398" s="212"/>
    </row>
    <row r="399" spans="1:11" ht="12.75" customHeight="1">
      <c r="A399" s="212"/>
      <c r="B399" s="212"/>
      <c r="C399" s="212"/>
      <c r="D399" s="212"/>
      <c r="E399" s="212"/>
      <c r="F399" s="212"/>
      <c r="G399" s="212"/>
      <c r="H399" s="212"/>
      <c r="J399" s="212"/>
      <c r="K399" s="212"/>
    </row>
    <row r="400" spans="1:11" ht="12.75" customHeight="1">
      <c r="A400" s="212"/>
      <c r="B400" s="212"/>
      <c r="C400" s="212"/>
      <c r="D400" s="212"/>
      <c r="E400" s="212"/>
      <c r="F400" s="212"/>
      <c r="G400" s="212"/>
      <c r="H400" s="212"/>
      <c r="J400" s="212"/>
      <c r="K400" s="212"/>
    </row>
    <row r="401" spans="1:11" ht="12.75" customHeight="1">
      <c r="A401" s="212"/>
      <c r="B401" s="212"/>
      <c r="C401" s="212"/>
      <c r="D401" s="212"/>
      <c r="E401" s="212"/>
      <c r="F401" s="212"/>
      <c r="G401" s="212"/>
      <c r="H401" s="212"/>
      <c r="J401" s="212"/>
      <c r="K401" s="212"/>
    </row>
    <row r="402" spans="1:11" ht="12.75" customHeight="1">
      <c r="A402" s="212"/>
      <c r="B402" s="212"/>
      <c r="C402" s="212"/>
      <c r="D402" s="212"/>
      <c r="E402" s="212"/>
      <c r="F402" s="212"/>
      <c r="G402" s="212"/>
      <c r="H402" s="212"/>
      <c r="J402" s="212"/>
      <c r="K402" s="212"/>
    </row>
    <row r="403" spans="1:11" ht="12.75" customHeight="1">
      <c r="A403" s="212"/>
      <c r="B403" s="212"/>
      <c r="C403" s="212"/>
      <c r="D403" s="212"/>
      <c r="E403" s="212"/>
      <c r="F403" s="212"/>
      <c r="G403" s="212"/>
      <c r="H403" s="212"/>
      <c r="J403" s="212"/>
      <c r="K403" s="212"/>
    </row>
    <row r="404" spans="1:11" ht="12.75" customHeight="1">
      <c r="A404" s="212"/>
      <c r="B404" s="212"/>
      <c r="C404" s="212"/>
      <c r="D404" s="212"/>
      <c r="E404" s="212"/>
      <c r="F404" s="212"/>
      <c r="G404" s="212"/>
      <c r="H404" s="212"/>
      <c r="J404" s="212"/>
      <c r="K404" s="212"/>
    </row>
    <row r="405" spans="1:11" ht="12.75" customHeight="1">
      <c r="A405" s="212"/>
      <c r="B405" s="212"/>
      <c r="C405" s="212"/>
      <c r="D405" s="212"/>
      <c r="E405" s="212"/>
      <c r="F405" s="212"/>
      <c r="G405" s="212"/>
      <c r="H405" s="212"/>
      <c r="J405" s="212"/>
      <c r="K405" s="212"/>
    </row>
    <row r="406" spans="1:11" ht="12.75" customHeight="1">
      <c r="A406" s="212"/>
      <c r="B406" s="212"/>
      <c r="C406" s="212"/>
      <c r="D406" s="212"/>
      <c r="E406" s="212"/>
      <c r="F406" s="212"/>
      <c r="G406" s="212"/>
      <c r="H406" s="212"/>
      <c r="J406" s="212"/>
      <c r="K406" s="212"/>
    </row>
    <row r="407" spans="1:11" ht="12.75" customHeight="1">
      <c r="A407" s="212"/>
      <c r="B407" s="212"/>
      <c r="C407" s="212"/>
      <c r="D407" s="212"/>
      <c r="E407" s="212"/>
      <c r="F407" s="212"/>
      <c r="G407" s="212"/>
      <c r="H407" s="212"/>
      <c r="J407" s="212"/>
      <c r="K407" s="212"/>
    </row>
    <row r="408" spans="1:11" ht="12.75" customHeight="1">
      <c r="A408" s="212"/>
      <c r="B408" s="212"/>
      <c r="C408" s="212"/>
      <c r="D408" s="212"/>
      <c r="E408" s="212"/>
      <c r="F408" s="212"/>
      <c r="G408" s="212"/>
      <c r="H408" s="212"/>
      <c r="J408" s="212"/>
      <c r="K408" s="212"/>
    </row>
    <row r="409" spans="1:11" ht="12.75" customHeight="1">
      <c r="A409" s="212"/>
      <c r="B409" s="212"/>
      <c r="C409" s="212"/>
      <c r="D409" s="212"/>
      <c r="E409" s="212"/>
      <c r="F409" s="212"/>
      <c r="G409" s="212"/>
      <c r="H409" s="212"/>
      <c r="J409" s="212"/>
      <c r="K409" s="212"/>
    </row>
    <row r="410" spans="1:11" ht="12.75" customHeight="1">
      <c r="A410" s="212"/>
      <c r="B410" s="212"/>
      <c r="C410" s="212"/>
      <c r="D410" s="212"/>
      <c r="E410" s="212"/>
      <c r="F410" s="212"/>
      <c r="G410" s="212"/>
      <c r="H410" s="212"/>
      <c r="J410" s="212"/>
      <c r="K410" s="212"/>
    </row>
    <row r="411" spans="1:11" ht="12.75" customHeight="1">
      <c r="A411" s="212"/>
      <c r="B411" s="212"/>
      <c r="C411" s="212"/>
      <c r="D411" s="212"/>
      <c r="E411" s="212"/>
      <c r="F411" s="212"/>
      <c r="G411" s="212"/>
      <c r="H411" s="212"/>
      <c r="J411" s="212"/>
      <c r="K411" s="212"/>
    </row>
    <row r="412" spans="1:11" ht="12.75" customHeight="1">
      <c r="A412" s="212"/>
      <c r="B412" s="212"/>
      <c r="C412" s="212"/>
      <c r="D412" s="212"/>
      <c r="E412" s="212"/>
      <c r="F412" s="212"/>
      <c r="G412" s="212"/>
      <c r="H412" s="212"/>
      <c r="J412" s="212"/>
      <c r="K412" s="212"/>
    </row>
    <row r="413" spans="1:11" ht="12.75" customHeight="1">
      <c r="A413" s="212"/>
      <c r="B413" s="212"/>
      <c r="C413" s="212"/>
      <c r="D413" s="212"/>
      <c r="E413" s="212"/>
      <c r="F413" s="212"/>
      <c r="G413" s="212"/>
      <c r="H413" s="212"/>
      <c r="J413" s="212"/>
      <c r="K413" s="212"/>
    </row>
    <row r="414" spans="1:11" ht="12.75" customHeight="1">
      <c r="A414" s="212"/>
      <c r="B414" s="212"/>
      <c r="C414" s="212"/>
      <c r="D414" s="212"/>
      <c r="E414" s="212"/>
      <c r="F414" s="212"/>
      <c r="G414" s="212"/>
      <c r="H414" s="212"/>
      <c r="J414" s="212"/>
      <c r="K414" s="212"/>
    </row>
    <row r="415" spans="1:11" ht="12.75" customHeight="1">
      <c r="A415" s="212"/>
      <c r="B415" s="212"/>
      <c r="C415" s="212"/>
      <c r="D415" s="212"/>
      <c r="E415" s="212"/>
      <c r="F415" s="212"/>
      <c r="G415" s="212"/>
      <c r="H415" s="212"/>
      <c r="J415" s="212"/>
      <c r="K415" s="212"/>
    </row>
    <row r="416" spans="1:11" ht="12.75" customHeight="1">
      <c r="A416" s="212"/>
      <c r="B416" s="212"/>
      <c r="C416" s="212"/>
      <c r="D416" s="212"/>
      <c r="E416" s="212"/>
      <c r="F416" s="212"/>
      <c r="G416" s="212"/>
      <c r="H416" s="212"/>
      <c r="J416" s="212"/>
      <c r="K416" s="212"/>
    </row>
    <row r="417" spans="1:11" ht="12.75" customHeight="1">
      <c r="A417" s="212"/>
      <c r="B417" s="212"/>
      <c r="C417" s="212"/>
      <c r="D417" s="212"/>
      <c r="E417" s="212"/>
      <c r="F417" s="212"/>
      <c r="G417" s="212"/>
      <c r="H417" s="212"/>
      <c r="J417" s="212"/>
      <c r="K417" s="212"/>
    </row>
    <row r="418" spans="1:11" ht="12.75" customHeight="1">
      <c r="A418" s="212"/>
      <c r="B418" s="212"/>
      <c r="C418" s="212"/>
      <c r="D418" s="212"/>
      <c r="E418" s="212"/>
      <c r="F418" s="212"/>
      <c r="G418" s="212"/>
      <c r="H418" s="212"/>
      <c r="J418" s="212"/>
      <c r="K418" s="212"/>
    </row>
    <row r="419" spans="1:11" ht="12.75" customHeight="1">
      <c r="A419" s="212"/>
      <c r="B419" s="212"/>
      <c r="C419" s="212"/>
      <c r="D419" s="212"/>
      <c r="E419" s="212"/>
      <c r="F419" s="212"/>
      <c r="G419" s="212"/>
      <c r="H419" s="212"/>
      <c r="J419" s="212"/>
      <c r="K419" s="212"/>
    </row>
    <row r="420" spans="1:11" ht="12.75" customHeight="1">
      <c r="A420" s="212"/>
      <c r="B420" s="212"/>
      <c r="C420" s="212"/>
      <c r="D420" s="212"/>
      <c r="E420" s="212"/>
      <c r="F420" s="212"/>
      <c r="G420" s="212"/>
      <c r="H420" s="212"/>
      <c r="J420" s="212"/>
      <c r="K420" s="212"/>
    </row>
    <row r="421" spans="1:11" ht="12.75" customHeight="1">
      <c r="A421" s="212"/>
      <c r="B421" s="212"/>
      <c r="C421" s="212"/>
      <c r="D421" s="212"/>
      <c r="E421" s="212"/>
      <c r="F421" s="212"/>
      <c r="G421" s="212"/>
      <c r="H421" s="212"/>
      <c r="J421" s="212"/>
      <c r="K421" s="212"/>
    </row>
    <row r="422" spans="1:11" ht="12.75" customHeight="1">
      <c r="A422" s="212"/>
      <c r="B422" s="212"/>
      <c r="C422" s="212"/>
      <c r="D422" s="212"/>
      <c r="E422" s="212"/>
      <c r="F422" s="212"/>
      <c r="G422" s="212"/>
      <c r="H422" s="212"/>
      <c r="J422" s="212"/>
      <c r="K422" s="212"/>
    </row>
    <row r="423" spans="1:11" ht="12.75" customHeight="1">
      <c r="A423" s="212"/>
      <c r="B423" s="212"/>
      <c r="C423" s="212"/>
      <c r="D423" s="212"/>
      <c r="E423" s="212"/>
      <c r="F423" s="212"/>
      <c r="G423" s="212"/>
      <c r="H423" s="212"/>
      <c r="J423" s="212"/>
      <c r="K423" s="212"/>
    </row>
    <row r="424" spans="1:11" ht="12.75" customHeight="1">
      <c r="A424" s="212"/>
      <c r="B424" s="212"/>
      <c r="C424" s="212"/>
      <c r="D424" s="212"/>
      <c r="E424" s="212"/>
      <c r="F424" s="212"/>
      <c r="G424" s="212"/>
      <c r="H424" s="212"/>
      <c r="J424" s="212"/>
      <c r="K424" s="212"/>
    </row>
    <row r="425" spans="1:11" ht="12.75" customHeight="1">
      <c r="A425" s="212"/>
      <c r="B425" s="212"/>
      <c r="C425" s="212"/>
      <c r="D425" s="212"/>
      <c r="E425" s="212"/>
      <c r="F425" s="212"/>
      <c r="G425" s="212"/>
      <c r="H425" s="212"/>
      <c r="J425" s="212"/>
      <c r="K425" s="212"/>
    </row>
    <row r="426" spans="1:11" ht="12.75" customHeight="1">
      <c r="A426" s="212"/>
      <c r="B426" s="212"/>
      <c r="C426" s="212"/>
      <c r="D426" s="212"/>
      <c r="E426" s="212"/>
      <c r="F426" s="212"/>
      <c r="G426" s="212"/>
      <c r="H426" s="212"/>
      <c r="J426" s="212"/>
      <c r="K426" s="212"/>
    </row>
    <row r="427" spans="1:11" ht="12.75" customHeight="1">
      <c r="A427" s="212"/>
      <c r="B427" s="212"/>
      <c r="C427" s="212"/>
      <c r="D427" s="212"/>
      <c r="E427" s="212"/>
      <c r="F427" s="212"/>
      <c r="G427" s="212"/>
      <c r="H427" s="212"/>
      <c r="J427" s="212"/>
      <c r="K427" s="212"/>
    </row>
    <row r="428" spans="1:11" ht="12.75" customHeight="1">
      <c r="A428" s="212"/>
      <c r="B428" s="212"/>
      <c r="C428" s="212"/>
      <c r="D428" s="212"/>
      <c r="E428" s="212"/>
      <c r="F428" s="212"/>
      <c r="G428" s="212"/>
      <c r="H428" s="212"/>
      <c r="J428" s="212"/>
      <c r="K428" s="212"/>
    </row>
    <row r="429" spans="1:11" ht="12.75" customHeight="1">
      <c r="A429" s="212"/>
      <c r="B429" s="212"/>
      <c r="C429" s="212"/>
      <c r="D429" s="212"/>
      <c r="E429" s="212"/>
      <c r="F429" s="212"/>
      <c r="G429" s="212"/>
      <c r="H429" s="212"/>
      <c r="J429" s="212"/>
      <c r="K429" s="212"/>
    </row>
    <row r="430" spans="1:11" ht="12.75" customHeight="1">
      <c r="A430" s="212"/>
      <c r="B430" s="212"/>
      <c r="C430" s="212"/>
      <c r="D430" s="212"/>
      <c r="E430" s="212"/>
      <c r="F430" s="212"/>
      <c r="G430" s="212"/>
      <c r="H430" s="212"/>
      <c r="J430" s="212"/>
      <c r="K430" s="212"/>
    </row>
    <row r="431" spans="1:11" ht="12.75" customHeight="1">
      <c r="A431" s="212"/>
      <c r="B431" s="212"/>
      <c r="C431" s="212"/>
      <c r="D431" s="212"/>
      <c r="E431" s="212"/>
      <c r="F431" s="212"/>
      <c r="G431" s="212"/>
      <c r="H431" s="212"/>
      <c r="J431" s="212"/>
      <c r="K431" s="212"/>
    </row>
    <row r="432" spans="1:11" ht="12.75" customHeight="1">
      <c r="A432" s="212"/>
      <c r="B432" s="212"/>
      <c r="C432" s="212"/>
      <c r="D432" s="212"/>
      <c r="E432" s="212"/>
      <c r="F432" s="212"/>
      <c r="G432" s="212"/>
      <c r="H432" s="212"/>
      <c r="J432" s="212"/>
      <c r="K432" s="212"/>
    </row>
    <row r="433" spans="1:11" ht="12.75" customHeight="1">
      <c r="A433" s="212"/>
      <c r="B433" s="212"/>
      <c r="C433" s="212"/>
      <c r="D433" s="212"/>
      <c r="E433" s="212"/>
      <c r="F433" s="212"/>
      <c r="G433" s="212"/>
      <c r="H433" s="212"/>
      <c r="J433" s="212"/>
      <c r="K433" s="212"/>
    </row>
    <row r="434" spans="1:11" ht="12.75" customHeight="1">
      <c r="A434" s="212"/>
      <c r="B434" s="212"/>
      <c r="C434" s="212"/>
      <c r="D434" s="212"/>
      <c r="E434" s="212"/>
      <c r="F434" s="212"/>
      <c r="G434" s="212"/>
      <c r="H434" s="212"/>
      <c r="J434" s="212"/>
      <c r="K434" s="212"/>
    </row>
    <row r="435" spans="1:11" ht="12.75" customHeight="1">
      <c r="A435" s="212"/>
      <c r="B435" s="212"/>
      <c r="C435" s="212"/>
      <c r="D435" s="212"/>
      <c r="E435" s="212"/>
      <c r="F435" s="212"/>
      <c r="G435" s="212"/>
      <c r="H435" s="212"/>
      <c r="J435" s="212"/>
      <c r="K435" s="212"/>
    </row>
    <row r="436" spans="1:11" ht="12.75" customHeight="1">
      <c r="A436" s="212"/>
      <c r="B436" s="212"/>
      <c r="C436" s="212"/>
      <c r="D436" s="212"/>
      <c r="E436" s="212"/>
      <c r="F436" s="212"/>
      <c r="G436" s="212"/>
      <c r="H436" s="212"/>
      <c r="J436" s="212"/>
      <c r="K436" s="212"/>
    </row>
    <row r="437" spans="1:11" ht="12.75" customHeight="1">
      <c r="A437" s="212"/>
      <c r="B437" s="212"/>
      <c r="C437" s="212"/>
      <c r="D437" s="212"/>
      <c r="E437" s="212"/>
      <c r="F437" s="212"/>
      <c r="G437" s="212"/>
      <c r="H437" s="212"/>
      <c r="J437" s="212"/>
      <c r="K437" s="212"/>
    </row>
    <row r="438" spans="1:11" ht="12.75" customHeight="1">
      <c r="A438" s="212"/>
      <c r="B438" s="212"/>
      <c r="C438" s="212"/>
      <c r="D438" s="212"/>
      <c r="E438" s="212"/>
      <c r="F438" s="212"/>
      <c r="G438" s="212"/>
      <c r="H438" s="212"/>
      <c r="J438" s="212"/>
      <c r="K438" s="212"/>
    </row>
    <row r="439" spans="1:11" ht="12.75" customHeight="1">
      <c r="A439" s="212"/>
      <c r="B439" s="212"/>
      <c r="C439" s="212"/>
      <c r="D439" s="212"/>
      <c r="E439" s="212"/>
      <c r="F439" s="212"/>
      <c r="G439" s="212"/>
      <c r="H439" s="212"/>
      <c r="J439" s="212"/>
      <c r="K439" s="212"/>
    </row>
    <row r="440" spans="1:11" ht="12.75" customHeight="1">
      <c r="A440" s="212"/>
      <c r="B440" s="212"/>
      <c r="C440" s="212"/>
      <c r="D440" s="212"/>
      <c r="E440" s="212"/>
      <c r="F440" s="212"/>
      <c r="G440" s="212"/>
      <c r="H440" s="212"/>
      <c r="J440" s="212"/>
      <c r="K440" s="212"/>
    </row>
    <row r="441" spans="1:11" ht="12.75" customHeight="1">
      <c r="A441" s="212"/>
      <c r="B441" s="212"/>
      <c r="C441" s="212"/>
      <c r="D441" s="212"/>
      <c r="E441" s="212"/>
      <c r="F441" s="212"/>
      <c r="G441" s="212"/>
      <c r="H441" s="212"/>
      <c r="J441" s="212"/>
      <c r="K441" s="212"/>
    </row>
    <row r="442" spans="1:11" ht="12.75" customHeight="1">
      <c r="A442" s="212"/>
      <c r="B442" s="212"/>
      <c r="C442" s="212"/>
      <c r="D442" s="212"/>
      <c r="E442" s="212"/>
      <c r="F442" s="212"/>
      <c r="G442" s="212"/>
      <c r="H442" s="212"/>
      <c r="J442" s="212"/>
      <c r="K442" s="212"/>
    </row>
    <row r="443" spans="1:11" ht="12.75" customHeight="1">
      <c r="A443" s="212"/>
      <c r="B443" s="212"/>
      <c r="C443" s="212"/>
      <c r="D443" s="212"/>
      <c r="E443" s="212"/>
      <c r="F443" s="212"/>
      <c r="G443" s="212"/>
      <c r="H443" s="212"/>
      <c r="J443" s="212"/>
      <c r="K443" s="212"/>
    </row>
    <row r="444" spans="1:11" ht="12.75" customHeight="1">
      <c r="A444" s="212"/>
      <c r="B444" s="212"/>
      <c r="C444" s="212"/>
      <c r="D444" s="212"/>
      <c r="E444" s="212"/>
      <c r="F444" s="212"/>
      <c r="G444" s="212"/>
      <c r="H444" s="212"/>
      <c r="J444" s="212"/>
      <c r="K444" s="212"/>
    </row>
    <row r="445" spans="1:11" ht="12.75" customHeight="1">
      <c r="A445" s="212"/>
      <c r="B445" s="212"/>
      <c r="C445" s="212"/>
      <c r="D445" s="212"/>
      <c r="E445" s="212"/>
      <c r="F445" s="212"/>
      <c r="G445" s="212"/>
      <c r="H445" s="212"/>
      <c r="J445" s="212"/>
      <c r="K445" s="212"/>
    </row>
    <row r="446" spans="1:11" ht="12.75" customHeight="1">
      <c r="A446" s="212"/>
      <c r="B446" s="212"/>
      <c r="C446" s="212"/>
      <c r="D446" s="212"/>
      <c r="E446" s="212"/>
      <c r="F446" s="212"/>
      <c r="G446" s="212"/>
      <c r="H446" s="212"/>
      <c r="J446" s="212"/>
      <c r="K446" s="212"/>
    </row>
    <row r="447" spans="1:11" ht="12.75" customHeight="1">
      <c r="A447" s="212"/>
      <c r="B447" s="212"/>
      <c r="C447" s="212"/>
      <c r="D447" s="212"/>
      <c r="E447" s="212"/>
      <c r="F447" s="212"/>
      <c r="G447" s="212"/>
      <c r="H447" s="212"/>
      <c r="J447" s="212"/>
      <c r="K447" s="212"/>
    </row>
    <row r="448" spans="1:11" ht="12.75" customHeight="1">
      <c r="A448" s="212"/>
      <c r="B448" s="212"/>
      <c r="C448" s="212"/>
      <c r="D448" s="212"/>
      <c r="E448" s="212"/>
      <c r="F448" s="212"/>
      <c r="G448" s="212"/>
      <c r="H448" s="212"/>
      <c r="J448" s="212"/>
      <c r="K448" s="212"/>
    </row>
    <row r="449" spans="1:11" ht="12.75" customHeight="1">
      <c r="A449" s="212"/>
      <c r="B449" s="212"/>
      <c r="C449" s="212"/>
      <c r="D449" s="212"/>
      <c r="E449" s="212"/>
      <c r="F449" s="212"/>
      <c r="G449" s="212"/>
      <c r="H449" s="212"/>
      <c r="J449" s="212"/>
      <c r="K449" s="212"/>
    </row>
    <row r="450" spans="1:11" ht="12.75" customHeight="1">
      <c r="A450" s="212"/>
      <c r="B450" s="212"/>
      <c r="C450" s="212"/>
      <c r="D450" s="212"/>
      <c r="E450" s="212"/>
      <c r="F450" s="212"/>
      <c r="G450" s="212"/>
      <c r="H450" s="212"/>
      <c r="J450" s="212"/>
      <c r="K450" s="212"/>
    </row>
    <row r="451" spans="1:11" ht="12.75" customHeight="1">
      <c r="A451" s="212"/>
      <c r="B451" s="212"/>
      <c r="C451" s="212"/>
      <c r="D451" s="212"/>
      <c r="E451" s="212"/>
      <c r="F451" s="212"/>
      <c r="G451" s="212"/>
      <c r="H451" s="212"/>
      <c r="J451" s="212"/>
      <c r="K451" s="212"/>
    </row>
    <row r="452" spans="1:11" ht="12.75" customHeight="1">
      <c r="A452" s="212"/>
      <c r="B452" s="212"/>
      <c r="C452" s="212"/>
      <c r="D452" s="212"/>
      <c r="E452" s="212"/>
      <c r="F452" s="212"/>
      <c r="G452" s="212"/>
      <c r="H452" s="212"/>
      <c r="J452" s="212"/>
      <c r="K452" s="212"/>
    </row>
    <row r="453" spans="1:11" ht="12.75" customHeight="1">
      <c r="A453" s="212"/>
      <c r="B453" s="212"/>
      <c r="C453" s="212"/>
      <c r="D453" s="212"/>
      <c r="E453" s="212"/>
      <c r="F453" s="212"/>
      <c r="G453" s="212"/>
      <c r="H453" s="212"/>
      <c r="J453" s="212"/>
      <c r="K453" s="212"/>
    </row>
    <row r="454" spans="1:11" ht="12.75" customHeight="1">
      <c r="A454" s="212"/>
      <c r="B454" s="212"/>
      <c r="C454" s="212"/>
      <c r="D454" s="212"/>
      <c r="E454" s="212"/>
      <c r="F454" s="212"/>
      <c r="G454" s="212"/>
      <c r="H454" s="212"/>
      <c r="J454" s="212"/>
      <c r="K454" s="212"/>
    </row>
    <row r="455" spans="1:11" ht="12.75" customHeight="1">
      <c r="A455" s="212"/>
      <c r="B455" s="212"/>
      <c r="C455" s="212"/>
      <c r="D455" s="212"/>
      <c r="E455" s="212"/>
      <c r="F455" s="212"/>
      <c r="G455" s="212"/>
      <c r="H455" s="212"/>
      <c r="J455" s="212"/>
      <c r="K455" s="212"/>
    </row>
    <row r="456" spans="1:11" ht="12.75" customHeight="1">
      <c r="A456" s="212"/>
      <c r="B456" s="212"/>
      <c r="C456" s="212"/>
      <c r="D456" s="212"/>
      <c r="E456" s="212"/>
      <c r="F456" s="212"/>
      <c r="G456" s="212"/>
      <c r="H456" s="212"/>
      <c r="J456" s="212"/>
      <c r="K456" s="212"/>
    </row>
    <row r="457" spans="1:11" ht="12.75" customHeight="1">
      <c r="A457" s="212"/>
      <c r="B457" s="212"/>
      <c r="C457" s="212"/>
      <c r="D457" s="212"/>
      <c r="E457" s="212"/>
      <c r="F457" s="212"/>
      <c r="G457" s="212"/>
      <c r="H457" s="212"/>
      <c r="J457" s="212"/>
      <c r="K457" s="212"/>
    </row>
    <row r="458" spans="1:11" ht="12.75" customHeight="1">
      <c r="A458" s="212"/>
      <c r="B458" s="212"/>
      <c r="C458" s="212"/>
      <c r="D458" s="212"/>
      <c r="E458" s="212"/>
      <c r="F458" s="212"/>
      <c r="G458" s="212"/>
      <c r="H458" s="212"/>
      <c r="J458" s="212"/>
      <c r="K458" s="212"/>
    </row>
    <row r="459" spans="1:11" ht="12.75" customHeight="1">
      <c r="A459" s="212"/>
      <c r="B459" s="212"/>
      <c r="C459" s="212"/>
      <c r="D459" s="212"/>
      <c r="E459" s="212"/>
      <c r="F459" s="212"/>
      <c r="G459" s="212"/>
      <c r="H459" s="212"/>
      <c r="J459" s="212"/>
      <c r="K459" s="212"/>
    </row>
    <row r="460" spans="1:11" ht="12.75" customHeight="1">
      <c r="A460" s="212"/>
      <c r="B460" s="212"/>
      <c r="C460" s="212"/>
      <c r="D460" s="212"/>
      <c r="E460" s="212"/>
      <c r="F460" s="212"/>
      <c r="G460" s="212"/>
      <c r="H460" s="212"/>
      <c r="J460" s="212"/>
      <c r="K460" s="212"/>
    </row>
    <row r="461" spans="1:11" ht="12.75" customHeight="1">
      <c r="A461" s="212"/>
      <c r="B461" s="212"/>
      <c r="C461" s="212"/>
      <c r="D461" s="212"/>
      <c r="E461" s="212"/>
      <c r="F461" s="212"/>
      <c r="G461" s="212"/>
      <c r="H461" s="212"/>
      <c r="J461" s="212"/>
      <c r="K461" s="212"/>
    </row>
    <row r="462" spans="1:11" ht="12.75" customHeight="1">
      <c r="A462" s="212"/>
      <c r="B462" s="212"/>
      <c r="C462" s="212"/>
      <c r="D462" s="212"/>
      <c r="E462" s="212"/>
      <c r="F462" s="212"/>
      <c r="G462" s="212"/>
      <c r="H462" s="212"/>
      <c r="J462" s="212"/>
      <c r="K462" s="212"/>
    </row>
    <row r="463" spans="1:11" ht="12.75" customHeight="1">
      <c r="A463" s="212"/>
      <c r="B463" s="212"/>
      <c r="C463" s="212"/>
      <c r="D463" s="212"/>
      <c r="E463" s="212"/>
      <c r="F463" s="212"/>
      <c r="G463" s="212"/>
      <c r="H463" s="212"/>
      <c r="J463" s="212"/>
      <c r="K463" s="212"/>
    </row>
    <row r="464" spans="1:11" ht="12.75" customHeight="1">
      <c r="A464" s="212"/>
      <c r="B464" s="212"/>
      <c r="C464" s="212"/>
      <c r="D464" s="212"/>
      <c r="E464" s="212"/>
      <c r="F464" s="212"/>
      <c r="G464" s="212"/>
      <c r="H464" s="212"/>
      <c r="J464" s="212"/>
      <c r="K464" s="212"/>
    </row>
    <row r="465" spans="1:11" ht="12.75" customHeight="1">
      <c r="A465" s="212"/>
      <c r="B465" s="212"/>
      <c r="C465" s="212"/>
      <c r="D465" s="212"/>
      <c r="E465" s="212"/>
      <c r="F465" s="212"/>
      <c r="G465" s="212"/>
      <c r="H465" s="212"/>
      <c r="J465" s="212"/>
      <c r="K465" s="212"/>
    </row>
    <row r="466" spans="1:11" ht="12.75" customHeight="1">
      <c r="A466" s="212"/>
      <c r="B466" s="212"/>
      <c r="C466" s="212"/>
      <c r="D466" s="212"/>
      <c r="E466" s="212"/>
      <c r="F466" s="212"/>
      <c r="G466" s="212"/>
      <c r="H466" s="212"/>
      <c r="J466" s="212"/>
      <c r="K466" s="212"/>
    </row>
    <row r="467" spans="1:11" ht="12.75" customHeight="1">
      <c r="A467" s="212"/>
      <c r="B467" s="212"/>
      <c r="C467" s="212"/>
      <c r="D467" s="212"/>
      <c r="E467" s="212"/>
      <c r="F467" s="212"/>
      <c r="G467" s="212"/>
      <c r="H467" s="212"/>
      <c r="J467" s="212"/>
      <c r="K467" s="212"/>
    </row>
    <row r="468" spans="1:11" ht="12.75" customHeight="1">
      <c r="A468" s="212"/>
      <c r="B468" s="212"/>
      <c r="C468" s="212"/>
      <c r="D468" s="212"/>
      <c r="E468" s="212"/>
      <c r="F468" s="212"/>
      <c r="G468" s="212"/>
      <c r="H468" s="212"/>
      <c r="J468" s="212"/>
      <c r="K468" s="212"/>
    </row>
    <row r="469" spans="1:11" ht="12.75" customHeight="1">
      <c r="A469" s="212"/>
      <c r="B469" s="212"/>
      <c r="C469" s="212"/>
      <c r="D469" s="212"/>
      <c r="E469" s="212"/>
      <c r="F469" s="212"/>
      <c r="G469" s="212"/>
      <c r="H469" s="212"/>
      <c r="J469" s="212"/>
      <c r="K469" s="212"/>
    </row>
    <row r="470" spans="1:11" ht="12.75" customHeight="1">
      <c r="A470" s="212"/>
      <c r="B470" s="212"/>
      <c r="C470" s="212"/>
      <c r="D470" s="212"/>
      <c r="E470" s="212"/>
      <c r="F470" s="212"/>
      <c r="G470" s="212"/>
      <c r="H470" s="212"/>
      <c r="J470" s="212"/>
      <c r="K470" s="212"/>
    </row>
    <row r="471" spans="1:11" ht="12.75" customHeight="1">
      <c r="A471" s="212"/>
      <c r="B471" s="212"/>
      <c r="C471" s="212"/>
      <c r="D471" s="212"/>
      <c r="E471" s="212"/>
      <c r="F471" s="212"/>
      <c r="G471" s="212"/>
      <c r="H471" s="212"/>
      <c r="J471" s="212"/>
      <c r="K471" s="212"/>
    </row>
    <row r="472" spans="1:11" ht="12.75" customHeight="1">
      <c r="A472" s="212"/>
      <c r="B472" s="212"/>
      <c r="C472" s="212"/>
      <c r="D472" s="212"/>
      <c r="E472" s="212"/>
      <c r="F472" s="212"/>
      <c r="G472" s="212"/>
      <c r="H472" s="212"/>
      <c r="J472" s="212"/>
      <c r="K472" s="212"/>
    </row>
    <row r="473" spans="1:11" ht="12.75" customHeight="1">
      <c r="A473" s="212"/>
      <c r="B473" s="212"/>
      <c r="C473" s="212"/>
      <c r="D473" s="212"/>
      <c r="E473" s="212"/>
      <c r="F473" s="212"/>
      <c r="G473" s="212"/>
      <c r="H473" s="212"/>
      <c r="J473" s="212"/>
      <c r="K473" s="212"/>
    </row>
    <row r="474" spans="1:11" ht="12.75" customHeight="1">
      <c r="A474" s="212"/>
      <c r="B474" s="212"/>
      <c r="C474" s="212"/>
      <c r="D474" s="212"/>
      <c r="E474" s="212"/>
      <c r="F474" s="212"/>
      <c r="G474" s="212"/>
      <c r="H474" s="212"/>
      <c r="J474" s="212"/>
      <c r="K474" s="212"/>
    </row>
    <row r="475" spans="1:11" ht="12.75" customHeight="1">
      <c r="A475" s="212"/>
      <c r="B475" s="212"/>
      <c r="C475" s="212"/>
      <c r="D475" s="212"/>
      <c r="E475" s="212"/>
      <c r="F475" s="212"/>
      <c r="G475" s="212"/>
      <c r="H475" s="212"/>
      <c r="J475" s="212"/>
      <c r="K475" s="212"/>
    </row>
    <row r="476" spans="1:11" ht="12.75" customHeight="1">
      <c r="A476" s="212"/>
      <c r="B476" s="212"/>
      <c r="C476" s="212"/>
      <c r="D476" s="212"/>
      <c r="E476" s="212"/>
      <c r="F476" s="212"/>
      <c r="G476" s="212"/>
      <c r="H476" s="212"/>
      <c r="J476" s="212"/>
      <c r="K476" s="212"/>
    </row>
    <row r="477" spans="1:11" ht="12.75" customHeight="1">
      <c r="A477" s="212"/>
      <c r="B477" s="212"/>
      <c r="C477" s="212"/>
      <c r="D477" s="212"/>
      <c r="E477" s="212"/>
      <c r="F477" s="212"/>
      <c r="G477" s="212"/>
      <c r="H477" s="212"/>
      <c r="J477" s="212"/>
      <c r="K477" s="212"/>
    </row>
    <row r="478" spans="1:11" ht="12.75" customHeight="1">
      <c r="A478" s="212"/>
      <c r="B478" s="212"/>
      <c r="C478" s="212"/>
      <c r="D478" s="212"/>
      <c r="E478" s="212"/>
      <c r="F478" s="212"/>
      <c r="G478" s="212"/>
      <c r="H478" s="212"/>
      <c r="J478" s="212"/>
      <c r="K478" s="212"/>
    </row>
    <row r="479" spans="1:11" ht="12.75" customHeight="1">
      <c r="A479" s="212"/>
      <c r="B479" s="212"/>
      <c r="C479" s="212"/>
      <c r="D479" s="212"/>
      <c r="E479" s="212"/>
      <c r="F479" s="212"/>
      <c r="G479" s="212"/>
      <c r="H479" s="212"/>
      <c r="J479" s="212"/>
      <c r="K479" s="212"/>
    </row>
    <row r="480" spans="1:11" ht="12.75" customHeight="1">
      <c r="A480" s="212"/>
      <c r="B480" s="212"/>
      <c r="C480" s="212"/>
      <c r="D480" s="212"/>
      <c r="E480" s="212"/>
      <c r="F480" s="212"/>
      <c r="G480" s="212"/>
      <c r="H480" s="212"/>
      <c r="J480" s="212"/>
      <c r="K480" s="212"/>
    </row>
    <row r="481" spans="1:11" ht="12.75" customHeight="1">
      <c r="A481" s="212"/>
      <c r="B481" s="212"/>
      <c r="C481" s="212"/>
      <c r="D481" s="212"/>
      <c r="E481" s="212"/>
      <c r="F481" s="212"/>
      <c r="G481" s="212"/>
      <c r="H481" s="212"/>
      <c r="J481" s="212"/>
      <c r="K481" s="212"/>
    </row>
    <row r="482" spans="1:11" ht="12.75" customHeight="1">
      <c r="A482" s="212"/>
      <c r="B482" s="212"/>
      <c r="C482" s="212"/>
      <c r="D482" s="212"/>
      <c r="E482" s="212"/>
      <c r="F482" s="212"/>
      <c r="G482" s="212"/>
      <c r="H482" s="212"/>
      <c r="J482" s="212"/>
      <c r="K482" s="212"/>
    </row>
    <row r="483" spans="1:11" ht="12.75" customHeight="1">
      <c r="A483" s="212"/>
      <c r="B483" s="212"/>
      <c r="C483" s="212"/>
      <c r="D483" s="212"/>
      <c r="E483" s="212"/>
      <c r="F483" s="212"/>
      <c r="G483" s="212"/>
      <c r="H483" s="212"/>
      <c r="J483" s="212"/>
      <c r="K483" s="212"/>
    </row>
    <row r="484" spans="1:11" ht="12.75" customHeight="1">
      <c r="A484" s="212"/>
      <c r="B484" s="212"/>
      <c r="C484" s="212"/>
      <c r="D484" s="212"/>
      <c r="E484" s="212"/>
      <c r="F484" s="212"/>
      <c r="G484" s="212"/>
      <c r="H484" s="212"/>
      <c r="J484" s="212"/>
      <c r="K484" s="212"/>
    </row>
    <row r="485" spans="1:11" ht="12.75" customHeight="1">
      <c r="A485" s="212"/>
      <c r="B485" s="212"/>
      <c r="C485" s="212"/>
      <c r="D485" s="212"/>
      <c r="E485" s="212"/>
      <c r="F485" s="212"/>
      <c r="G485" s="212"/>
      <c r="H485" s="212"/>
      <c r="J485" s="212"/>
      <c r="K485" s="212"/>
    </row>
    <row r="486" spans="1:11" ht="12.75" customHeight="1">
      <c r="A486" s="212"/>
      <c r="B486" s="212"/>
      <c r="C486" s="212"/>
      <c r="D486" s="212"/>
      <c r="E486" s="212"/>
      <c r="F486" s="212"/>
      <c r="G486" s="212"/>
      <c r="H486" s="212"/>
      <c r="J486" s="212"/>
      <c r="K486" s="212"/>
    </row>
    <row r="487" spans="1:11" ht="12.75" customHeight="1">
      <c r="A487" s="212"/>
      <c r="B487" s="212"/>
      <c r="C487" s="212"/>
      <c r="D487" s="212"/>
      <c r="E487" s="212"/>
      <c r="F487" s="212"/>
      <c r="G487" s="212"/>
      <c r="H487" s="212"/>
      <c r="J487" s="212"/>
      <c r="K487" s="212"/>
    </row>
    <row r="488" spans="1:11" ht="12.75" customHeight="1">
      <c r="A488" s="212"/>
      <c r="B488" s="212"/>
      <c r="C488" s="212"/>
      <c r="D488" s="212"/>
      <c r="E488" s="212"/>
      <c r="F488" s="212"/>
      <c r="G488" s="212"/>
      <c r="H488" s="212"/>
      <c r="J488" s="212"/>
      <c r="K488" s="212"/>
    </row>
    <row r="489" spans="1:11" ht="12.75" customHeight="1">
      <c r="A489" s="212"/>
      <c r="B489" s="212"/>
      <c r="C489" s="212"/>
      <c r="D489" s="212"/>
      <c r="E489" s="212"/>
      <c r="F489" s="212"/>
      <c r="G489" s="212"/>
      <c r="H489" s="212"/>
      <c r="J489" s="212"/>
      <c r="K489" s="212"/>
    </row>
    <row r="490" spans="1:11" ht="12.75" customHeight="1">
      <c r="A490" s="212"/>
      <c r="B490" s="212"/>
      <c r="C490" s="212"/>
      <c r="D490" s="212"/>
      <c r="E490" s="212"/>
      <c r="F490" s="212"/>
      <c r="G490" s="212"/>
      <c r="H490" s="212"/>
      <c r="J490" s="212"/>
      <c r="K490" s="212"/>
    </row>
    <row r="491" spans="1:11" ht="12.75" customHeight="1">
      <c r="A491" s="212"/>
      <c r="B491" s="212"/>
      <c r="C491" s="212"/>
      <c r="D491" s="212"/>
      <c r="E491" s="212"/>
      <c r="F491" s="212"/>
      <c r="G491" s="212"/>
      <c r="H491" s="212"/>
      <c r="J491" s="212"/>
      <c r="K491" s="212"/>
    </row>
    <row r="492" spans="1:11" ht="12.75" customHeight="1">
      <c r="A492" s="212"/>
      <c r="B492" s="212"/>
      <c r="C492" s="212"/>
      <c r="D492" s="212"/>
      <c r="E492" s="212"/>
      <c r="F492" s="212"/>
      <c r="G492" s="212"/>
      <c r="H492" s="212"/>
      <c r="J492" s="212"/>
      <c r="K492" s="212"/>
    </row>
    <row r="493" spans="1:11" ht="12.75" customHeight="1">
      <c r="A493" s="212"/>
      <c r="B493" s="212"/>
      <c r="C493" s="212"/>
      <c r="D493" s="212"/>
      <c r="E493" s="212"/>
      <c r="F493" s="212"/>
      <c r="G493" s="212"/>
      <c r="H493" s="212"/>
      <c r="J493" s="212"/>
      <c r="K493" s="212"/>
    </row>
    <row r="494" spans="1:11" ht="12.75" customHeight="1">
      <c r="A494" s="212"/>
      <c r="B494" s="212"/>
      <c r="C494" s="212"/>
      <c r="D494" s="212"/>
      <c r="E494" s="212"/>
      <c r="F494" s="212"/>
      <c r="G494" s="212"/>
      <c r="H494" s="212"/>
      <c r="J494" s="212"/>
      <c r="K494" s="212"/>
    </row>
    <row r="495" spans="1:11" ht="12.75" customHeight="1">
      <c r="A495" s="212"/>
      <c r="B495" s="212"/>
      <c r="C495" s="212"/>
      <c r="D495" s="212"/>
      <c r="E495" s="212"/>
      <c r="F495" s="212"/>
      <c r="G495" s="212"/>
      <c r="H495" s="212"/>
      <c r="J495" s="212"/>
      <c r="K495" s="212"/>
    </row>
    <row r="496" spans="1:11" ht="12.75" customHeight="1">
      <c r="A496" s="212"/>
      <c r="B496" s="212"/>
      <c r="C496" s="212"/>
      <c r="D496" s="212"/>
      <c r="E496" s="212"/>
      <c r="F496" s="212"/>
      <c r="G496" s="212"/>
      <c r="H496" s="212"/>
      <c r="J496" s="212"/>
      <c r="K496" s="212"/>
    </row>
    <row r="497" spans="1:11" ht="12.75" customHeight="1">
      <c r="A497" s="212"/>
      <c r="B497" s="212"/>
      <c r="C497" s="212"/>
      <c r="D497" s="212"/>
      <c r="E497" s="212"/>
      <c r="F497" s="212"/>
      <c r="G497" s="212"/>
      <c r="H497" s="212"/>
      <c r="J497" s="212"/>
      <c r="K497" s="212"/>
    </row>
    <row r="498" spans="1:11" ht="12.75" customHeight="1">
      <c r="A498" s="212"/>
      <c r="B498" s="212"/>
      <c r="C498" s="212"/>
      <c r="D498" s="212"/>
      <c r="E498" s="212"/>
      <c r="F498" s="212"/>
      <c r="G498" s="212"/>
      <c r="H498" s="212"/>
      <c r="J498" s="212"/>
      <c r="K498" s="212"/>
    </row>
    <row r="499" spans="1:11" ht="12.75" customHeight="1">
      <c r="A499" s="212"/>
      <c r="B499" s="212"/>
      <c r="C499" s="212"/>
      <c r="D499" s="212"/>
      <c r="E499" s="212"/>
      <c r="F499" s="212"/>
      <c r="G499" s="212"/>
      <c r="H499" s="212"/>
      <c r="J499" s="212"/>
      <c r="K499" s="212"/>
    </row>
    <row r="500" spans="1:11" ht="12.75" customHeight="1">
      <c r="A500" s="212"/>
      <c r="B500" s="212"/>
      <c r="C500" s="212"/>
      <c r="D500" s="212"/>
      <c r="E500" s="212"/>
      <c r="F500" s="212"/>
      <c r="G500" s="212"/>
      <c r="H500" s="212"/>
      <c r="J500" s="212"/>
      <c r="K500" s="212"/>
    </row>
    <row r="501" spans="1:11" ht="12.75" customHeight="1">
      <c r="A501" s="212"/>
      <c r="B501" s="212"/>
      <c r="C501" s="212"/>
      <c r="D501" s="212"/>
      <c r="E501" s="212"/>
      <c r="F501" s="212"/>
      <c r="G501" s="212"/>
      <c r="H501" s="212"/>
      <c r="J501" s="212"/>
      <c r="K501" s="212"/>
    </row>
    <row r="502" spans="1:11" ht="12.75" customHeight="1">
      <c r="A502" s="212"/>
      <c r="B502" s="212"/>
      <c r="C502" s="212"/>
      <c r="D502" s="212"/>
      <c r="E502" s="212"/>
      <c r="F502" s="212"/>
      <c r="G502" s="212"/>
      <c r="H502" s="212"/>
      <c r="J502" s="212"/>
      <c r="K502" s="212"/>
    </row>
    <row r="503" spans="1:11" ht="12.75" customHeight="1">
      <c r="A503" s="212"/>
      <c r="B503" s="212"/>
      <c r="C503" s="212"/>
      <c r="D503" s="212"/>
      <c r="E503" s="212"/>
      <c r="F503" s="212"/>
      <c r="G503" s="212"/>
      <c r="H503" s="212"/>
      <c r="J503" s="212"/>
      <c r="K503" s="212"/>
    </row>
    <row r="504" spans="1:11" ht="12.75" customHeight="1">
      <c r="A504" s="212"/>
      <c r="B504" s="212"/>
      <c r="C504" s="212"/>
      <c r="D504" s="212"/>
      <c r="E504" s="212"/>
      <c r="F504" s="212"/>
      <c r="G504" s="212"/>
      <c r="H504" s="212"/>
      <c r="J504" s="212"/>
      <c r="K504" s="212"/>
    </row>
    <row r="505" spans="1:11" ht="12.75" customHeight="1">
      <c r="A505" s="212"/>
      <c r="B505" s="212"/>
      <c r="C505" s="212"/>
      <c r="D505" s="212"/>
      <c r="E505" s="212"/>
      <c r="F505" s="212"/>
      <c r="G505" s="212"/>
      <c r="H505" s="212"/>
      <c r="J505" s="212"/>
      <c r="K505" s="212"/>
    </row>
    <row r="506" spans="1:11" ht="12.75" customHeight="1">
      <c r="A506" s="212"/>
      <c r="B506" s="212"/>
      <c r="C506" s="212"/>
      <c r="D506" s="212"/>
      <c r="E506" s="212"/>
      <c r="F506" s="212"/>
      <c r="G506" s="212"/>
      <c r="H506" s="212"/>
      <c r="J506" s="212"/>
      <c r="K506" s="212"/>
    </row>
    <row r="507" spans="1:11" ht="12.75" customHeight="1">
      <c r="A507" s="212"/>
      <c r="B507" s="212"/>
      <c r="C507" s="212"/>
      <c r="D507" s="212"/>
      <c r="E507" s="212"/>
      <c r="F507" s="212"/>
      <c r="G507" s="212"/>
      <c r="H507" s="212"/>
      <c r="J507" s="212"/>
      <c r="K507" s="212"/>
    </row>
    <row r="508" spans="1:11" ht="12.75" customHeight="1">
      <c r="A508" s="212"/>
      <c r="B508" s="212"/>
      <c r="C508" s="212"/>
      <c r="D508" s="212"/>
      <c r="E508" s="212"/>
      <c r="F508" s="212"/>
      <c r="G508" s="212"/>
      <c r="H508" s="212"/>
      <c r="J508" s="212"/>
      <c r="K508" s="212"/>
    </row>
    <row r="509" spans="1:11" ht="12.75" customHeight="1">
      <c r="A509" s="212"/>
      <c r="B509" s="212"/>
      <c r="C509" s="212"/>
      <c r="D509" s="212"/>
      <c r="E509" s="212"/>
      <c r="F509" s="212"/>
      <c r="G509" s="212"/>
      <c r="H509" s="212"/>
      <c r="J509" s="212"/>
      <c r="K509" s="212"/>
    </row>
    <row r="510" spans="1:11" ht="12.75" customHeight="1">
      <c r="A510" s="212"/>
      <c r="B510" s="212"/>
      <c r="C510" s="212"/>
      <c r="D510" s="212"/>
      <c r="E510" s="212"/>
      <c r="F510" s="212"/>
      <c r="G510" s="212"/>
      <c r="H510" s="212"/>
      <c r="J510" s="212"/>
      <c r="K510" s="212"/>
    </row>
    <row r="511" spans="1:11" ht="12.75" customHeight="1">
      <c r="A511" s="212"/>
      <c r="B511" s="212"/>
      <c r="C511" s="212"/>
      <c r="D511" s="212"/>
      <c r="E511" s="212"/>
      <c r="F511" s="212"/>
      <c r="G511" s="212"/>
      <c r="H511" s="212"/>
      <c r="J511" s="212"/>
      <c r="K511" s="212"/>
    </row>
    <row r="512" spans="1:11" ht="12.75" customHeight="1">
      <c r="A512" s="212"/>
      <c r="B512" s="212"/>
      <c r="C512" s="212"/>
      <c r="D512" s="212"/>
      <c r="E512" s="212"/>
      <c r="F512" s="212"/>
      <c r="G512" s="212"/>
      <c r="H512" s="212"/>
      <c r="J512" s="212"/>
      <c r="K512" s="212"/>
    </row>
    <row r="513" spans="1:11" ht="12.75" customHeight="1">
      <c r="A513" s="212"/>
      <c r="B513" s="212"/>
      <c r="C513" s="212"/>
      <c r="D513" s="212"/>
      <c r="E513" s="212"/>
      <c r="F513" s="212"/>
      <c r="G513" s="212"/>
      <c r="H513" s="212"/>
      <c r="J513" s="212"/>
      <c r="K513" s="212"/>
    </row>
    <row r="514" spans="1:11" ht="12.75" customHeight="1">
      <c r="A514" s="212"/>
      <c r="B514" s="212"/>
      <c r="C514" s="212"/>
      <c r="D514" s="212"/>
      <c r="E514" s="212"/>
      <c r="F514" s="212"/>
      <c r="G514" s="212"/>
      <c r="H514" s="212"/>
      <c r="J514" s="212"/>
      <c r="K514" s="212"/>
    </row>
    <row r="515" spans="1:11" ht="12.75" customHeight="1">
      <c r="A515" s="212"/>
      <c r="B515" s="212"/>
      <c r="C515" s="212"/>
      <c r="D515" s="212"/>
      <c r="E515" s="212"/>
      <c r="F515" s="212"/>
      <c r="G515" s="212"/>
      <c r="H515" s="212"/>
      <c r="J515" s="212"/>
      <c r="K515" s="212"/>
    </row>
    <row r="516" spans="1:11" ht="12.75" customHeight="1">
      <c r="A516" s="212"/>
      <c r="B516" s="212"/>
      <c r="C516" s="212"/>
      <c r="D516" s="212"/>
      <c r="E516" s="212"/>
      <c r="F516" s="212"/>
      <c r="G516" s="212"/>
      <c r="H516" s="212"/>
      <c r="J516" s="212"/>
      <c r="K516" s="212"/>
    </row>
    <row r="517" spans="1:11" ht="12.75" customHeight="1">
      <c r="A517" s="212"/>
      <c r="B517" s="212"/>
      <c r="C517" s="212"/>
      <c r="D517" s="212"/>
      <c r="E517" s="212"/>
      <c r="F517" s="212"/>
      <c r="G517" s="212"/>
      <c r="H517" s="212"/>
      <c r="J517" s="212"/>
      <c r="K517" s="212"/>
    </row>
    <row r="518" spans="1:11" ht="12.75" customHeight="1">
      <c r="A518" s="212"/>
      <c r="B518" s="212"/>
      <c r="C518" s="212"/>
      <c r="D518" s="212"/>
      <c r="E518" s="212"/>
      <c r="F518" s="212"/>
      <c r="G518" s="212"/>
      <c r="H518" s="212"/>
      <c r="J518" s="212"/>
      <c r="K518" s="212"/>
    </row>
    <row r="519" spans="1:11" ht="12.75" customHeight="1">
      <c r="A519" s="212"/>
      <c r="B519" s="212"/>
      <c r="C519" s="212"/>
      <c r="D519" s="212"/>
      <c r="E519" s="212"/>
      <c r="F519" s="212"/>
      <c r="G519" s="212"/>
      <c r="H519" s="212"/>
      <c r="J519" s="212"/>
      <c r="K519" s="212"/>
    </row>
    <row r="520" spans="1:11" ht="12.75" customHeight="1">
      <c r="A520" s="212"/>
      <c r="B520" s="212"/>
      <c r="C520" s="212"/>
      <c r="D520" s="212"/>
      <c r="E520" s="212"/>
      <c r="F520" s="212"/>
      <c r="G520" s="212"/>
      <c r="H520" s="212"/>
      <c r="J520" s="212"/>
      <c r="K520" s="212"/>
    </row>
    <row r="521" spans="1:11" ht="12.75" customHeight="1">
      <c r="A521" s="212"/>
      <c r="B521" s="212"/>
      <c r="C521" s="212"/>
      <c r="D521" s="212"/>
      <c r="E521" s="212"/>
      <c r="F521" s="212"/>
      <c r="G521" s="212"/>
      <c r="H521" s="212"/>
      <c r="J521" s="212"/>
      <c r="K521" s="212"/>
    </row>
    <row r="522" spans="1:11" ht="12.75" customHeight="1">
      <c r="A522" s="212"/>
      <c r="B522" s="212"/>
      <c r="C522" s="212"/>
      <c r="D522" s="212"/>
      <c r="E522" s="212"/>
      <c r="F522" s="212"/>
      <c r="G522" s="212"/>
      <c r="H522" s="212"/>
      <c r="J522" s="212"/>
      <c r="K522" s="212"/>
    </row>
    <row r="523" spans="1:11" ht="12.75" customHeight="1">
      <c r="A523" s="212"/>
      <c r="B523" s="212"/>
      <c r="C523" s="212"/>
      <c r="D523" s="212"/>
      <c r="E523" s="212"/>
      <c r="F523" s="212"/>
      <c r="G523" s="212"/>
      <c r="H523" s="212"/>
      <c r="J523" s="212"/>
      <c r="K523" s="212"/>
    </row>
    <row r="524" spans="1:11" ht="12.75" customHeight="1">
      <c r="A524" s="212"/>
      <c r="B524" s="212"/>
      <c r="C524" s="212"/>
      <c r="D524" s="212"/>
      <c r="E524" s="212"/>
      <c r="F524" s="212"/>
      <c r="G524" s="212"/>
      <c r="H524" s="212"/>
      <c r="J524" s="212"/>
      <c r="K524" s="212"/>
    </row>
    <row r="525" spans="1:11" ht="12.75" customHeight="1">
      <c r="A525" s="212"/>
      <c r="B525" s="212"/>
      <c r="C525" s="212"/>
      <c r="D525" s="212"/>
      <c r="E525" s="212"/>
      <c r="F525" s="212"/>
      <c r="G525" s="212"/>
      <c r="H525" s="212"/>
      <c r="J525" s="212"/>
      <c r="K525" s="212"/>
    </row>
    <row r="526" spans="1:11" ht="12.75" customHeight="1">
      <c r="A526" s="212"/>
      <c r="B526" s="212"/>
      <c r="C526" s="212"/>
      <c r="D526" s="212"/>
      <c r="E526" s="212"/>
      <c r="F526" s="212"/>
      <c r="G526" s="212"/>
      <c r="H526" s="212"/>
      <c r="J526" s="212"/>
      <c r="K526" s="212"/>
    </row>
    <row r="527" spans="1:11" ht="12.75" customHeight="1">
      <c r="A527" s="212"/>
      <c r="B527" s="212"/>
      <c r="C527" s="212"/>
      <c r="D527" s="212"/>
      <c r="E527" s="212"/>
      <c r="F527" s="212"/>
      <c r="G527" s="212"/>
      <c r="H527" s="212"/>
      <c r="J527" s="212"/>
      <c r="K527" s="212"/>
    </row>
    <row r="528" spans="1:11" ht="12.75" customHeight="1">
      <c r="A528" s="212"/>
      <c r="B528" s="212"/>
      <c r="C528" s="212"/>
      <c r="D528" s="212"/>
      <c r="E528" s="212"/>
      <c r="F528" s="212"/>
      <c r="G528" s="212"/>
      <c r="H528" s="212"/>
      <c r="J528" s="212"/>
      <c r="K528" s="212"/>
    </row>
    <row r="529" spans="1:11" ht="12.75" customHeight="1">
      <c r="A529" s="212"/>
      <c r="B529" s="212"/>
      <c r="C529" s="212"/>
      <c r="D529" s="212"/>
      <c r="E529" s="212"/>
      <c r="F529" s="212"/>
      <c r="G529" s="212"/>
      <c r="H529" s="212"/>
      <c r="J529" s="212"/>
      <c r="K529" s="212"/>
    </row>
    <row r="530" spans="1:11" ht="12.75" customHeight="1">
      <c r="A530" s="212"/>
      <c r="B530" s="212"/>
      <c r="C530" s="212"/>
      <c r="D530" s="212"/>
      <c r="E530" s="212"/>
      <c r="F530" s="212"/>
      <c r="G530" s="212"/>
      <c r="H530" s="212"/>
      <c r="J530" s="212"/>
      <c r="K530" s="212"/>
    </row>
    <row r="531" spans="1:11" ht="12.75" customHeight="1">
      <c r="A531" s="212"/>
      <c r="B531" s="212"/>
      <c r="C531" s="212"/>
      <c r="D531" s="212"/>
      <c r="E531" s="212"/>
      <c r="F531" s="212"/>
      <c r="G531" s="212"/>
      <c r="H531" s="212"/>
      <c r="J531" s="212"/>
      <c r="K531" s="212"/>
    </row>
    <row r="532" spans="1:11" ht="12.75" customHeight="1">
      <c r="A532" s="212"/>
      <c r="B532" s="212"/>
      <c r="C532" s="212"/>
      <c r="D532" s="212"/>
      <c r="E532" s="212"/>
      <c r="F532" s="212"/>
      <c r="G532" s="212"/>
      <c r="H532" s="212"/>
      <c r="J532" s="212"/>
      <c r="K532" s="212"/>
    </row>
    <row r="533" spans="1:11" ht="12.75" customHeight="1">
      <c r="A533" s="212"/>
      <c r="B533" s="212"/>
      <c r="C533" s="212"/>
      <c r="D533" s="212"/>
      <c r="E533" s="212"/>
      <c r="F533" s="212"/>
      <c r="G533" s="212"/>
      <c r="H533" s="212"/>
      <c r="J533" s="212"/>
      <c r="K533" s="212"/>
    </row>
    <row r="534" spans="1:11" ht="12.75" customHeight="1">
      <c r="A534" s="212"/>
      <c r="B534" s="212"/>
      <c r="C534" s="212"/>
      <c r="D534" s="212"/>
      <c r="E534" s="212"/>
      <c r="F534" s="212"/>
      <c r="G534" s="212"/>
      <c r="H534" s="212"/>
      <c r="J534" s="212"/>
      <c r="K534" s="212"/>
    </row>
    <row r="535" spans="1:11" ht="12.75" customHeight="1">
      <c r="A535" s="212"/>
      <c r="B535" s="212"/>
      <c r="C535" s="212"/>
      <c r="D535" s="212"/>
      <c r="E535" s="212"/>
      <c r="F535" s="212"/>
      <c r="G535" s="212"/>
      <c r="H535" s="212"/>
      <c r="J535" s="212"/>
      <c r="K535" s="212"/>
    </row>
    <row r="536" spans="1:11" ht="12.75" customHeight="1">
      <c r="A536" s="212"/>
      <c r="B536" s="212"/>
      <c r="C536" s="212"/>
      <c r="D536" s="212"/>
      <c r="E536" s="212"/>
      <c r="F536" s="212"/>
      <c r="G536" s="212"/>
      <c r="H536" s="212"/>
      <c r="J536" s="212"/>
      <c r="K536" s="212"/>
    </row>
    <row r="537" spans="1:11" ht="12.75" customHeight="1">
      <c r="A537" s="212"/>
      <c r="B537" s="212"/>
      <c r="C537" s="212"/>
      <c r="D537" s="212"/>
      <c r="E537" s="212"/>
      <c r="F537" s="212"/>
      <c r="G537" s="212"/>
      <c r="H537" s="212"/>
      <c r="J537" s="212"/>
      <c r="K537" s="212"/>
    </row>
    <row r="538" spans="1:11" ht="12.75" customHeight="1">
      <c r="A538" s="212"/>
      <c r="B538" s="212"/>
      <c r="C538" s="212"/>
      <c r="D538" s="212"/>
      <c r="E538" s="212"/>
      <c r="F538" s="212"/>
      <c r="G538" s="212"/>
      <c r="H538" s="212"/>
      <c r="J538" s="212"/>
      <c r="K538" s="212"/>
    </row>
    <row r="539" spans="1:11" ht="12.75" customHeight="1">
      <c r="A539" s="212"/>
      <c r="B539" s="212"/>
      <c r="C539" s="212"/>
      <c r="D539" s="212"/>
      <c r="E539" s="212"/>
      <c r="F539" s="212"/>
      <c r="G539" s="212"/>
      <c r="H539" s="212"/>
      <c r="J539" s="212"/>
      <c r="K539" s="212"/>
    </row>
    <row r="540" spans="1:11" ht="12.75" customHeight="1">
      <c r="A540" s="212"/>
      <c r="B540" s="212"/>
      <c r="C540" s="212"/>
      <c r="D540" s="212"/>
      <c r="E540" s="212"/>
      <c r="F540" s="212"/>
      <c r="G540" s="212"/>
      <c r="H540" s="212"/>
      <c r="J540" s="212"/>
      <c r="K540" s="212"/>
    </row>
    <row r="541" spans="1:11" ht="12.75" customHeight="1">
      <c r="A541" s="212"/>
      <c r="B541" s="212"/>
      <c r="C541" s="212"/>
      <c r="D541" s="212"/>
      <c r="E541" s="212"/>
      <c r="F541" s="212"/>
      <c r="G541" s="212"/>
      <c r="H541" s="212"/>
      <c r="J541" s="212"/>
      <c r="K541" s="212"/>
    </row>
    <row r="542" spans="1:11" ht="12.75" customHeight="1">
      <c r="A542" s="212"/>
      <c r="B542" s="212"/>
      <c r="C542" s="212"/>
      <c r="D542" s="212"/>
      <c r="E542" s="212"/>
      <c r="F542" s="212"/>
      <c r="G542" s="212"/>
      <c r="H542" s="212"/>
      <c r="J542" s="212"/>
      <c r="K542" s="212"/>
    </row>
    <row r="543" spans="1:11" ht="12.75" customHeight="1">
      <c r="A543" s="212"/>
      <c r="B543" s="212"/>
      <c r="C543" s="212"/>
      <c r="D543" s="212"/>
      <c r="E543" s="212"/>
      <c r="F543" s="212"/>
      <c r="G543" s="212"/>
      <c r="H543" s="212"/>
      <c r="J543" s="212"/>
      <c r="K543" s="212"/>
    </row>
    <row r="544" spans="1:11" ht="12.75" customHeight="1">
      <c r="A544" s="212"/>
      <c r="B544" s="212"/>
      <c r="C544" s="212"/>
      <c r="D544" s="212"/>
      <c r="E544" s="212"/>
      <c r="F544" s="212"/>
      <c r="G544" s="212"/>
      <c r="H544" s="212"/>
      <c r="J544" s="212"/>
      <c r="K544" s="212"/>
    </row>
    <row r="545" spans="1:11" ht="12.75" customHeight="1">
      <c r="A545" s="212"/>
      <c r="B545" s="212"/>
      <c r="C545" s="212"/>
      <c r="D545" s="212"/>
      <c r="E545" s="212"/>
      <c r="F545" s="212"/>
      <c r="G545" s="212"/>
      <c r="H545" s="212"/>
      <c r="J545" s="212"/>
      <c r="K545" s="212"/>
    </row>
    <row r="546" spans="1:11" ht="12.75" customHeight="1">
      <c r="A546" s="212"/>
      <c r="B546" s="212"/>
      <c r="C546" s="212"/>
      <c r="D546" s="212"/>
      <c r="E546" s="212"/>
      <c r="F546" s="212"/>
      <c r="G546" s="212"/>
      <c r="H546" s="212"/>
      <c r="J546" s="212"/>
      <c r="K546" s="212"/>
    </row>
    <row r="547" spans="1:11" ht="12.75" customHeight="1">
      <c r="A547" s="212"/>
      <c r="B547" s="212"/>
      <c r="C547" s="212"/>
      <c r="D547" s="212"/>
      <c r="E547" s="212"/>
      <c r="F547" s="212"/>
      <c r="G547" s="212"/>
      <c r="H547" s="212"/>
      <c r="J547" s="212"/>
      <c r="K547" s="212"/>
    </row>
    <row r="548" spans="1:11" ht="12.75" customHeight="1">
      <c r="A548" s="212"/>
      <c r="B548" s="212"/>
      <c r="C548" s="212"/>
      <c r="D548" s="212"/>
      <c r="E548" s="212"/>
      <c r="F548" s="212"/>
      <c r="G548" s="212"/>
      <c r="H548" s="212"/>
      <c r="J548" s="212"/>
      <c r="K548" s="212"/>
    </row>
    <row r="549" spans="1:11" ht="12.75" customHeight="1">
      <c r="A549" s="212"/>
      <c r="B549" s="212"/>
      <c r="C549" s="212"/>
      <c r="D549" s="212"/>
      <c r="E549" s="212"/>
      <c r="F549" s="212"/>
      <c r="G549" s="212"/>
      <c r="H549" s="212"/>
      <c r="J549" s="212"/>
      <c r="K549" s="212"/>
    </row>
    <row r="550" spans="1:11" ht="12.75" customHeight="1">
      <c r="A550" s="212"/>
      <c r="B550" s="212"/>
      <c r="C550" s="212"/>
      <c r="D550" s="212"/>
      <c r="E550" s="212"/>
      <c r="F550" s="212"/>
      <c r="G550" s="212"/>
      <c r="H550" s="212"/>
      <c r="J550" s="212"/>
      <c r="K550" s="212"/>
    </row>
    <row r="551" spans="1:11" ht="12.75" customHeight="1">
      <c r="A551" s="212"/>
      <c r="B551" s="212"/>
      <c r="C551" s="212"/>
      <c r="D551" s="212"/>
      <c r="E551" s="212"/>
      <c r="F551" s="212"/>
      <c r="G551" s="212"/>
      <c r="H551" s="212"/>
      <c r="J551" s="212"/>
      <c r="K551" s="212"/>
    </row>
    <row r="552" spans="1:11" ht="12.75" customHeight="1">
      <c r="A552" s="212"/>
      <c r="B552" s="212"/>
      <c r="C552" s="212"/>
      <c r="D552" s="212"/>
      <c r="E552" s="212"/>
      <c r="F552" s="212"/>
      <c r="G552" s="212"/>
      <c r="H552" s="212"/>
      <c r="J552" s="212"/>
      <c r="K552" s="212"/>
    </row>
    <row r="553" spans="1:11" ht="12.75" customHeight="1">
      <c r="A553" s="212"/>
      <c r="B553" s="212"/>
      <c r="C553" s="212"/>
      <c r="D553" s="212"/>
      <c r="E553" s="212"/>
      <c r="F553" s="212"/>
      <c r="G553" s="212"/>
      <c r="H553" s="212"/>
      <c r="J553" s="212"/>
      <c r="K553" s="212"/>
    </row>
    <row r="554" spans="1:11" ht="12.75" customHeight="1">
      <c r="A554" s="212"/>
      <c r="B554" s="212"/>
      <c r="C554" s="212"/>
      <c r="D554" s="212"/>
      <c r="E554" s="212"/>
      <c r="F554" s="212"/>
      <c r="G554" s="212"/>
      <c r="H554" s="212"/>
      <c r="J554" s="212"/>
      <c r="K554" s="212"/>
    </row>
    <row r="555" spans="1:11" ht="12.75" customHeight="1">
      <c r="A555" s="212"/>
      <c r="B555" s="212"/>
      <c r="C555" s="212"/>
      <c r="D555" s="212"/>
      <c r="E555" s="212"/>
      <c r="F555" s="212"/>
      <c r="G555" s="212"/>
      <c r="H555" s="212"/>
      <c r="J555" s="212"/>
      <c r="K555" s="212"/>
    </row>
    <row r="556" spans="1:11" ht="12.75" customHeight="1">
      <c r="A556" s="212"/>
      <c r="B556" s="212"/>
      <c r="C556" s="212"/>
      <c r="D556" s="212"/>
      <c r="E556" s="212"/>
      <c r="F556" s="212"/>
      <c r="G556" s="212"/>
      <c r="H556" s="212"/>
      <c r="J556" s="212"/>
      <c r="K556" s="212"/>
    </row>
    <row r="557" spans="1:11" ht="12.75" customHeight="1">
      <c r="A557" s="212"/>
      <c r="B557" s="212"/>
      <c r="C557" s="212"/>
      <c r="D557" s="212"/>
      <c r="E557" s="212"/>
      <c r="F557" s="212"/>
      <c r="G557" s="212"/>
      <c r="H557" s="212"/>
      <c r="J557" s="212"/>
      <c r="K557" s="212"/>
    </row>
    <row r="558" spans="1:11" ht="12.75" customHeight="1">
      <c r="A558" s="212"/>
      <c r="B558" s="212"/>
      <c r="C558" s="212"/>
      <c r="D558" s="212"/>
      <c r="E558" s="212"/>
      <c r="F558" s="212"/>
      <c r="G558" s="212"/>
      <c r="H558" s="212"/>
      <c r="J558" s="212"/>
      <c r="K558" s="212"/>
    </row>
    <row r="559" spans="1:11" ht="12.75" customHeight="1">
      <c r="A559" s="212"/>
      <c r="B559" s="212"/>
      <c r="C559" s="212"/>
      <c r="D559" s="212"/>
      <c r="E559" s="212"/>
      <c r="F559" s="212"/>
      <c r="G559" s="212"/>
      <c r="H559" s="212"/>
      <c r="J559" s="212"/>
      <c r="K559" s="212"/>
    </row>
    <row r="560" spans="1:11" ht="12.75" customHeight="1">
      <c r="A560" s="212"/>
      <c r="B560" s="212"/>
      <c r="C560" s="212"/>
      <c r="D560" s="212"/>
      <c r="E560" s="212"/>
      <c r="F560" s="212"/>
      <c r="G560" s="212"/>
      <c r="H560" s="212"/>
      <c r="J560" s="212"/>
      <c r="K560" s="212"/>
    </row>
    <row r="561" spans="1:11" ht="12.75" customHeight="1">
      <c r="A561" s="212"/>
      <c r="B561" s="212"/>
      <c r="C561" s="212"/>
      <c r="D561" s="212"/>
      <c r="E561" s="212"/>
      <c r="F561" s="212"/>
      <c r="G561" s="212"/>
      <c r="H561" s="212"/>
      <c r="J561" s="212"/>
      <c r="K561" s="212"/>
    </row>
    <row r="562" spans="1:11" ht="12.75" customHeight="1">
      <c r="A562" s="212"/>
      <c r="B562" s="212"/>
      <c r="C562" s="212"/>
      <c r="D562" s="212"/>
      <c r="E562" s="212"/>
      <c r="F562" s="212"/>
      <c r="G562" s="212"/>
      <c r="H562" s="212"/>
      <c r="J562" s="212"/>
      <c r="K562" s="212"/>
    </row>
    <row r="563" spans="1:11" ht="12.75" customHeight="1">
      <c r="A563" s="212"/>
      <c r="B563" s="212"/>
      <c r="C563" s="212"/>
      <c r="D563" s="212"/>
      <c r="E563" s="212"/>
      <c r="F563" s="212"/>
      <c r="G563" s="212"/>
      <c r="H563" s="212"/>
      <c r="J563" s="212"/>
      <c r="K563" s="212"/>
    </row>
    <row r="564" spans="1:11" ht="12.75" customHeight="1">
      <c r="A564" s="212"/>
      <c r="B564" s="212"/>
      <c r="C564" s="212"/>
      <c r="D564" s="212"/>
      <c r="E564" s="212"/>
      <c r="F564" s="212"/>
      <c r="G564" s="212"/>
      <c r="H564" s="212"/>
      <c r="J564" s="212"/>
      <c r="K564" s="212"/>
    </row>
    <row r="565" spans="1:11" ht="12.75" customHeight="1">
      <c r="A565" s="212"/>
      <c r="B565" s="212"/>
      <c r="C565" s="212"/>
      <c r="D565" s="212"/>
      <c r="E565" s="212"/>
      <c r="F565" s="212"/>
      <c r="G565" s="212"/>
      <c r="H565" s="212"/>
      <c r="J565" s="212"/>
      <c r="K565" s="212"/>
    </row>
    <row r="566" spans="1:11" ht="12.75" customHeight="1">
      <c r="A566" s="212"/>
      <c r="B566" s="212"/>
      <c r="C566" s="212"/>
      <c r="D566" s="212"/>
      <c r="E566" s="212"/>
      <c r="F566" s="212"/>
      <c r="G566" s="212"/>
      <c r="H566" s="212"/>
      <c r="J566" s="212"/>
      <c r="K566" s="212"/>
    </row>
    <row r="567" spans="1:11" ht="12.75" customHeight="1">
      <c r="A567" s="212"/>
      <c r="B567" s="212"/>
      <c r="C567" s="212"/>
      <c r="D567" s="212"/>
      <c r="E567" s="212"/>
      <c r="F567" s="212"/>
      <c r="G567" s="212"/>
      <c r="H567" s="212"/>
      <c r="J567" s="212"/>
      <c r="K567" s="212"/>
    </row>
    <row r="568" spans="1:11" ht="12.75" customHeight="1">
      <c r="A568" s="212"/>
      <c r="B568" s="212"/>
      <c r="C568" s="212"/>
      <c r="D568" s="212"/>
      <c r="E568" s="212"/>
      <c r="F568" s="212"/>
      <c r="G568" s="212"/>
      <c r="H568" s="212"/>
      <c r="J568" s="212"/>
      <c r="K568" s="212"/>
    </row>
    <row r="569" spans="1:11" ht="12.75" customHeight="1">
      <c r="A569" s="212"/>
      <c r="B569" s="212"/>
      <c r="C569" s="212"/>
      <c r="D569" s="212"/>
      <c r="E569" s="212"/>
      <c r="F569" s="212"/>
      <c r="G569" s="212"/>
      <c r="H569" s="212"/>
      <c r="J569" s="212"/>
      <c r="K569" s="212"/>
    </row>
    <row r="570" spans="1:11" ht="12.75" customHeight="1">
      <c r="A570" s="212"/>
      <c r="B570" s="212"/>
      <c r="C570" s="212"/>
      <c r="D570" s="212"/>
      <c r="E570" s="212"/>
      <c r="F570" s="212"/>
      <c r="G570" s="212"/>
      <c r="H570" s="212"/>
      <c r="J570" s="212"/>
      <c r="K570" s="212"/>
    </row>
    <row r="571" spans="1:11" ht="12.75" customHeight="1">
      <c r="A571" s="212"/>
      <c r="B571" s="212"/>
      <c r="C571" s="212"/>
      <c r="D571" s="212"/>
      <c r="E571" s="212"/>
      <c r="F571" s="212"/>
      <c r="G571" s="212"/>
      <c r="H571" s="212"/>
      <c r="J571" s="212"/>
      <c r="K571" s="212"/>
    </row>
    <row r="572" spans="1:11" ht="12.75" customHeight="1">
      <c r="A572" s="212"/>
      <c r="B572" s="212"/>
      <c r="C572" s="212"/>
      <c r="D572" s="212"/>
      <c r="E572" s="212"/>
      <c r="F572" s="212"/>
      <c r="G572" s="212"/>
      <c r="H572" s="212"/>
      <c r="J572" s="212"/>
      <c r="K572" s="212"/>
    </row>
    <row r="573" spans="1:11" ht="12.75" customHeight="1">
      <c r="A573" s="212"/>
      <c r="B573" s="212"/>
      <c r="C573" s="212"/>
      <c r="D573" s="212"/>
      <c r="E573" s="212"/>
      <c r="F573" s="212"/>
      <c r="G573" s="212"/>
      <c r="H573" s="212"/>
      <c r="J573" s="212"/>
      <c r="K573" s="212"/>
    </row>
    <row r="574" spans="1:11" ht="12.75" customHeight="1">
      <c r="A574" s="212"/>
      <c r="B574" s="212"/>
      <c r="C574" s="212"/>
      <c r="D574" s="212"/>
      <c r="E574" s="212"/>
      <c r="F574" s="212"/>
      <c r="G574" s="212"/>
      <c r="H574" s="212"/>
      <c r="J574" s="212"/>
      <c r="K574" s="212"/>
    </row>
    <row r="575" spans="1:11" ht="12.75" customHeight="1">
      <c r="A575" s="212"/>
      <c r="B575" s="212"/>
      <c r="C575" s="212"/>
      <c r="D575" s="212"/>
      <c r="E575" s="212"/>
      <c r="F575" s="212"/>
      <c r="G575" s="212"/>
      <c r="H575" s="212"/>
      <c r="J575" s="212"/>
      <c r="K575" s="212"/>
    </row>
    <row r="576" spans="1:11" ht="12.75" customHeight="1">
      <c r="A576" s="212"/>
      <c r="B576" s="212"/>
      <c r="C576" s="212"/>
      <c r="D576" s="212"/>
      <c r="E576" s="212"/>
      <c r="F576" s="212"/>
      <c r="G576" s="212"/>
      <c r="H576" s="212"/>
      <c r="J576" s="212"/>
      <c r="K576" s="212"/>
    </row>
    <row r="577" spans="1:11" ht="12.75" customHeight="1">
      <c r="A577" s="212"/>
      <c r="B577" s="212"/>
      <c r="C577" s="212"/>
      <c r="D577" s="212"/>
      <c r="E577" s="212"/>
      <c r="F577" s="212"/>
      <c r="G577" s="212"/>
      <c r="H577" s="212"/>
      <c r="J577" s="212"/>
      <c r="K577" s="212"/>
    </row>
    <row r="578" spans="1:11" ht="12.75" customHeight="1">
      <c r="A578" s="212"/>
      <c r="B578" s="212"/>
      <c r="C578" s="212"/>
      <c r="D578" s="212"/>
      <c r="E578" s="212"/>
      <c r="F578" s="212"/>
      <c r="G578" s="212"/>
      <c r="H578" s="212"/>
      <c r="J578" s="212"/>
      <c r="K578" s="212"/>
    </row>
    <row r="579" spans="1:11" ht="12.75" customHeight="1">
      <c r="A579" s="212"/>
      <c r="B579" s="212"/>
      <c r="C579" s="212"/>
      <c r="D579" s="212"/>
      <c r="E579" s="212"/>
      <c r="F579" s="212"/>
      <c r="G579" s="212"/>
      <c r="H579" s="212"/>
      <c r="J579" s="212"/>
      <c r="K579" s="212"/>
    </row>
    <row r="580" spans="1:11" ht="12.75" customHeight="1">
      <c r="A580" s="212"/>
      <c r="B580" s="212"/>
      <c r="C580" s="212"/>
      <c r="D580" s="212"/>
      <c r="E580" s="212"/>
      <c r="F580" s="212"/>
      <c r="G580" s="212"/>
      <c r="H580" s="212"/>
      <c r="J580" s="212"/>
      <c r="K580" s="212"/>
    </row>
    <row r="581" spans="1:11" ht="12.75" customHeight="1">
      <c r="A581" s="212"/>
      <c r="B581" s="212"/>
      <c r="C581" s="212"/>
      <c r="D581" s="212"/>
      <c r="E581" s="212"/>
      <c r="F581" s="212"/>
      <c r="G581" s="212"/>
      <c r="H581" s="212"/>
      <c r="J581" s="212"/>
      <c r="K581" s="212"/>
    </row>
    <row r="582" spans="1:11" ht="12.75" customHeight="1">
      <c r="A582" s="212"/>
      <c r="B582" s="212"/>
      <c r="C582" s="212"/>
      <c r="D582" s="212"/>
      <c r="E582" s="212"/>
      <c r="F582" s="212"/>
      <c r="G582" s="212"/>
      <c r="H582" s="212"/>
      <c r="J582" s="212"/>
      <c r="K582" s="212"/>
    </row>
    <row r="583" spans="1:11" ht="12.75" customHeight="1">
      <c r="A583" s="212"/>
      <c r="B583" s="212"/>
      <c r="C583" s="212"/>
      <c r="D583" s="212"/>
      <c r="E583" s="212"/>
      <c r="F583" s="212"/>
      <c r="G583" s="212"/>
      <c r="H583" s="212"/>
      <c r="J583" s="212"/>
      <c r="K583" s="212"/>
    </row>
    <row r="584" spans="1:11" ht="12.75" customHeight="1">
      <c r="A584" s="212"/>
      <c r="B584" s="212"/>
      <c r="C584" s="212"/>
      <c r="D584" s="212"/>
      <c r="E584" s="212"/>
      <c r="F584" s="212"/>
      <c r="G584" s="212"/>
      <c r="H584" s="212"/>
      <c r="J584" s="212"/>
      <c r="K584" s="212"/>
    </row>
    <row r="585" spans="1:11" ht="12.75" customHeight="1">
      <c r="A585" s="212"/>
      <c r="B585" s="212"/>
      <c r="C585" s="212"/>
      <c r="D585" s="212"/>
      <c r="E585" s="212"/>
      <c r="F585" s="212"/>
      <c r="G585" s="212"/>
      <c r="H585" s="212"/>
      <c r="J585" s="212"/>
      <c r="K585" s="212"/>
    </row>
    <row r="586" spans="1:11" ht="12.75" customHeight="1">
      <c r="A586" s="212"/>
      <c r="B586" s="212"/>
      <c r="C586" s="212"/>
      <c r="D586" s="212"/>
      <c r="E586" s="212"/>
      <c r="F586" s="212"/>
      <c r="G586" s="212"/>
      <c r="H586" s="212"/>
      <c r="J586" s="212"/>
      <c r="K586" s="212"/>
    </row>
    <row r="587" spans="1:11" ht="12.75" customHeight="1">
      <c r="A587" s="212"/>
      <c r="B587" s="212"/>
      <c r="C587" s="212"/>
      <c r="D587" s="212"/>
      <c r="E587" s="212"/>
      <c r="F587" s="212"/>
      <c r="G587" s="212"/>
      <c r="H587" s="212"/>
      <c r="J587" s="212"/>
      <c r="K587" s="212"/>
    </row>
    <row r="588" spans="1:11" ht="12.75" customHeight="1">
      <c r="A588" s="212"/>
      <c r="B588" s="212"/>
      <c r="C588" s="212"/>
      <c r="D588" s="212"/>
      <c r="E588" s="212"/>
      <c r="F588" s="212"/>
      <c r="G588" s="212"/>
      <c r="H588" s="212"/>
      <c r="J588" s="212"/>
      <c r="K588" s="212"/>
    </row>
    <row r="589" spans="1:11" ht="12.75" customHeight="1">
      <c r="A589" s="212"/>
      <c r="B589" s="212"/>
      <c r="C589" s="212"/>
      <c r="D589" s="212"/>
      <c r="E589" s="212"/>
      <c r="F589" s="212"/>
      <c r="G589" s="212"/>
      <c r="H589" s="212"/>
      <c r="J589" s="212"/>
      <c r="K589" s="212"/>
    </row>
    <row r="590" spans="1:11" ht="12.75" customHeight="1">
      <c r="A590" s="212"/>
      <c r="B590" s="212"/>
      <c r="C590" s="212"/>
      <c r="D590" s="212"/>
      <c r="E590" s="212"/>
      <c r="F590" s="212"/>
      <c r="G590" s="212"/>
      <c r="H590" s="212"/>
      <c r="J590" s="212"/>
      <c r="K590" s="212"/>
    </row>
    <row r="591" spans="1:11" ht="12.75" customHeight="1">
      <c r="A591" s="212"/>
      <c r="B591" s="212"/>
      <c r="C591" s="212"/>
      <c r="D591" s="212"/>
      <c r="E591" s="212"/>
      <c r="F591" s="212"/>
      <c r="G591" s="212"/>
      <c r="H591" s="212"/>
      <c r="J591" s="212"/>
      <c r="K591" s="212"/>
    </row>
    <row r="592" spans="1:11" ht="12.75" customHeight="1">
      <c r="A592" s="212"/>
      <c r="B592" s="212"/>
      <c r="C592" s="212"/>
      <c r="D592" s="212"/>
      <c r="E592" s="212"/>
      <c r="F592" s="212"/>
      <c r="G592" s="212"/>
      <c r="H592" s="212"/>
      <c r="J592" s="212"/>
      <c r="K592" s="212"/>
    </row>
    <row r="593" spans="1:11" ht="12.75" customHeight="1">
      <c r="A593" s="212"/>
      <c r="B593" s="212"/>
      <c r="C593" s="212"/>
      <c r="D593" s="212"/>
      <c r="E593" s="212"/>
      <c r="F593" s="212"/>
      <c r="G593" s="212"/>
      <c r="H593" s="212"/>
      <c r="J593" s="212"/>
      <c r="K593" s="212"/>
    </row>
    <row r="594" spans="1:11" ht="12.75" customHeight="1">
      <c r="A594" s="212"/>
      <c r="B594" s="212"/>
      <c r="C594" s="212"/>
      <c r="D594" s="212"/>
      <c r="E594" s="212"/>
      <c r="F594" s="212"/>
      <c r="G594" s="212"/>
      <c r="H594" s="212"/>
      <c r="J594" s="212"/>
      <c r="K594" s="212"/>
    </row>
    <row r="595" spans="1:11" ht="12.75" customHeight="1">
      <c r="A595" s="212"/>
      <c r="B595" s="212"/>
      <c r="C595" s="212"/>
      <c r="D595" s="212"/>
      <c r="E595" s="212"/>
      <c r="F595" s="212"/>
      <c r="G595" s="212"/>
      <c r="H595" s="212"/>
      <c r="J595" s="212"/>
      <c r="K595" s="212"/>
    </row>
    <row r="596" spans="1:11" ht="12.75" customHeight="1">
      <c r="A596" s="212"/>
      <c r="B596" s="212"/>
      <c r="C596" s="212"/>
      <c r="D596" s="212"/>
      <c r="E596" s="212"/>
      <c r="F596" s="212"/>
      <c r="G596" s="212"/>
      <c r="H596" s="212"/>
      <c r="J596" s="212"/>
      <c r="K596" s="212"/>
    </row>
    <row r="597" spans="1:11" ht="12.75" customHeight="1">
      <c r="A597" s="212"/>
      <c r="B597" s="212"/>
      <c r="C597" s="212"/>
      <c r="D597" s="212"/>
      <c r="E597" s="212"/>
      <c r="F597" s="212"/>
      <c r="G597" s="212"/>
      <c r="H597" s="212"/>
      <c r="J597" s="212"/>
      <c r="K597" s="212"/>
    </row>
    <row r="598" spans="1:11" ht="12.75" customHeight="1">
      <c r="A598" s="212"/>
      <c r="B598" s="212"/>
      <c r="C598" s="212"/>
      <c r="D598" s="212"/>
      <c r="E598" s="212"/>
      <c r="F598" s="212"/>
      <c r="G598" s="212"/>
      <c r="H598" s="212"/>
      <c r="J598" s="212"/>
      <c r="K598" s="212"/>
    </row>
    <row r="599" spans="1:11" ht="12.75" customHeight="1">
      <c r="A599" s="212"/>
      <c r="B599" s="212"/>
      <c r="C599" s="212"/>
      <c r="D599" s="212"/>
      <c r="E599" s="212"/>
      <c r="F599" s="212"/>
      <c r="G599" s="212"/>
      <c r="H599" s="212"/>
      <c r="J599" s="212"/>
      <c r="K599" s="212"/>
    </row>
    <row r="600" spans="1:11" ht="12.75" customHeight="1">
      <c r="A600" s="212"/>
      <c r="B600" s="212"/>
      <c r="C600" s="212"/>
      <c r="D600" s="212"/>
      <c r="E600" s="212"/>
      <c r="F600" s="212"/>
      <c r="G600" s="212"/>
      <c r="H600" s="212"/>
      <c r="J600" s="212"/>
      <c r="K600" s="212"/>
    </row>
    <row r="601" spans="1:11" ht="12.75" customHeight="1">
      <c r="A601" s="212"/>
      <c r="B601" s="212"/>
      <c r="C601" s="212"/>
      <c r="D601" s="212"/>
      <c r="E601" s="212"/>
      <c r="F601" s="212"/>
      <c r="G601" s="212"/>
      <c r="H601" s="212"/>
      <c r="J601" s="212"/>
      <c r="K601" s="212"/>
    </row>
    <row r="602" spans="1:11" ht="12.75" customHeight="1">
      <c r="A602" s="212"/>
      <c r="B602" s="212"/>
      <c r="C602" s="212"/>
      <c r="D602" s="212"/>
      <c r="E602" s="212"/>
      <c r="F602" s="212"/>
      <c r="G602" s="212"/>
      <c r="H602" s="212"/>
      <c r="J602" s="212"/>
      <c r="K602" s="212"/>
    </row>
    <row r="603" spans="1:11" ht="12.75" customHeight="1">
      <c r="A603" s="212"/>
      <c r="B603" s="212"/>
      <c r="C603" s="212"/>
      <c r="D603" s="212"/>
      <c r="E603" s="212"/>
      <c r="F603" s="212"/>
      <c r="G603" s="212"/>
      <c r="H603" s="212"/>
      <c r="J603" s="212"/>
      <c r="K603" s="212"/>
    </row>
    <row r="604" spans="1:11" ht="12.75" customHeight="1">
      <c r="A604" s="212"/>
      <c r="B604" s="212"/>
      <c r="C604" s="212"/>
      <c r="D604" s="212"/>
      <c r="E604" s="212"/>
      <c r="F604" s="212"/>
      <c r="G604" s="212"/>
      <c r="H604" s="212"/>
      <c r="J604" s="212"/>
      <c r="K604" s="212"/>
    </row>
    <row r="605" spans="1:11" ht="12.75" customHeight="1">
      <c r="A605" s="212"/>
      <c r="B605" s="212"/>
      <c r="C605" s="212"/>
      <c r="D605" s="212"/>
      <c r="E605" s="212"/>
      <c r="F605" s="212"/>
      <c r="G605" s="212"/>
      <c r="H605" s="212"/>
      <c r="J605" s="212"/>
      <c r="K605" s="212"/>
    </row>
    <row r="606" spans="1:11" ht="12.75" customHeight="1">
      <c r="A606" s="212"/>
      <c r="B606" s="212"/>
      <c r="C606" s="212"/>
      <c r="D606" s="212"/>
      <c r="E606" s="212"/>
      <c r="F606" s="212"/>
      <c r="G606" s="212"/>
      <c r="H606" s="212"/>
      <c r="J606" s="212"/>
      <c r="K606" s="212"/>
    </row>
    <row r="607" spans="1:11" ht="12.75" customHeight="1">
      <c r="A607" s="212"/>
      <c r="B607" s="212"/>
      <c r="C607" s="212"/>
      <c r="D607" s="212"/>
      <c r="E607" s="212"/>
      <c r="F607" s="212"/>
      <c r="G607" s="212"/>
      <c r="H607" s="212"/>
      <c r="J607" s="212"/>
      <c r="K607" s="212"/>
    </row>
    <row r="608" spans="1:11" ht="12.75" customHeight="1">
      <c r="A608" s="212"/>
      <c r="B608" s="212"/>
      <c r="C608" s="212"/>
      <c r="D608" s="212"/>
      <c r="E608" s="212"/>
      <c r="F608" s="212"/>
      <c r="G608" s="212"/>
      <c r="H608" s="212"/>
      <c r="J608" s="212"/>
      <c r="K608" s="212"/>
    </row>
    <row r="609" spans="1:11" ht="12.75" customHeight="1">
      <c r="A609" s="212"/>
      <c r="B609" s="212"/>
      <c r="C609" s="212"/>
      <c r="D609" s="212"/>
      <c r="E609" s="212"/>
      <c r="F609" s="212"/>
      <c r="G609" s="212"/>
      <c r="H609" s="212"/>
      <c r="J609" s="212"/>
      <c r="K609" s="212"/>
    </row>
    <row r="610" spans="1:11" ht="12.75" customHeight="1">
      <c r="A610" s="212"/>
      <c r="B610" s="212"/>
      <c r="C610" s="212"/>
      <c r="D610" s="212"/>
      <c r="E610" s="212"/>
      <c r="F610" s="212"/>
      <c r="G610" s="212"/>
      <c r="H610" s="212"/>
      <c r="J610" s="212"/>
      <c r="K610" s="212"/>
    </row>
    <row r="611" spans="1:11" ht="12.75" customHeight="1">
      <c r="A611" s="212"/>
      <c r="B611" s="212"/>
      <c r="C611" s="212"/>
      <c r="D611" s="212"/>
      <c r="E611" s="212"/>
      <c r="F611" s="212"/>
      <c r="G611" s="212"/>
      <c r="H611" s="212"/>
      <c r="J611" s="212"/>
      <c r="K611" s="212"/>
    </row>
    <row r="612" spans="1:11" ht="12.75" customHeight="1">
      <c r="A612" s="212"/>
      <c r="B612" s="212"/>
      <c r="C612" s="212"/>
      <c r="D612" s="212"/>
      <c r="E612" s="212"/>
      <c r="F612" s="212"/>
      <c r="G612" s="212"/>
      <c r="H612" s="212"/>
      <c r="J612" s="212"/>
      <c r="K612" s="212"/>
    </row>
    <row r="613" spans="1:11" ht="12.75" customHeight="1">
      <c r="A613" s="212"/>
      <c r="B613" s="212"/>
      <c r="C613" s="212"/>
      <c r="D613" s="212"/>
      <c r="E613" s="212"/>
      <c r="F613" s="212"/>
      <c r="G613" s="212"/>
      <c r="H613" s="212"/>
      <c r="J613" s="212"/>
      <c r="K613" s="212"/>
    </row>
    <row r="614" spans="1:11" ht="12.75" customHeight="1">
      <c r="A614" s="212"/>
      <c r="B614" s="212"/>
      <c r="C614" s="212"/>
      <c r="D614" s="212"/>
      <c r="E614" s="212"/>
      <c r="F614" s="212"/>
      <c r="G614" s="212"/>
      <c r="H614" s="212"/>
      <c r="J614" s="212"/>
      <c r="K614" s="212"/>
    </row>
    <row r="615" spans="1:11" ht="12.75" customHeight="1">
      <c r="A615" s="212"/>
      <c r="B615" s="212"/>
      <c r="C615" s="212"/>
      <c r="D615" s="212"/>
      <c r="E615" s="212"/>
      <c r="F615" s="212"/>
      <c r="G615" s="212"/>
      <c r="H615" s="212"/>
      <c r="J615" s="212"/>
      <c r="K615" s="212"/>
    </row>
    <row r="616" spans="1:11" ht="12.75" customHeight="1">
      <c r="A616" s="212"/>
      <c r="B616" s="212"/>
      <c r="C616" s="212"/>
      <c r="D616" s="212"/>
      <c r="E616" s="212"/>
      <c r="F616" s="212"/>
      <c r="G616" s="212"/>
      <c r="H616" s="212"/>
      <c r="J616" s="212"/>
      <c r="K616" s="212"/>
    </row>
    <row r="617" spans="1:11" ht="12.75" customHeight="1">
      <c r="A617" s="212"/>
      <c r="B617" s="212"/>
      <c r="C617" s="212"/>
      <c r="D617" s="212"/>
      <c r="E617" s="212"/>
      <c r="F617" s="212"/>
      <c r="G617" s="212"/>
      <c r="H617" s="212"/>
      <c r="J617" s="212"/>
      <c r="K617" s="212"/>
    </row>
    <row r="618" spans="1:11" ht="12.75" customHeight="1">
      <c r="A618" s="212"/>
      <c r="B618" s="212"/>
      <c r="C618" s="212"/>
      <c r="D618" s="212"/>
      <c r="E618" s="212"/>
      <c r="F618" s="212"/>
      <c r="G618" s="212"/>
      <c r="H618" s="212"/>
      <c r="J618" s="212"/>
      <c r="K618" s="212"/>
    </row>
    <row r="619" spans="1:11" ht="12.75" customHeight="1">
      <c r="A619" s="212"/>
      <c r="B619" s="212"/>
      <c r="C619" s="212"/>
      <c r="D619" s="212"/>
      <c r="E619" s="212"/>
      <c r="F619" s="212"/>
      <c r="G619" s="212"/>
      <c r="H619" s="212"/>
      <c r="J619" s="212"/>
      <c r="K619" s="212"/>
    </row>
    <row r="620" spans="1:11" ht="12.75" customHeight="1">
      <c r="A620" s="212"/>
      <c r="B620" s="212"/>
      <c r="C620" s="212"/>
      <c r="D620" s="212"/>
      <c r="E620" s="212"/>
      <c r="F620" s="212"/>
      <c r="G620" s="212"/>
      <c r="H620" s="212"/>
      <c r="J620" s="212"/>
      <c r="K620" s="212"/>
    </row>
    <row r="621" spans="1:11" ht="12.75" customHeight="1">
      <c r="A621" s="212"/>
      <c r="B621" s="212"/>
      <c r="C621" s="212"/>
      <c r="D621" s="212"/>
      <c r="E621" s="212"/>
      <c r="F621" s="212"/>
      <c r="G621" s="212"/>
      <c r="H621" s="212"/>
      <c r="J621" s="212"/>
      <c r="K621" s="212"/>
    </row>
    <row r="622" spans="1:11" ht="12.75" customHeight="1">
      <c r="A622" s="212"/>
      <c r="B622" s="212"/>
      <c r="C622" s="212"/>
      <c r="D622" s="212"/>
      <c r="E622" s="212"/>
      <c r="F622" s="212"/>
      <c r="G622" s="212"/>
      <c r="H622" s="212"/>
      <c r="J622" s="212"/>
      <c r="K622" s="212"/>
    </row>
    <row r="623" spans="1:11" ht="12.75" customHeight="1">
      <c r="A623" s="212"/>
      <c r="B623" s="212"/>
      <c r="C623" s="212"/>
      <c r="D623" s="212"/>
      <c r="E623" s="212"/>
      <c r="F623" s="212"/>
      <c r="G623" s="212"/>
      <c r="H623" s="212"/>
      <c r="J623" s="212"/>
      <c r="K623" s="212"/>
    </row>
    <row r="624" spans="1:11" ht="12.75" customHeight="1">
      <c r="A624" s="212"/>
      <c r="B624" s="212"/>
      <c r="C624" s="212"/>
      <c r="D624" s="212"/>
      <c r="E624" s="212"/>
      <c r="F624" s="212"/>
      <c r="G624" s="212"/>
      <c r="H624" s="212"/>
      <c r="J624" s="212"/>
      <c r="K624" s="212"/>
    </row>
    <row r="625" spans="1:11" ht="12.75" customHeight="1">
      <c r="A625" s="212"/>
      <c r="B625" s="212"/>
      <c r="C625" s="212"/>
      <c r="D625" s="212"/>
      <c r="E625" s="212"/>
      <c r="F625" s="212"/>
      <c r="G625" s="212"/>
      <c r="H625" s="212"/>
      <c r="J625" s="212"/>
      <c r="K625" s="212"/>
    </row>
    <row r="626" spans="1:11" ht="12.75" customHeight="1">
      <c r="A626" s="212"/>
      <c r="B626" s="212"/>
      <c r="C626" s="212"/>
      <c r="D626" s="212"/>
      <c r="E626" s="212"/>
      <c r="F626" s="212"/>
      <c r="G626" s="212"/>
      <c r="H626" s="212"/>
      <c r="J626" s="212"/>
      <c r="K626" s="212"/>
    </row>
    <row r="627" spans="1:11" ht="12.75" customHeight="1">
      <c r="A627" s="212"/>
      <c r="B627" s="212"/>
      <c r="C627" s="212"/>
      <c r="D627" s="212"/>
      <c r="E627" s="212"/>
      <c r="F627" s="212"/>
      <c r="G627" s="212"/>
      <c r="H627" s="212"/>
      <c r="J627" s="212"/>
      <c r="K627" s="212"/>
    </row>
    <row r="628" spans="1:11" ht="12.75" customHeight="1">
      <c r="A628" s="212"/>
      <c r="B628" s="212"/>
      <c r="C628" s="212"/>
      <c r="D628" s="212"/>
      <c r="E628" s="212"/>
      <c r="F628" s="212"/>
      <c r="G628" s="212"/>
      <c r="H628" s="212"/>
      <c r="J628" s="212"/>
      <c r="K628" s="212"/>
    </row>
    <row r="629" spans="1:11" ht="12.75" customHeight="1">
      <c r="A629" s="212"/>
      <c r="B629" s="212"/>
      <c r="C629" s="212"/>
      <c r="D629" s="212"/>
      <c r="E629" s="212"/>
      <c r="F629" s="212"/>
      <c r="G629" s="212"/>
      <c r="H629" s="212"/>
      <c r="J629" s="212"/>
      <c r="K629" s="212"/>
    </row>
    <row r="630" spans="1:11" ht="12.75" customHeight="1">
      <c r="A630" s="212"/>
      <c r="B630" s="212"/>
      <c r="C630" s="212"/>
      <c r="D630" s="212"/>
      <c r="E630" s="212"/>
      <c r="F630" s="212"/>
      <c r="G630" s="212"/>
      <c r="H630" s="212"/>
      <c r="J630" s="212"/>
      <c r="K630" s="212"/>
    </row>
    <row r="631" spans="1:11" ht="12.75" customHeight="1">
      <c r="A631" s="212"/>
      <c r="B631" s="212"/>
      <c r="C631" s="212"/>
      <c r="D631" s="212"/>
      <c r="E631" s="212"/>
      <c r="F631" s="212"/>
      <c r="G631" s="212"/>
      <c r="H631" s="212"/>
      <c r="J631" s="212"/>
      <c r="K631" s="212"/>
    </row>
    <row r="632" spans="1:11" ht="12.75" customHeight="1">
      <c r="A632" s="212"/>
      <c r="B632" s="212"/>
      <c r="C632" s="212"/>
      <c r="D632" s="212"/>
      <c r="E632" s="212"/>
      <c r="F632" s="212"/>
      <c r="G632" s="212"/>
      <c r="H632" s="212"/>
      <c r="J632" s="212"/>
      <c r="K632" s="212"/>
    </row>
    <row r="633" spans="1:11" ht="12.75" customHeight="1">
      <c r="A633" s="212"/>
      <c r="B633" s="212"/>
      <c r="C633" s="212"/>
      <c r="D633" s="212"/>
      <c r="E633" s="212"/>
      <c r="F633" s="212"/>
      <c r="G633" s="212"/>
      <c r="H633" s="212"/>
      <c r="J633" s="212"/>
      <c r="K633" s="212"/>
    </row>
    <row r="634" spans="1:11" ht="12.75" customHeight="1">
      <c r="A634" s="212"/>
      <c r="B634" s="212"/>
      <c r="C634" s="212"/>
      <c r="D634" s="212"/>
      <c r="E634" s="212"/>
      <c r="F634" s="212"/>
      <c r="G634" s="212"/>
      <c r="H634" s="212"/>
      <c r="J634" s="212"/>
      <c r="K634" s="212"/>
    </row>
    <row r="635" spans="1:11" ht="12.75" customHeight="1">
      <c r="A635" s="212"/>
      <c r="B635" s="212"/>
      <c r="C635" s="212"/>
      <c r="D635" s="212"/>
      <c r="E635" s="212"/>
      <c r="F635" s="212"/>
      <c r="G635" s="212"/>
      <c r="H635" s="212"/>
      <c r="J635" s="212"/>
      <c r="K635" s="212"/>
    </row>
    <row r="636" spans="1:11" ht="12.75" customHeight="1">
      <c r="A636" s="212"/>
      <c r="B636" s="212"/>
      <c r="C636" s="212"/>
      <c r="D636" s="212"/>
      <c r="E636" s="212"/>
      <c r="F636" s="212"/>
      <c r="G636" s="212"/>
      <c r="H636" s="212"/>
      <c r="J636" s="212"/>
      <c r="K636" s="212"/>
    </row>
    <row r="637" spans="1:11" ht="12.75" customHeight="1">
      <c r="A637" s="212"/>
      <c r="B637" s="212"/>
      <c r="C637" s="212"/>
      <c r="D637" s="212"/>
      <c r="E637" s="212"/>
      <c r="F637" s="212"/>
      <c r="G637" s="212"/>
      <c r="H637" s="212"/>
      <c r="J637" s="212"/>
      <c r="K637" s="212"/>
    </row>
    <row r="638" spans="1:11" ht="12.75" customHeight="1">
      <c r="A638" s="212"/>
      <c r="B638" s="212"/>
      <c r="C638" s="212"/>
      <c r="D638" s="212"/>
      <c r="E638" s="212"/>
      <c r="F638" s="212"/>
      <c r="G638" s="212"/>
      <c r="H638" s="212"/>
      <c r="J638" s="212"/>
      <c r="K638" s="212"/>
    </row>
    <row r="639" spans="1:11" ht="12.75" customHeight="1">
      <c r="A639" s="212"/>
      <c r="B639" s="212"/>
      <c r="C639" s="212"/>
      <c r="D639" s="212"/>
      <c r="E639" s="212"/>
      <c r="F639" s="212"/>
      <c r="G639" s="212"/>
      <c r="H639" s="212"/>
      <c r="J639" s="212"/>
      <c r="K639" s="212"/>
    </row>
    <row r="640" spans="1:11" ht="12.75" customHeight="1">
      <c r="A640" s="212"/>
      <c r="B640" s="212"/>
      <c r="C640" s="212"/>
      <c r="D640" s="212"/>
      <c r="E640" s="212"/>
      <c r="F640" s="212"/>
      <c r="G640" s="212"/>
      <c r="H640" s="212"/>
      <c r="J640" s="212"/>
      <c r="K640" s="212"/>
    </row>
    <row r="641" spans="1:11" ht="12.75" customHeight="1">
      <c r="A641" s="212"/>
      <c r="B641" s="212"/>
      <c r="C641" s="212"/>
      <c r="D641" s="212"/>
      <c r="E641" s="212"/>
      <c r="F641" s="212"/>
      <c r="G641" s="212"/>
      <c r="H641" s="212"/>
      <c r="J641" s="212"/>
      <c r="K641" s="212"/>
    </row>
    <row r="642" spans="1:11" ht="12.75" customHeight="1">
      <c r="A642" s="212"/>
      <c r="B642" s="212"/>
      <c r="C642" s="212"/>
      <c r="D642" s="212"/>
      <c r="E642" s="212"/>
      <c r="F642" s="212"/>
      <c r="G642" s="212"/>
      <c r="H642" s="212"/>
      <c r="J642" s="212"/>
      <c r="K642" s="212"/>
    </row>
    <row r="643" spans="1:11" ht="12.75" customHeight="1">
      <c r="A643" s="212"/>
      <c r="B643" s="212"/>
      <c r="C643" s="212"/>
      <c r="D643" s="212"/>
      <c r="E643" s="212"/>
      <c r="F643" s="212"/>
      <c r="G643" s="212"/>
      <c r="H643" s="212"/>
      <c r="J643" s="212"/>
      <c r="K643" s="212"/>
    </row>
    <row r="644" spans="1:11" ht="12.75" customHeight="1">
      <c r="A644" s="212"/>
      <c r="B644" s="212"/>
      <c r="C644" s="212"/>
      <c r="D644" s="212"/>
      <c r="E644" s="212"/>
      <c r="F644" s="212"/>
      <c r="G644" s="212"/>
      <c r="H644" s="212"/>
      <c r="J644" s="212"/>
      <c r="K644" s="212"/>
    </row>
    <row r="645" spans="1:11" ht="12.75" customHeight="1">
      <c r="A645" s="212"/>
      <c r="B645" s="212"/>
      <c r="C645" s="212"/>
      <c r="D645" s="212"/>
      <c r="E645" s="212"/>
      <c r="F645" s="212"/>
      <c r="G645" s="212"/>
      <c r="H645" s="212"/>
      <c r="J645" s="212"/>
      <c r="K645" s="212"/>
    </row>
    <row r="646" spans="1:11" ht="12.75" customHeight="1">
      <c r="A646" s="212"/>
      <c r="B646" s="212"/>
      <c r="C646" s="212"/>
      <c r="D646" s="212"/>
      <c r="E646" s="212"/>
      <c r="F646" s="212"/>
      <c r="G646" s="212"/>
      <c r="H646" s="212"/>
      <c r="J646" s="212"/>
      <c r="K646" s="212"/>
    </row>
    <row r="647" spans="1:11" ht="12.75" customHeight="1">
      <c r="A647" s="212"/>
      <c r="B647" s="212"/>
      <c r="C647" s="212"/>
      <c r="D647" s="212"/>
      <c r="E647" s="212"/>
      <c r="F647" s="212"/>
      <c r="G647" s="212"/>
      <c r="H647" s="212"/>
      <c r="J647" s="212"/>
      <c r="K647" s="212"/>
    </row>
    <row r="648" spans="1:11" ht="12.75" customHeight="1">
      <c r="A648" s="212"/>
      <c r="B648" s="212"/>
      <c r="C648" s="212"/>
      <c r="D648" s="212"/>
      <c r="E648" s="212"/>
      <c r="F648" s="212"/>
      <c r="G648" s="212"/>
      <c r="H648" s="212"/>
      <c r="J648" s="212"/>
      <c r="K648" s="212"/>
    </row>
    <row r="649" spans="1:11" ht="12.75" customHeight="1">
      <c r="A649" s="212"/>
      <c r="B649" s="212"/>
      <c r="C649" s="212"/>
      <c r="D649" s="212"/>
      <c r="E649" s="212"/>
      <c r="F649" s="212"/>
      <c r="G649" s="212"/>
      <c r="H649" s="212"/>
      <c r="J649" s="212"/>
      <c r="K649" s="212"/>
    </row>
    <row r="650" spans="1:11" ht="12.75" customHeight="1">
      <c r="A650" s="212"/>
      <c r="B650" s="212"/>
      <c r="C650" s="212"/>
      <c r="D650" s="212"/>
      <c r="E650" s="212"/>
      <c r="F650" s="212"/>
      <c r="G650" s="212"/>
      <c r="H650" s="212"/>
      <c r="J650" s="212"/>
      <c r="K650" s="212"/>
    </row>
    <row r="651" spans="1:11" ht="12.75" customHeight="1">
      <c r="A651" s="212"/>
      <c r="B651" s="212"/>
      <c r="C651" s="212"/>
      <c r="D651" s="212"/>
      <c r="E651" s="212"/>
      <c r="F651" s="212"/>
      <c r="G651" s="212"/>
      <c r="H651" s="212"/>
      <c r="J651" s="212"/>
      <c r="K651" s="212"/>
    </row>
    <row r="652" spans="1:11" ht="12.75" customHeight="1">
      <c r="A652" s="212"/>
      <c r="B652" s="212"/>
      <c r="C652" s="212"/>
      <c r="D652" s="212"/>
      <c r="E652" s="212"/>
      <c r="F652" s="212"/>
      <c r="G652" s="212"/>
      <c r="H652" s="212"/>
      <c r="J652" s="212"/>
      <c r="K652" s="212"/>
    </row>
    <row r="653" spans="1:11" ht="12.75" customHeight="1">
      <c r="A653" s="212"/>
      <c r="B653" s="212"/>
      <c r="C653" s="212"/>
      <c r="D653" s="212"/>
      <c r="E653" s="212"/>
      <c r="F653" s="212"/>
      <c r="G653" s="212"/>
      <c r="H653" s="212"/>
      <c r="J653" s="212"/>
      <c r="K653" s="212"/>
    </row>
    <row r="654" spans="1:11" ht="12.75" customHeight="1">
      <c r="A654" s="212"/>
      <c r="B654" s="212"/>
      <c r="C654" s="212"/>
      <c r="D654" s="212"/>
      <c r="E654" s="212"/>
      <c r="F654" s="212"/>
      <c r="G654" s="212"/>
      <c r="H654" s="212"/>
      <c r="J654" s="212"/>
      <c r="K654" s="212"/>
    </row>
    <row r="655" spans="1:11" ht="12.75" customHeight="1">
      <c r="A655" s="212"/>
      <c r="B655" s="212"/>
      <c r="C655" s="212"/>
      <c r="D655" s="212"/>
      <c r="E655" s="212"/>
      <c r="F655" s="212"/>
      <c r="G655" s="212"/>
      <c r="H655" s="212"/>
      <c r="J655" s="212"/>
      <c r="K655" s="212"/>
    </row>
    <row r="656" spans="1:11" ht="12.75" customHeight="1">
      <c r="A656" s="212"/>
      <c r="B656" s="212"/>
      <c r="C656" s="212"/>
      <c r="D656" s="212"/>
      <c r="E656" s="212"/>
      <c r="F656" s="212"/>
      <c r="G656" s="212"/>
      <c r="H656" s="212"/>
      <c r="J656" s="212"/>
      <c r="K656" s="212"/>
    </row>
    <row r="657" spans="1:11" ht="12.75" customHeight="1">
      <c r="A657" s="212"/>
      <c r="B657" s="212"/>
      <c r="C657" s="212"/>
      <c r="D657" s="212"/>
      <c r="E657" s="212"/>
      <c r="F657" s="212"/>
      <c r="G657" s="212"/>
      <c r="H657" s="212"/>
      <c r="J657" s="212"/>
      <c r="K657" s="212"/>
    </row>
    <row r="658" spans="1:11" ht="12.75" customHeight="1">
      <c r="A658" s="212"/>
      <c r="B658" s="212"/>
      <c r="C658" s="212"/>
      <c r="D658" s="212"/>
      <c r="E658" s="212"/>
      <c r="F658" s="212"/>
      <c r="G658" s="212"/>
      <c r="H658" s="212"/>
      <c r="J658" s="212"/>
      <c r="K658" s="212"/>
    </row>
    <row r="659" spans="1:11" ht="12.75" customHeight="1">
      <c r="A659" s="212"/>
      <c r="B659" s="212"/>
      <c r="C659" s="212"/>
      <c r="D659" s="212"/>
      <c r="E659" s="212"/>
      <c r="F659" s="212"/>
      <c r="G659" s="212"/>
      <c r="H659" s="212"/>
      <c r="J659" s="212"/>
      <c r="K659" s="212"/>
    </row>
    <row r="660" spans="1:11" ht="12.75" customHeight="1">
      <c r="A660" s="212"/>
      <c r="B660" s="212"/>
      <c r="C660" s="212"/>
      <c r="D660" s="212"/>
      <c r="E660" s="212"/>
      <c r="F660" s="212"/>
      <c r="G660" s="212"/>
      <c r="H660" s="212"/>
      <c r="J660" s="212"/>
      <c r="K660" s="212"/>
    </row>
    <row r="661" spans="1:11" ht="12.75" customHeight="1">
      <c r="A661" s="212"/>
      <c r="B661" s="212"/>
      <c r="C661" s="212"/>
      <c r="D661" s="212"/>
      <c r="E661" s="212"/>
      <c r="F661" s="212"/>
      <c r="G661" s="212"/>
      <c r="H661" s="212"/>
      <c r="J661" s="212"/>
      <c r="K661" s="212"/>
    </row>
    <row r="662" spans="1:11" ht="12.75" customHeight="1">
      <c r="A662" s="212"/>
      <c r="B662" s="212"/>
      <c r="C662" s="212"/>
      <c r="D662" s="212"/>
      <c r="E662" s="212"/>
      <c r="F662" s="212"/>
      <c r="G662" s="212"/>
      <c r="H662" s="212"/>
      <c r="J662" s="212"/>
      <c r="K662" s="212"/>
    </row>
    <row r="663" spans="1:11" ht="12.75" customHeight="1">
      <c r="A663" s="212"/>
      <c r="B663" s="212"/>
      <c r="C663" s="212"/>
      <c r="D663" s="212"/>
      <c r="E663" s="212"/>
      <c r="F663" s="212"/>
      <c r="G663" s="212"/>
      <c r="H663" s="212"/>
      <c r="J663" s="212"/>
      <c r="K663" s="212"/>
    </row>
    <row r="664" spans="1:11" ht="12.75" customHeight="1">
      <c r="A664" s="212"/>
      <c r="B664" s="212"/>
      <c r="C664" s="212"/>
      <c r="D664" s="212"/>
      <c r="E664" s="212"/>
      <c r="F664" s="212"/>
      <c r="G664" s="212"/>
      <c r="H664" s="212"/>
      <c r="J664" s="212"/>
      <c r="K664" s="212"/>
    </row>
    <row r="665" spans="1:11" ht="12.75" customHeight="1">
      <c r="A665" s="212"/>
      <c r="B665" s="212"/>
      <c r="C665" s="212"/>
      <c r="D665" s="212"/>
      <c r="E665" s="212"/>
      <c r="F665" s="212"/>
      <c r="G665" s="212"/>
      <c r="H665" s="212"/>
      <c r="J665" s="212"/>
      <c r="K665" s="212"/>
    </row>
    <row r="666" spans="1:11" ht="12.75" customHeight="1">
      <c r="A666" s="212"/>
      <c r="B666" s="212"/>
      <c r="C666" s="212"/>
      <c r="D666" s="212"/>
      <c r="E666" s="212"/>
      <c r="F666" s="212"/>
      <c r="G666" s="212"/>
      <c r="H666" s="212"/>
      <c r="J666" s="212"/>
      <c r="K666" s="212"/>
    </row>
    <row r="667" spans="1:11" ht="12.75" customHeight="1">
      <c r="A667" s="212"/>
      <c r="B667" s="212"/>
      <c r="C667" s="212"/>
      <c r="D667" s="212"/>
      <c r="E667" s="212"/>
      <c r="F667" s="212"/>
      <c r="G667" s="212"/>
      <c r="H667" s="212"/>
      <c r="J667" s="212"/>
      <c r="K667" s="212"/>
    </row>
    <row r="668" spans="1:11" ht="12.75" customHeight="1">
      <c r="A668" s="212"/>
      <c r="B668" s="212"/>
      <c r="C668" s="212"/>
      <c r="D668" s="212"/>
      <c r="E668" s="212"/>
      <c r="F668" s="212"/>
      <c r="G668" s="212"/>
      <c r="H668" s="212"/>
      <c r="J668" s="212"/>
      <c r="K668" s="212"/>
    </row>
    <row r="669" spans="1:11" ht="12.75" customHeight="1">
      <c r="A669" s="212"/>
      <c r="B669" s="212"/>
      <c r="C669" s="212"/>
      <c r="D669" s="212"/>
      <c r="E669" s="212"/>
      <c r="F669" s="212"/>
      <c r="G669" s="212"/>
      <c r="H669" s="212"/>
      <c r="J669" s="212"/>
      <c r="K669" s="212"/>
    </row>
    <row r="670" spans="1:11" ht="12.75" customHeight="1">
      <c r="A670" s="212"/>
      <c r="B670" s="212"/>
      <c r="C670" s="212"/>
      <c r="D670" s="212"/>
      <c r="E670" s="212"/>
      <c r="F670" s="212"/>
      <c r="G670" s="212"/>
      <c r="H670" s="212"/>
      <c r="J670" s="212"/>
      <c r="K670" s="212"/>
    </row>
    <row r="671" spans="1:11" ht="12.75" customHeight="1">
      <c r="A671" s="212"/>
      <c r="B671" s="212"/>
      <c r="C671" s="212"/>
      <c r="D671" s="212"/>
      <c r="E671" s="212"/>
      <c r="F671" s="212"/>
      <c r="G671" s="212"/>
      <c r="H671" s="212"/>
      <c r="J671" s="212"/>
      <c r="K671" s="212"/>
    </row>
    <row r="672" spans="1:11" ht="12.75" customHeight="1">
      <c r="A672" s="212"/>
      <c r="B672" s="212"/>
      <c r="C672" s="212"/>
      <c r="D672" s="212"/>
      <c r="E672" s="212"/>
      <c r="F672" s="212"/>
      <c r="G672" s="212"/>
      <c r="H672" s="212"/>
      <c r="J672" s="212"/>
      <c r="K672" s="212"/>
    </row>
    <row r="673" spans="1:11" ht="12.75" customHeight="1">
      <c r="A673" s="212"/>
      <c r="B673" s="212"/>
      <c r="C673" s="212"/>
      <c r="D673" s="212"/>
      <c r="E673" s="212"/>
      <c r="F673" s="212"/>
      <c r="G673" s="212"/>
      <c r="H673" s="212"/>
      <c r="J673" s="212"/>
      <c r="K673" s="212"/>
    </row>
    <row r="674" spans="1:11" ht="12.75" customHeight="1">
      <c r="A674" s="212"/>
      <c r="B674" s="212"/>
      <c r="C674" s="212"/>
      <c r="D674" s="212"/>
      <c r="E674" s="212"/>
      <c r="F674" s="212"/>
      <c r="G674" s="212"/>
      <c r="H674" s="212"/>
      <c r="J674" s="212"/>
      <c r="K674" s="212"/>
    </row>
    <row r="675" spans="1:11" ht="12.75" customHeight="1">
      <c r="A675" s="212"/>
      <c r="B675" s="212"/>
      <c r="C675" s="212"/>
      <c r="D675" s="212"/>
      <c r="E675" s="212"/>
      <c r="F675" s="212"/>
      <c r="G675" s="212"/>
      <c r="H675" s="212"/>
      <c r="J675" s="212"/>
      <c r="K675" s="212"/>
    </row>
    <row r="676" spans="1:11" ht="12.75" customHeight="1">
      <c r="A676" s="212"/>
      <c r="B676" s="212"/>
      <c r="C676" s="212"/>
      <c r="D676" s="212"/>
      <c r="E676" s="212"/>
      <c r="F676" s="212"/>
      <c r="G676" s="212"/>
      <c r="H676" s="212"/>
      <c r="J676" s="212"/>
      <c r="K676" s="212"/>
    </row>
    <row r="677" spans="1:11" ht="12.75" customHeight="1">
      <c r="A677" s="212"/>
      <c r="B677" s="212"/>
      <c r="C677" s="212"/>
      <c r="D677" s="212"/>
      <c r="E677" s="212"/>
      <c r="F677" s="212"/>
      <c r="G677" s="212"/>
      <c r="H677" s="212"/>
      <c r="J677" s="212"/>
      <c r="K677" s="212"/>
    </row>
    <row r="678" spans="1:11" ht="12.75" customHeight="1">
      <c r="A678" s="212"/>
      <c r="B678" s="212"/>
      <c r="C678" s="212"/>
      <c r="D678" s="212"/>
      <c r="E678" s="212"/>
      <c r="F678" s="212"/>
      <c r="G678" s="212"/>
      <c r="H678" s="212"/>
      <c r="J678" s="212"/>
      <c r="K678" s="212"/>
    </row>
    <row r="679" spans="1:11" ht="12.75" customHeight="1">
      <c r="A679" s="212"/>
      <c r="B679" s="212"/>
      <c r="C679" s="212"/>
      <c r="D679" s="212"/>
      <c r="E679" s="212"/>
      <c r="F679" s="212"/>
      <c r="G679" s="212"/>
      <c r="H679" s="212"/>
      <c r="J679" s="212"/>
      <c r="K679" s="212"/>
    </row>
    <row r="680" spans="1:11" ht="12.75" customHeight="1">
      <c r="A680" s="212"/>
      <c r="B680" s="212"/>
      <c r="C680" s="212"/>
      <c r="D680" s="212"/>
      <c r="E680" s="212"/>
      <c r="F680" s="212"/>
      <c r="G680" s="212"/>
      <c r="H680" s="212"/>
      <c r="J680" s="212"/>
      <c r="K680" s="212"/>
    </row>
    <row r="681" spans="1:11" ht="12.75" customHeight="1">
      <c r="A681" s="212"/>
      <c r="B681" s="212"/>
      <c r="C681" s="212"/>
      <c r="D681" s="212"/>
      <c r="E681" s="212"/>
      <c r="F681" s="212"/>
      <c r="G681" s="212"/>
      <c r="H681" s="212"/>
      <c r="J681" s="212"/>
      <c r="K681" s="212"/>
    </row>
    <row r="682" spans="1:11" ht="12.75" customHeight="1">
      <c r="A682" s="212"/>
      <c r="B682" s="212"/>
      <c r="C682" s="212"/>
      <c r="D682" s="212"/>
      <c r="E682" s="212"/>
      <c r="F682" s="212"/>
      <c r="G682" s="212"/>
      <c r="H682" s="212"/>
      <c r="J682" s="212"/>
      <c r="K682" s="212"/>
    </row>
    <row r="683" spans="1:11" ht="12.75" customHeight="1">
      <c r="A683" s="212"/>
      <c r="B683" s="212"/>
      <c r="C683" s="212"/>
      <c r="D683" s="212"/>
      <c r="E683" s="212"/>
      <c r="F683" s="212"/>
      <c r="G683" s="212"/>
      <c r="H683" s="212"/>
      <c r="J683" s="212"/>
      <c r="K683" s="212"/>
    </row>
    <row r="684" spans="1:11" ht="12.75" customHeight="1">
      <c r="A684" s="212"/>
      <c r="B684" s="212"/>
      <c r="C684" s="212"/>
      <c r="D684" s="212"/>
      <c r="E684" s="212"/>
      <c r="F684" s="212"/>
      <c r="G684" s="212"/>
      <c r="H684" s="212"/>
      <c r="J684" s="212"/>
      <c r="K684" s="212"/>
    </row>
    <row r="685" spans="1:11" ht="12.75" customHeight="1">
      <c r="A685" s="212"/>
      <c r="B685" s="212"/>
      <c r="C685" s="212"/>
      <c r="D685" s="212"/>
      <c r="E685" s="212"/>
      <c r="F685" s="212"/>
      <c r="G685" s="212"/>
      <c r="H685" s="212"/>
      <c r="J685" s="212"/>
      <c r="K685" s="212"/>
    </row>
    <row r="686" spans="1:11" ht="12.75" customHeight="1">
      <c r="A686" s="212"/>
      <c r="B686" s="212"/>
      <c r="C686" s="212"/>
      <c r="D686" s="212"/>
      <c r="E686" s="212"/>
      <c r="F686" s="212"/>
      <c r="G686" s="212"/>
      <c r="H686" s="212"/>
      <c r="J686" s="212"/>
      <c r="K686" s="212"/>
    </row>
    <row r="687" spans="1:11" ht="12.75" customHeight="1">
      <c r="A687" s="212"/>
      <c r="B687" s="212"/>
      <c r="C687" s="212"/>
      <c r="D687" s="212"/>
      <c r="E687" s="212"/>
      <c r="F687" s="212"/>
      <c r="G687" s="212"/>
      <c r="H687" s="212"/>
      <c r="J687" s="212"/>
      <c r="K687" s="212"/>
    </row>
    <row r="688" spans="1:11" ht="12.75" customHeight="1">
      <c r="A688" s="212"/>
      <c r="B688" s="212"/>
      <c r="C688" s="212"/>
      <c r="D688" s="212"/>
      <c r="E688" s="212"/>
      <c r="F688" s="212"/>
      <c r="G688" s="212"/>
      <c r="H688" s="212"/>
      <c r="J688" s="212"/>
      <c r="K688" s="212"/>
    </row>
    <row r="689" spans="1:11" ht="12.75" customHeight="1">
      <c r="A689" s="212"/>
      <c r="B689" s="212"/>
      <c r="C689" s="212"/>
      <c r="D689" s="212"/>
      <c r="E689" s="212"/>
      <c r="F689" s="212"/>
      <c r="G689" s="212"/>
      <c r="H689" s="212"/>
      <c r="J689" s="212"/>
      <c r="K689" s="212"/>
    </row>
    <row r="690" spans="1:11" ht="12.75" customHeight="1">
      <c r="A690" s="212"/>
      <c r="B690" s="212"/>
      <c r="C690" s="212"/>
      <c r="D690" s="212"/>
      <c r="E690" s="212"/>
      <c r="F690" s="212"/>
      <c r="G690" s="212"/>
      <c r="H690" s="212"/>
      <c r="J690" s="212"/>
      <c r="K690" s="212"/>
    </row>
    <row r="691" spans="1:11" ht="12.75" customHeight="1">
      <c r="A691" s="212"/>
      <c r="B691" s="212"/>
      <c r="C691" s="212"/>
      <c r="D691" s="212"/>
      <c r="E691" s="212"/>
      <c r="F691" s="212"/>
      <c r="G691" s="212"/>
      <c r="H691" s="212"/>
      <c r="J691" s="212"/>
      <c r="K691" s="212"/>
    </row>
    <row r="692" spans="1:11" ht="12.75" customHeight="1">
      <c r="A692" s="212"/>
      <c r="B692" s="212"/>
      <c r="C692" s="212"/>
      <c r="D692" s="212"/>
      <c r="E692" s="212"/>
      <c r="F692" s="212"/>
      <c r="G692" s="212"/>
      <c r="H692" s="212"/>
      <c r="J692" s="212"/>
      <c r="K692" s="212"/>
    </row>
    <row r="693" spans="1:11" ht="12.75" customHeight="1">
      <c r="A693" s="212"/>
      <c r="B693" s="212"/>
      <c r="C693" s="212"/>
      <c r="D693" s="212"/>
      <c r="E693" s="212"/>
      <c r="F693" s="212"/>
      <c r="G693" s="212"/>
      <c r="H693" s="212"/>
      <c r="J693" s="212"/>
      <c r="K693" s="212"/>
    </row>
    <row r="694" spans="1:11" ht="12.75" customHeight="1">
      <c r="A694" s="212"/>
      <c r="B694" s="212"/>
      <c r="C694" s="212"/>
      <c r="D694" s="212"/>
      <c r="E694" s="212"/>
      <c r="F694" s="212"/>
      <c r="G694" s="212"/>
      <c r="H694" s="212"/>
      <c r="J694" s="212"/>
      <c r="K694" s="212"/>
    </row>
    <row r="695" spans="1:11" ht="12.75" customHeight="1">
      <c r="A695" s="212"/>
      <c r="B695" s="212"/>
      <c r="C695" s="212"/>
      <c r="D695" s="212"/>
      <c r="E695" s="212"/>
      <c r="F695" s="212"/>
      <c r="G695" s="212"/>
      <c r="H695" s="212"/>
      <c r="J695" s="212"/>
      <c r="K695" s="212"/>
    </row>
    <row r="696" spans="1:11" ht="12.75" customHeight="1">
      <c r="A696" s="212"/>
      <c r="B696" s="212"/>
      <c r="C696" s="212"/>
      <c r="D696" s="212"/>
      <c r="E696" s="212"/>
      <c r="F696" s="212"/>
      <c r="G696" s="212"/>
      <c r="H696" s="212"/>
      <c r="J696" s="212"/>
      <c r="K696" s="212"/>
    </row>
    <row r="697" spans="1:11" ht="12.75" customHeight="1">
      <c r="A697" s="212"/>
      <c r="B697" s="212"/>
      <c r="C697" s="212"/>
      <c r="D697" s="212"/>
      <c r="E697" s="212"/>
      <c r="F697" s="212"/>
      <c r="G697" s="212"/>
      <c r="H697" s="212"/>
      <c r="J697" s="212"/>
      <c r="K697" s="212"/>
    </row>
    <row r="698" spans="1:11" ht="12.75" customHeight="1">
      <c r="A698" s="212"/>
      <c r="B698" s="212"/>
      <c r="C698" s="212"/>
      <c r="D698" s="212"/>
      <c r="E698" s="212"/>
      <c r="F698" s="212"/>
      <c r="G698" s="212"/>
      <c r="H698" s="212"/>
      <c r="J698" s="212"/>
      <c r="K698" s="212"/>
    </row>
    <row r="699" spans="1:11" ht="12.75" customHeight="1">
      <c r="A699" s="212"/>
      <c r="B699" s="212"/>
      <c r="C699" s="212"/>
      <c r="D699" s="212"/>
      <c r="E699" s="212"/>
      <c r="F699" s="212"/>
      <c r="G699" s="212"/>
      <c r="H699" s="212"/>
      <c r="J699" s="212"/>
      <c r="K699" s="212"/>
    </row>
    <row r="700" spans="1:11" ht="12.75" customHeight="1">
      <c r="A700" s="212"/>
      <c r="B700" s="212"/>
      <c r="C700" s="212"/>
      <c r="D700" s="212"/>
      <c r="E700" s="212"/>
      <c r="F700" s="212"/>
      <c r="G700" s="212"/>
      <c r="H700" s="212"/>
      <c r="J700" s="212"/>
      <c r="K700" s="212"/>
    </row>
    <row r="701" spans="1:11" ht="12.75" customHeight="1">
      <c r="A701" s="212"/>
      <c r="B701" s="212"/>
      <c r="C701" s="212"/>
      <c r="D701" s="212"/>
      <c r="E701" s="212"/>
      <c r="F701" s="212"/>
      <c r="G701" s="212"/>
      <c r="H701" s="212"/>
      <c r="J701" s="212"/>
      <c r="K701" s="212"/>
    </row>
    <row r="702" spans="1:11" ht="12.75" customHeight="1">
      <c r="A702" s="212"/>
      <c r="B702" s="212"/>
      <c r="C702" s="212"/>
      <c r="D702" s="212"/>
      <c r="E702" s="212"/>
      <c r="F702" s="212"/>
      <c r="G702" s="212"/>
      <c r="H702" s="212"/>
      <c r="J702" s="212"/>
      <c r="K702" s="212"/>
    </row>
    <row r="703" spans="1:11" ht="12.75" customHeight="1">
      <c r="A703" s="212"/>
      <c r="B703" s="212"/>
      <c r="C703" s="212"/>
      <c r="D703" s="212"/>
      <c r="E703" s="212"/>
      <c r="F703" s="212"/>
      <c r="G703" s="212"/>
      <c r="H703" s="212"/>
      <c r="J703" s="212"/>
      <c r="K703" s="212"/>
    </row>
    <row r="704" spans="1:11" ht="12.75" customHeight="1">
      <c r="A704" s="212"/>
      <c r="B704" s="212"/>
      <c r="C704" s="212"/>
      <c r="D704" s="212"/>
      <c r="E704" s="212"/>
      <c r="F704" s="212"/>
      <c r="G704" s="212"/>
      <c r="H704" s="212"/>
      <c r="J704" s="212"/>
      <c r="K704" s="212"/>
    </row>
    <row r="705" spans="1:11" ht="12.75" customHeight="1">
      <c r="A705" s="212"/>
      <c r="B705" s="212"/>
      <c r="C705" s="212"/>
      <c r="D705" s="212"/>
      <c r="E705" s="212"/>
      <c r="F705" s="212"/>
      <c r="G705" s="212"/>
      <c r="H705" s="212"/>
      <c r="J705" s="212"/>
      <c r="K705" s="212"/>
    </row>
    <row r="706" spans="1:11" ht="12.75" customHeight="1">
      <c r="A706" s="212"/>
      <c r="B706" s="212"/>
      <c r="C706" s="212"/>
      <c r="D706" s="212"/>
      <c r="E706" s="212"/>
      <c r="F706" s="212"/>
      <c r="G706" s="212"/>
      <c r="H706" s="212"/>
      <c r="J706" s="212"/>
      <c r="K706" s="212"/>
    </row>
    <row r="707" spans="1:11" ht="12.75" customHeight="1">
      <c r="A707" s="212"/>
      <c r="B707" s="212"/>
      <c r="C707" s="212"/>
      <c r="D707" s="212"/>
      <c r="E707" s="212"/>
      <c r="F707" s="212"/>
      <c r="G707" s="212"/>
      <c r="H707" s="212"/>
      <c r="J707" s="212"/>
      <c r="K707" s="212"/>
    </row>
    <row r="708" spans="1:11" ht="12.75" customHeight="1">
      <c r="A708" s="212"/>
      <c r="B708" s="212"/>
      <c r="C708" s="212"/>
      <c r="D708" s="212"/>
      <c r="E708" s="212"/>
      <c r="F708" s="212"/>
      <c r="G708" s="212"/>
      <c r="H708" s="212"/>
      <c r="J708" s="212"/>
      <c r="K708" s="212"/>
    </row>
    <row r="709" spans="1:11" ht="12.75" customHeight="1">
      <c r="A709" s="212"/>
      <c r="B709" s="212"/>
      <c r="C709" s="212"/>
      <c r="D709" s="212"/>
      <c r="E709" s="212"/>
      <c r="F709" s="212"/>
      <c r="G709" s="212"/>
      <c r="H709" s="212"/>
      <c r="J709" s="212"/>
      <c r="K709" s="212"/>
    </row>
    <row r="710" spans="1:11" ht="12.75" customHeight="1">
      <c r="A710" s="212"/>
      <c r="B710" s="212"/>
      <c r="C710" s="212"/>
      <c r="D710" s="212"/>
      <c r="E710" s="212"/>
      <c r="F710" s="212"/>
      <c r="G710" s="212"/>
      <c r="H710" s="212"/>
      <c r="J710" s="212"/>
      <c r="K710" s="212"/>
    </row>
    <row r="711" spans="1:11" ht="12.75" customHeight="1">
      <c r="A711" s="212"/>
      <c r="B711" s="212"/>
      <c r="C711" s="212"/>
      <c r="D711" s="212"/>
      <c r="E711" s="212"/>
      <c r="F711" s="212"/>
      <c r="G711" s="212"/>
      <c r="H711" s="212"/>
      <c r="J711" s="212"/>
      <c r="K711" s="212"/>
    </row>
    <row r="712" spans="1:11" ht="12.75" customHeight="1">
      <c r="A712" s="212"/>
      <c r="B712" s="212"/>
      <c r="C712" s="212"/>
      <c r="D712" s="212"/>
      <c r="E712" s="212"/>
      <c r="F712" s="212"/>
      <c r="G712" s="212"/>
      <c r="H712" s="212"/>
      <c r="J712" s="212"/>
      <c r="K712" s="212"/>
    </row>
    <row r="713" spans="1:11" ht="12.75" customHeight="1">
      <c r="A713" s="212"/>
      <c r="B713" s="212"/>
      <c r="C713" s="212"/>
      <c r="D713" s="212"/>
      <c r="E713" s="212"/>
      <c r="F713" s="212"/>
      <c r="G713" s="212"/>
      <c r="H713" s="212"/>
      <c r="J713" s="212"/>
      <c r="K713" s="212"/>
    </row>
    <row r="714" spans="1:11" ht="12.75" customHeight="1">
      <c r="A714" s="212"/>
      <c r="B714" s="212"/>
      <c r="C714" s="212"/>
      <c r="D714" s="212"/>
      <c r="E714" s="212"/>
      <c r="F714" s="212"/>
      <c r="G714" s="212"/>
      <c r="H714" s="212"/>
      <c r="J714" s="212"/>
      <c r="K714" s="212"/>
    </row>
    <row r="715" spans="1:11" ht="12.75" customHeight="1">
      <c r="A715" s="212"/>
      <c r="B715" s="212"/>
      <c r="C715" s="212"/>
      <c r="D715" s="212"/>
      <c r="E715" s="212"/>
      <c r="F715" s="212"/>
      <c r="G715" s="212"/>
      <c r="H715" s="212"/>
      <c r="J715" s="212"/>
      <c r="K715" s="212"/>
    </row>
    <row r="716" spans="1:11" ht="12.75" customHeight="1">
      <c r="A716" s="212"/>
      <c r="B716" s="212"/>
      <c r="C716" s="212"/>
      <c r="D716" s="212"/>
      <c r="E716" s="212"/>
      <c r="F716" s="212"/>
      <c r="G716" s="212"/>
      <c r="H716" s="212"/>
      <c r="J716" s="212"/>
      <c r="K716" s="212"/>
    </row>
    <row r="717" spans="1:11" ht="12.75" customHeight="1">
      <c r="A717" s="212"/>
      <c r="B717" s="212"/>
      <c r="C717" s="212"/>
      <c r="D717" s="212"/>
      <c r="E717" s="212"/>
      <c r="F717" s="212"/>
      <c r="G717" s="212"/>
      <c r="H717" s="212"/>
      <c r="J717" s="212"/>
      <c r="K717" s="212"/>
    </row>
    <row r="718" spans="1:11" ht="12.75" customHeight="1">
      <c r="A718" s="212"/>
      <c r="B718" s="212"/>
      <c r="C718" s="212"/>
      <c r="D718" s="212"/>
      <c r="E718" s="212"/>
      <c r="F718" s="212"/>
      <c r="G718" s="212"/>
      <c r="H718" s="212"/>
      <c r="J718" s="212"/>
      <c r="K718" s="212"/>
    </row>
    <row r="719" spans="1:11" ht="12.75" customHeight="1">
      <c r="A719" s="212"/>
      <c r="B719" s="212"/>
      <c r="C719" s="212"/>
      <c r="D719" s="212"/>
      <c r="E719" s="212"/>
      <c r="F719" s="212"/>
      <c r="G719" s="212"/>
      <c r="H719" s="212"/>
      <c r="J719" s="212"/>
      <c r="K719" s="212"/>
    </row>
    <row r="720" spans="1:11" ht="12.75" customHeight="1">
      <c r="A720" s="212"/>
      <c r="B720" s="212"/>
      <c r="C720" s="212"/>
      <c r="D720" s="212"/>
      <c r="E720" s="212"/>
      <c r="F720" s="212"/>
      <c r="G720" s="212"/>
      <c r="H720" s="212"/>
      <c r="J720" s="212"/>
      <c r="K720" s="212"/>
    </row>
    <row r="721" spans="1:11" ht="12.75" customHeight="1">
      <c r="A721" s="212"/>
      <c r="B721" s="212"/>
      <c r="C721" s="212"/>
      <c r="D721" s="212"/>
      <c r="E721" s="212"/>
      <c r="F721" s="212"/>
      <c r="G721" s="212"/>
      <c r="H721" s="212"/>
      <c r="J721" s="212"/>
      <c r="K721" s="212"/>
    </row>
    <row r="722" spans="1:11" ht="12.75" customHeight="1">
      <c r="A722" s="212"/>
      <c r="B722" s="212"/>
      <c r="C722" s="212"/>
      <c r="D722" s="212"/>
      <c r="E722" s="212"/>
      <c r="F722" s="212"/>
      <c r="G722" s="212"/>
      <c r="H722" s="212"/>
      <c r="J722" s="212"/>
      <c r="K722" s="212"/>
    </row>
    <row r="723" spans="1:11" ht="12.75" customHeight="1">
      <c r="A723" s="212"/>
      <c r="B723" s="212"/>
      <c r="C723" s="212"/>
      <c r="D723" s="212"/>
      <c r="E723" s="212"/>
      <c r="F723" s="212"/>
      <c r="G723" s="212"/>
      <c r="H723" s="212"/>
      <c r="J723" s="212"/>
      <c r="K723" s="212"/>
    </row>
    <row r="724" spans="1:11" ht="12.75" customHeight="1">
      <c r="A724" s="212"/>
      <c r="B724" s="212"/>
      <c r="C724" s="212"/>
      <c r="D724" s="212"/>
      <c r="E724" s="212"/>
      <c r="F724" s="212"/>
      <c r="G724" s="212"/>
      <c r="H724" s="212"/>
      <c r="J724" s="212"/>
      <c r="K724" s="212"/>
    </row>
    <row r="725" spans="1:11" ht="12.75" customHeight="1">
      <c r="A725" s="212"/>
      <c r="B725" s="212"/>
      <c r="C725" s="212"/>
      <c r="D725" s="212"/>
      <c r="E725" s="212"/>
      <c r="F725" s="212"/>
      <c r="G725" s="212"/>
      <c r="H725" s="212"/>
      <c r="J725" s="212"/>
      <c r="K725" s="212"/>
    </row>
    <row r="726" spans="1:11" ht="12.75" customHeight="1">
      <c r="A726" s="212"/>
      <c r="B726" s="212"/>
      <c r="C726" s="212"/>
      <c r="D726" s="212"/>
      <c r="E726" s="212"/>
      <c r="F726" s="212"/>
      <c r="G726" s="212"/>
      <c r="H726" s="212"/>
      <c r="J726" s="212"/>
      <c r="K726" s="212"/>
    </row>
    <row r="727" spans="1:11" ht="12.75" customHeight="1">
      <c r="A727" s="212"/>
      <c r="B727" s="212"/>
      <c r="C727" s="212"/>
      <c r="D727" s="212"/>
      <c r="E727" s="212"/>
      <c r="F727" s="212"/>
      <c r="G727" s="212"/>
      <c r="H727" s="212"/>
      <c r="J727" s="212"/>
      <c r="K727" s="212"/>
    </row>
    <row r="728" spans="1:11" ht="12.75" customHeight="1">
      <c r="A728" s="212"/>
      <c r="B728" s="212"/>
      <c r="C728" s="212"/>
      <c r="D728" s="212"/>
      <c r="E728" s="212"/>
      <c r="F728" s="212"/>
      <c r="G728" s="212"/>
      <c r="H728" s="212"/>
      <c r="J728" s="212"/>
      <c r="K728" s="212"/>
    </row>
    <row r="729" spans="1:11" ht="12.75" customHeight="1">
      <c r="A729" s="212"/>
      <c r="B729" s="212"/>
      <c r="C729" s="212"/>
      <c r="D729" s="212"/>
      <c r="E729" s="212"/>
      <c r="F729" s="212"/>
      <c r="G729" s="212"/>
      <c r="H729" s="212"/>
      <c r="J729" s="212"/>
      <c r="K729" s="212"/>
    </row>
    <row r="730" spans="1:11" ht="12.75" customHeight="1">
      <c r="A730" s="212"/>
      <c r="B730" s="212"/>
      <c r="C730" s="212"/>
      <c r="D730" s="212"/>
      <c r="E730" s="212"/>
      <c r="F730" s="212"/>
      <c r="G730" s="212"/>
      <c r="H730" s="212"/>
      <c r="J730" s="212"/>
      <c r="K730" s="212"/>
    </row>
    <row r="731" spans="1:11" ht="12.75" customHeight="1">
      <c r="A731" s="212"/>
      <c r="B731" s="212"/>
      <c r="C731" s="212"/>
      <c r="D731" s="212"/>
      <c r="E731" s="212"/>
      <c r="F731" s="212"/>
      <c r="G731" s="212"/>
      <c r="H731" s="212"/>
      <c r="J731" s="212"/>
      <c r="K731" s="212"/>
    </row>
    <row r="732" spans="1:11" ht="12.75" customHeight="1">
      <c r="A732" s="212"/>
      <c r="B732" s="212"/>
      <c r="C732" s="212"/>
      <c r="D732" s="212"/>
      <c r="E732" s="212"/>
      <c r="F732" s="212"/>
      <c r="G732" s="212"/>
      <c r="H732" s="212"/>
      <c r="J732" s="212"/>
      <c r="K732" s="212"/>
    </row>
    <row r="733" spans="1:11" ht="12.75" customHeight="1">
      <c r="A733" s="212"/>
      <c r="B733" s="212"/>
      <c r="C733" s="212"/>
      <c r="D733" s="212"/>
      <c r="E733" s="212"/>
      <c r="F733" s="212"/>
      <c r="G733" s="212"/>
      <c r="H733" s="212"/>
      <c r="J733" s="212"/>
      <c r="K733" s="212"/>
    </row>
    <row r="734" spans="1:11" ht="12.75" customHeight="1">
      <c r="A734" s="212"/>
      <c r="B734" s="212"/>
      <c r="C734" s="212"/>
      <c r="D734" s="212"/>
      <c r="E734" s="212"/>
      <c r="F734" s="212"/>
      <c r="G734" s="212"/>
      <c r="H734" s="212"/>
      <c r="J734" s="212"/>
      <c r="K734" s="212"/>
    </row>
    <row r="735" spans="1:11" ht="12.75" customHeight="1">
      <c r="A735" s="212"/>
      <c r="B735" s="212"/>
      <c r="C735" s="212"/>
      <c r="D735" s="212"/>
      <c r="E735" s="212"/>
      <c r="F735" s="212"/>
      <c r="G735" s="212"/>
      <c r="H735" s="212"/>
      <c r="J735" s="212"/>
      <c r="K735" s="212"/>
    </row>
    <row r="736" spans="1:11" ht="12.75" customHeight="1">
      <c r="A736" s="212"/>
      <c r="B736" s="212"/>
      <c r="C736" s="212"/>
      <c r="D736" s="212"/>
      <c r="E736" s="212"/>
      <c r="F736" s="212"/>
      <c r="G736" s="212"/>
      <c r="H736" s="212"/>
      <c r="J736" s="212"/>
      <c r="K736" s="212"/>
    </row>
    <row r="737" spans="1:11" ht="12.75" customHeight="1">
      <c r="A737" s="212"/>
      <c r="B737" s="212"/>
      <c r="C737" s="212"/>
      <c r="D737" s="212"/>
      <c r="E737" s="212"/>
      <c r="F737" s="212"/>
      <c r="G737" s="212"/>
      <c r="H737" s="212"/>
      <c r="J737" s="212"/>
      <c r="K737" s="212"/>
    </row>
    <row r="738" spans="1:11" ht="12.75" customHeight="1">
      <c r="A738" s="212"/>
      <c r="B738" s="212"/>
      <c r="C738" s="212"/>
      <c r="D738" s="212"/>
      <c r="E738" s="212"/>
      <c r="F738" s="212"/>
      <c r="G738" s="212"/>
      <c r="H738" s="212"/>
      <c r="J738" s="212"/>
      <c r="K738" s="212"/>
    </row>
    <row r="739" spans="1:11" ht="12.75" customHeight="1">
      <c r="A739" s="212"/>
      <c r="B739" s="212"/>
      <c r="C739" s="212"/>
      <c r="D739" s="212"/>
      <c r="E739" s="212"/>
      <c r="F739" s="212"/>
      <c r="G739" s="212"/>
      <c r="H739" s="212"/>
      <c r="J739" s="212"/>
      <c r="K739" s="212"/>
    </row>
    <row r="740" spans="1:11" ht="12.75" customHeight="1">
      <c r="A740" s="212"/>
      <c r="B740" s="212"/>
      <c r="C740" s="212"/>
      <c r="D740" s="212"/>
      <c r="E740" s="212"/>
      <c r="F740" s="212"/>
      <c r="G740" s="212"/>
      <c r="H740" s="212"/>
      <c r="J740" s="212"/>
      <c r="K740" s="212"/>
    </row>
    <row r="741" spans="1:11" ht="12.75" customHeight="1">
      <c r="A741" s="212"/>
      <c r="B741" s="212"/>
      <c r="C741" s="212"/>
      <c r="D741" s="212"/>
      <c r="E741" s="212"/>
      <c r="F741" s="212"/>
      <c r="G741" s="212"/>
      <c r="H741" s="212"/>
      <c r="J741" s="212"/>
      <c r="K741" s="212"/>
    </row>
    <row r="742" spans="1:11" ht="12.75" customHeight="1">
      <c r="A742" s="212"/>
      <c r="B742" s="212"/>
      <c r="C742" s="212"/>
      <c r="D742" s="212"/>
      <c r="E742" s="212"/>
      <c r="F742" s="212"/>
      <c r="G742" s="212"/>
      <c r="H742" s="212"/>
      <c r="J742" s="212"/>
      <c r="K742" s="212"/>
    </row>
    <row r="743" spans="1:11" ht="12.75" customHeight="1">
      <c r="A743" s="212"/>
      <c r="B743" s="212"/>
      <c r="C743" s="212"/>
      <c r="D743" s="212"/>
      <c r="E743" s="212"/>
      <c r="F743" s="212"/>
      <c r="G743" s="212"/>
      <c r="H743" s="212"/>
      <c r="J743" s="212"/>
      <c r="K743" s="212"/>
    </row>
    <row r="744" spans="1:11" ht="12.75" customHeight="1">
      <c r="A744" s="212"/>
      <c r="B744" s="212"/>
      <c r="C744" s="212"/>
      <c r="D744" s="212"/>
      <c r="E744" s="212"/>
      <c r="F744" s="212"/>
      <c r="G744" s="212"/>
      <c r="H744" s="212"/>
      <c r="J744" s="212"/>
      <c r="K744" s="212"/>
    </row>
    <row r="745" spans="1:11" ht="12.75" customHeight="1">
      <c r="A745" s="212"/>
      <c r="B745" s="212"/>
      <c r="C745" s="212"/>
      <c r="D745" s="212"/>
      <c r="E745" s="212"/>
      <c r="F745" s="212"/>
      <c r="G745" s="212"/>
      <c r="H745" s="212"/>
      <c r="J745" s="212"/>
      <c r="K745" s="212"/>
    </row>
    <row r="746" spans="1:11" ht="12.75" customHeight="1">
      <c r="A746" s="212"/>
      <c r="B746" s="212"/>
      <c r="C746" s="212"/>
      <c r="D746" s="212"/>
      <c r="E746" s="212"/>
      <c r="F746" s="212"/>
      <c r="G746" s="212"/>
      <c r="H746" s="212"/>
      <c r="J746" s="212"/>
      <c r="K746" s="212"/>
    </row>
    <row r="747" spans="1:11" ht="12.75" customHeight="1">
      <c r="A747" s="212"/>
      <c r="B747" s="212"/>
      <c r="C747" s="212"/>
      <c r="D747" s="212"/>
      <c r="E747" s="212"/>
      <c r="F747" s="212"/>
      <c r="G747" s="212"/>
      <c r="H747" s="212"/>
      <c r="J747" s="212"/>
      <c r="K747" s="212"/>
    </row>
    <row r="748" spans="1:11" ht="12.75" customHeight="1">
      <c r="A748" s="212"/>
      <c r="B748" s="212"/>
      <c r="C748" s="212"/>
      <c r="D748" s="212"/>
      <c r="E748" s="212"/>
      <c r="F748" s="212"/>
      <c r="G748" s="212"/>
      <c r="H748" s="212"/>
      <c r="J748" s="212"/>
      <c r="K748" s="212"/>
    </row>
    <row r="749" spans="1:11" ht="12.75" customHeight="1">
      <c r="A749" s="212"/>
      <c r="B749" s="212"/>
      <c r="C749" s="212"/>
      <c r="D749" s="212"/>
      <c r="E749" s="212"/>
      <c r="F749" s="212"/>
      <c r="G749" s="212"/>
      <c r="H749" s="212"/>
      <c r="J749" s="212"/>
      <c r="K749" s="212"/>
    </row>
    <row r="750" spans="1:11" ht="12.75" customHeight="1">
      <c r="A750" s="212"/>
      <c r="B750" s="212"/>
      <c r="C750" s="212"/>
      <c r="D750" s="212"/>
      <c r="E750" s="212"/>
      <c r="F750" s="212"/>
      <c r="G750" s="212"/>
      <c r="H750" s="212"/>
      <c r="J750" s="212"/>
      <c r="K750" s="212"/>
    </row>
    <row r="751" spans="1:11" ht="12.75" customHeight="1">
      <c r="A751" s="212"/>
      <c r="B751" s="212"/>
      <c r="C751" s="212"/>
      <c r="D751" s="212"/>
      <c r="E751" s="212"/>
      <c r="F751" s="212"/>
      <c r="G751" s="212"/>
      <c r="H751" s="212"/>
      <c r="J751" s="212"/>
      <c r="K751" s="212"/>
    </row>
    <row r="752" spans="1:11" ht="12.75" customHeight="1">
      <c r="A752" s="212"/>
      <c r="B752" s="212"/>
      <c r="C752" s="212"/>
      <c r="D752" s="212"/>
      <c r="E752" s="212"/>
      <c r="F752" s="212"/>
      <c r="G752" s="212"/>
      <c r="H752" s="212"/>
      <c r="J752" s="212"/>
      <c r="K752" s="212"/>
    </row>
    <row r="753" spans="1:11" ht="12.75" customHeight="1">
      <c r="A753" s="212"/>
      <c r="B753" s="212"/>
      <c r="C753" s="212"/>
      <c r="D753" s="212"/>
      <c r="E753" s="212"/>
      <c r="F753" s="212"/>
      <c r="G753" s="212"/>
      <c r="H753" s="212"/>
      <c r="J753" s="212"/>
      <c r="K753" s="212"/>
    </row>
    <row r="754" spans="1:11" ht="12.75" customHeight="1">
      <c r="A754" s="212"/>
      <c r="B754" s="212"/>
      <c r="C754" s="212"/>
      <c r="D754" s="212"/>
      <c r="E754" s="212"/>
      <c r="F754" s="212"/>
      <c r="G754" s="212"/>
      <c r="H754" s="212"/>
      <c r="J754" s="212"/>
      <c r="K754" s="212"/>
    </row>
    <row r="755" spans="1:11" ht="12.75" customHeight="1">
      <c r="A755" s="212"/>
      <c r="B755" s="212"/>
      <c r="C755" s="212"/>
      <c r="D755" s="212"/>
      <c r="E755" s="212"/>
      <c r="F755" s="212"/>
      <c r="G755" s="212"/>
      <c r="H755" s="212"/>
      <c r="J755" s="212"/>
      <c r="K755" s="212"/>
    </row>
    <row r="756" spans="1:11" ht="12.75" customHeight="1">
      <c r="A756" s="212"/>
      <c r="B756" s="212"/>
      <c r="C756" s="212"/>
      <c r="D756" s="212"/>
      <c r="E756" s="212"/>
      <c r="F756" s="212"/>
      <c r="G756" s="212"/>
      <c r="H756" s="212"/>
      <c r="J756" s="212"/>
      <c r="K756" s="212"/>
    </row>
    <row r="757" spans="1:11" ht="12.75" customHeight="1">
      <c r="A757" s="212"/>
      <c r="B757" s="212"/>
      <c r="C757" s="212"/>
      <c r="D757" s="212"/>
      <c r="E757" s="212"/>
      <c r="F757" s="212"/>
      <c r="G757" s="212"/>
      <c r="H757" s="212"/>
      <c r="J757" s="212"/>
      <c r="K757" s="212"/>
    </row>
    <row r="758" spans="1:11" ht="12.75" customHeight="1">
      <c r="A758" s="212"/>
      <c r="B758" s="212"/>
      <c r="C758" s="212"/>
      <c r="D758" s="212"/>
      <c r="E758" s="212"/>
      <c r="F758" s="212"/>
      <c r="G758" s="212"/>
      <c r="H758" s="212"/>
      <c r="J758" s="212"/>
      <c r="K758" s="212"/>
    </row>
    <row r="759" spans="1:11" ht="12.75" customHeight="1">
      <c r="A759" s="212"/>
      <c r="B759" s="212"/>
      <c r="C759" s="212"/>
      <c r="D759" s="212"/>
      <c r="E759" s="212"/>
      <c r="F759" s="212"/>
      <c r="G759" s="212"/>
      <c r="H759" s="212"/>
      <c r="J759" s="212"/>
      <c r="K759" s="212"/>
    </row>
    <row r="760" spans="1:11" ht="12.75" customHeight="1">
      <c r="A760" s="212"/>
      <c r="B760" s="212"/>
      <c r="C760" s="212"/>
      <c r="D760" s="212"/>
      <c r="E760" s="212"/>
      <c r="F760" s="212"/>
      <c r="G760" s="212"/>
      <c r="H760" s="212"/>
      <c r="J760" s="212"/>
      <c r="K760" s="212"/>
    </row>
    <row r="761" spans="1:11" ht="12.75" customHeight="1">
      <c r="A761" s="212"/>
      <c r="B761" s="212"/>
      <c r="C761" s="212"/>
      <c r="D761" s="212"/>
      <c r="E761" s="212"/>
      <c r="F761" s="212"/>
      <c r="G761" s="212"/>
      <c r="H761" s="212"/>
      <c r="J761" s="212"/>
      <c r="K761" s="212"/>
    </row>
    <row r="762" spans="1:11" ht="12.75" customHeight="1">
      <c r="A762" s="212"/>
      <c r="B762" s="212"/>
      <c r="C762" s="212"/>
      <c r="D762" s="212"/>
      <c r="E762" s="212"/>
      <c r="F762" s="212"/>
      <c r="G762" s="212"/>
      <c r="H762" s="212"/>
      <c r="J762" s="212"/>
      <c r="K762" s="212"/>
    </row>
    <row r="763" spans="1:11" ht="12.75" customHeight="1">
      <c r="A763" s="212"/>
      <c r="B763" s="212"/>
      <c r="C763" s="212"/>
      <c r="D763" s="212"/>
      <c r="E763" s="212"/>
      <c r="F763" s="212"/>
      <c r="G763" s="212"/>
      <c r="H763" s="212"/>
      <c r="J763" s="212"/>
      <c r="K763" s="212"/>
    </row>
    <row r="764" spans="1:11" ht="12.75" customHeight="1">
      <c r="A764" s="212"/>
      <c r="B764" s="212"/>
      <c r="C764" s="212"/>
      <c r="D764" s="212"/>
      <c r="E764" s="212"/>
      <c r="F764" s="212"/>
      <c r="G764" s="212"/>
      <c r="H764" s="212"/>
      <c r="J764" s="212"/>
      <c r="K764" s="212"/>
    </row>
    <row r="765" spans="1:11" ht="12.75" customHeight="1">
      <c r="A765" s="212"/>
      <c r="B765" s="212"/>
      <c r="C765" s="212"/>
      <c r="D765" s="212"/>
      <c r="E765" s="212"/>
      <c r="F765" s="212"/>
      <c r="G765" s="212"/>
      <c r="H765" s="212"/>
      <c r="J765" s="212"/>
      <c r="K765" s="212"/>
    </row>
    <row r="766" spans="1:11" ht="12.75" customHeight="1">
      <c r="A766" s="212"/>
      <c r="B766" s="212"/>
      <c r="C766" s="212"/>
      <c r="D766" s="212"/>
      <c r="E766" s="212"/>
      <c r="F766" s="212"/>
      <c r="G766" s="212"/>
      <c r="H766" s="212"/>
      <c r="J766" s="212"/>
      <c r="K766" s="212"/>
    </row>
    <row r="767" spans="1:11" ht="12.75" customHeight="1">
      <c r="A767" s="212"/>
      <c r="B767" s="212"/>
      <c r="C767" s="212"/>
      <c r="D767" s="212"/>
      <c r="E767" s="212"/>
      <c r="F767" s="212"/>
      <c r="G767" s="212"/>
      <c r="H767" s="212"/>
      <c r="J767" s="212"/>
      <c r="K767" s="212"/>
    </row>
    <row r="768" spans="1:11" ht="12.75" customHeight="1">
      <c r="A768" s="212"/>
      <c r="B768" s="212"/>
      <c r="C768" s="212"/>
      <c r="D768" s="212"/>
      <c r="E768" s="212"/>
      <c r="F768" s="212"/>
      <c r="G768" s="212"/>
      <c r="H768" s="212"/>
      <c r="J768" s="212"/>
      <c r="K768" s="212"/>
    </row>
    <row r="769" spans="1:11" ht="12.75" customHeight="1">
      <c r="A769" s="212"/>
      <c r="B769" s="212"/>
      <c r="C769" s="212"/>
      <c r="D769" s="212"/>
      <c r="E769" s="212"/>
      <c r="F769" s="212"/>
      <c r="G769" s="212"/>
      <c r="H769" s="212"/>
      <c r="J769" s="212"/>
      <c r="K769" s="212"/>
    </row>
    <row r="770" spans="1:11" ht="12.75" customHeight="1">
      <c r="A770" s="212"/>
      <c r="B770" s="212"/>
      <c r="C770" s="212"/>
      <c r="D770" s="212"/>
      <c r="E770" s="212"/>
      <c r="F770" s="212"/>
      <c r="G770" s="212"/>
      <c r="H770" s="212"/>
      <c r="J770" s="212"/>
      <c r="K770" s="212"/>
    </row>
    <row r="771" spans="1:11" ht="12.75" customHeight="1">
      <c r="A771" s="212"/>
      <c r="B771" s="212"/>
      <c r="C771" s="212"/>
      <c r="D771" s="212"/>
      <c r="E771" s="212"/>
      <c r="F771" s="212"/>
      <c r="G771" s="212"/>
      <c r="H771" s="212"/>
      <c r="J771" s="212"/>
      <c r="K771" s="212"/>
    </row>
    <row r="772" spans="1:11" ht="12.75" customHeight="1">
      <c r="A772" s="212"/>
      <c r="B772" s="212"/>
      <c r="C772" s="212"/>
      <c r="D772" s="212"/>
      <c r="E772" s="212"/>
      <c r="F772" s="212"/>
      <c r="G772" s="212"/>
      <c r="H772" s="212"/>
      <c r="J772" s="212"/>
      <c r="K772" s="212"/>
    </row>
    <row r="773" spans="1:11" ht="12.75" customHeight="1">
      <c r="A773" s="212"/>
      <c r="B773" s="212"/>
      <c r="C773" s="212"/>
      <c r="D773" s="212"/>
      <c r="E773" s="212"/>
      <c r="F773" s="212"/>
      <c r="G773" s="212"/>
      <c r="H773" s="212"/>
      <c r="J773" s="212"/>
      <c r="K773" s="212"/>
    </row>
    <row r="774" spans="1:11" ht="12.75" customHeight="1">
      <c r="A774" s="212"/>
      <c r="B774" s="212"/>
      <c r="C774" s="212"/>
      <c r="D774" s="212"/>
      <c r="E774" s="212"/>
      <c r="F774" s="212"/>
      <c r="G774" s="212"/>
      <c r="H774" s="212"/>
      <c r="J774" s="212"/>
      <c r="K774" s="212"/>
    </row>
    <row r="775" spans="1:11" ht="12.75" customHeight="1">
      <c r="A775" s="212"/>
      <c r="B775" s="212"/>
      <c r="C775" s="212"/>
      <c r="D775" s="212"/>
      <c r="E775" s="212"/>
      <c r="F775" s="212"/>
      <c r="G775" s="212"/>
      <c r="H775" s="212"/>
      <c r="J775" s="212"/>
      <c r="K775" s="212"/>
    </row>
    <row r="776" spans="1:11" ht="12.75" customHeight="1">
      <c r="A776" s="212"/>
      <c r="B776" s="212"/>
      <c r="C776" s="212"/>
      <c r="D776" s="212"/>
      <c r="E776" s="212"/>
      <c r="F776" s="212"/>
      <c r="G776" s="212"/>
      <c r="H776" s="212"/>
      <c r="J776" s="212"/>
      <c r="K776" s="212"/>
    </row>
    <row r="777" spans="1:11" ht="12.75" customHeight="1">
      <c r="A777" s="212"/>
      <c r="B777" s="212"/>
      <c r="C777" s="212"/>
      <c r="D777" s="212"/>
      <c r="E777" s="212"/>
      <c r="F777" s="212"/>
      <c r="G777" s="212"/>
      <c r="H777" s="212"/>
      <c r="J777" s="212"/>
      <c r="K777" s="212"/>
    </row>
    <row r="778" spans="1:11" ht="12.75" customHeight="1">
      <c r="A778" s="212"/>
      <c r="B778" s="212"/>
      <c r="C778" s="212"/>
      <c r="D778" s="212"/>
      <c r="E778" s="212"/>
      <c r="F778" s="212"/>
      <c r="G778" s="212"/>
      <c r="H778" s="212"/>
      <c r="J778" s="212"/>
      <c r="K778" s="212"/>
    </row>
    <row r="779" spans="1:11" ht="12.75" customHeight="1">
      <c r="A779" s="212"/>
      <c r="B779" s="212"/>
      <c r="C779" s="212"/>
      <c r="D779" s="212"/>
      <c r="E779" s="212"/>
      <c r="F779" s="212"/>
      <c r="G779" s="212"/>
      <c r="H779" s="212"/>
      <c r="J779" s="212"/>
      <c r="K779" s="212"/>
    </row>
    <row r="780" spans="1:11" ht="12.75" customHeight="1">
      <c r="A780" s="212"/>
      <c r="B780" s="212"/>
      <c r="C780" s="212"/>
      <c r="D780" s="212"/>
      <c r="E780" s="212"/>
      <c r="F780" s="212"/>
      <c r="G780" s="212"/>
      <c r="H780" s="212"/>
      <c r="J780" s="212"/>
      <c r="K780" s="212"/>
    </row>
    <row r="781" spans="1:11" ht="12.75" customHeight="1">
      <c r="A781" s="212"/>
      <c r="B781" s="212"/>
      <c r="C781" s="212"/>
      <c r="D781" s="212"/>
      <c r="E781" s="212"/>
      <c r="F781" s="212"/>
      <c r="G781" s="212"/>
      <c r="H781" s="212"/>
      <c r="J781" s="212"/>
      <c r="K781" s="212"/>
    </row>
    <row r="782" spans="1:11" ht="12.75" customHeight="1">
      <c r="A782" s="212"/>
      <c r="B782" s="212"/>
      <c r="C782" s="212"/>
      <c r="D782" s="212"/>
      <c r="E782" s="212"/>
      <c r="F782" s="212"/>
      <c r="G782" s="212"/>
      <c r="H782" s="212"/>
      <c r="J782" s="212"/>
      <c r="K782" s="212"/>
    </row>
    <row r="783" spans="1:11" ht="12.75" customHeight="1">
      <c r="A783" s="212"/>
      <c r="B783" s="212"/>
      <c r="C783" s="212"/>
      <c r="D783" s="212"/>
      <c r="E783" s="212"/>
      <c r="F783" s="212"/>
      <c r="G783" s="212"/>
      <c r="H783" s="212"/>
      <c r="J783" s="212"/>
      <c r="K783" s="212"/>
    </row>
    <row r="784" spans="1:11" ht="12.75" customHeight="1">
      <c r="A784" s="212"/>
      <c r="B784" s="212"/>
      <c r="C784" s="212"/>
      <c r="D784" s="212"/>
      <c r="E784" s="212"/>
      <c r="F784" s="212"/>
      <c r="G784" s="212"/>
      <c r="H784" s="212"/>
      <c r="J784" s="212"/>
      <c r="K784" s="212"/>
    </row>
    <row r="785" spans="1:11" ht="12.75" customHeight="1">
      <c r="A785" s="212"/>
      <c r="B785" s="212"/>
      <c r="C785" s="212"/>
      <c r="D785" s="212"/>
      <c r="E785" s="212"/>
      <c r="F785" s="212"/>
      <c r="G785" s="212"/>
      <c r="H785" s="212"/>
      <c r="J785" s="212"/>
      <c r="K785" s="212"/>
    </row>
    <row r="786" spans="1:11" ht="12.75" customHeight="1">
      <c r="A786" s="212"/>
      <c r="B786" s="212"/>
      <c r="C786" s="212"/>
      <c r="D786" s="212"/>
      <c r="E786" s="212"/>
      <c r="F786" s="212"/>
      <c r="G786" s="212"/>
      <c r="H786" s="212"/>
      <c r="J786" s="212"/>
      <c r="K786" s="212"/>
    </row>
    <row r="787" spans="1:11" ht="12.75" customHeight="1">
      <c r="A787" s="212"/>
      <c r="B787" s="212"/>
      <c r="C787" s="212"/>
      <c r="D787" s="212"/>
      <c r="E787" s="212"/>
      <c r="F787" s="212"/>
      <c r="G787" s="212"/>
      <c r="H787" s="212"/>
      <c r="J787" s="212"/>
      <c r="K787" s="212"/>
    </row>
    <row r="788" spans="1:11" ht="12.75" customHeight="1">
      <c r="A788" s="212"/>
      <c r="B788" s="212"/>
      <c r="C788" s="212"/>
      <c r="D788" s="212"/>
      <c r="E788" s="212"/>
      <c r="F788" s="212"/>
      <c r="G788" s="212"/>
      <c r="H788" s="212"/>
      <c r="J788" s="212"/>
      <c r="K788" s="212"/>
    </row>
    <row r="789" spans="1:11" ht="12.75" customHeight="1">
      <c r="A789" s="212"/>
      <c r="B789" s="212"/>
      <c r="C789" s="212"/>
      <c r="D789" s="212"/>
      <c r="E789" s="212"/>
      <c r="F789" s="212"/>
      <c r="G789" s="212"/>
      <c r="H789" s="212"/>
      <c r="J789" s="212"/>
      <c r="K789" s="212"/>
    </row>
    <row r="790" spans="1:11" ht="12.75" customHeight="1">
      <c r="A790" s="212"/>
      <c r="B790" s="212"/>
      <c r="C790" s="212"/>
      <c r="D790" s="212"/>
      <c r="E790" s="212"/>
      <c r="F790" s="212"/>
      <c r="G790" s="212"/>
      <c r="H790" s="212"/>
      <c r="J790" s="212"/>
      <c r="K790" s="212"/>
    </row>
    <row r="791" spans="1:11" ht="12.75" customHeight="1">
      <c r="A791" s="212"/>
      <c r="B791" s="212"/>
      <c r="C791" s="212"/>
      <c r="D791" s="212"/>
      <c r="E791" s="212"/>
      <c r="F791" s="212"/>
      <c r="G791" s="212"/>
      <c r="H791" s="212"/>
      <c r="J791" s="212"/>
      <c r="K791" s="212"/>
    </row>
    <row r="792" spans="1:11" ht="12.75" customHeight="1">
      <c r="A792" s="212"/>
      <c r="B792" s="212"/>
      <c r="C792" s="212"/>
      <c r="D792" s="212"/>
      <c r="E792" s="212"/>
      <c r="F792" s="212"/>
      <c r="G792" s="212"/>
      <c r="H792" s="212"/>
      <c r="J792" s="212"/>
      <c r="K792" s="212"/>
    </row>
    <row r="793" spans="1:11" ht="12.75" customHeight="1">
      <c r="A793" s="212"/>
      <c r="B793" s="212"/>
      <c r="C793" s="212"/>
      <c r="D793" s="212"/>
      <c r="E793" s="212"/>
      <c r="F793" s="212"/>
      <c r="G793" s="212"/>
      <c r="H793" s="212"/>
      <c r="J793" s="212"/>
      <c r="K793" s="212"/>
    </row>
    <row r="794" spans="1:11" ht="12.75" customHeight="1">
      <c r="A794" s="212"/>
      <c r="B794" s="212"/>
      <c r="C794" s="212"/>
      <c r="D794" s="212"/>
      <c r="E794" s="212"/>
      <c r="F794" s="212"/>
      <c r="G794" s="212"/>
      <c r="H794" s="212"/>
      <c r="J794" s="212"/>
      <c r="K794" s="212"/>
    </row>
    <row r="795" spans="1:11" ht="12.75" customHeight="1">
      <c r="A795" s="212"/>
      <c r="B795" s="212"/>
      <c r="C795" s="212"/>
      <c r="D795" s="212"/>
      <c r="E795" s="212"/>
      <c r="F795" s="212"/>
      <c r="G795" s="212"/>
      <c r="H795" s="212"/>
      <c r="J795" s="212"/>
      <c r="K795" s="212"/>
    </row>
    <row r="796" spans="1:11" ht="12.75" customHeight="1">
      <c r="A796" s="212"/>
      <c r="B796" s="212"/>
      <c r="C796" s="212"/>
      <c r="D796" s="212"/>
      <c r="E796" s="212"/>
      <c r="F796" s="212"/>
      <c r="G796" s="212"/>
      <c r="H796" s="212"/>
      <c r="J796" s="212"/>
      <c r="K796" s="212"/>
    </row>
    <row r="797" spans="1:11" ht="12.75" customHeight="1">
      <c r="A797" s="212"/>
      <c r="B797" s="212"/>
      <c r="C797" s="212"/>
      <c r="D797" s="212"/>
      <c r="E797" s="212"/>
      <c r="F797" s="212"/>
      <c r="G797" s="212"/>
      <c r="H797" s="212"/>
      <c r="J797" s="212"/>
      <c r="K797" s="212"/>
    </row>
    <row r="798" spans="1:11" ht="12.75" customHeight="1">
      <c r="A798" s="212"/>
      <c r="B798" s="212"/>
      <c r="C798" s="212"/>
      <c r="D798" s="212"/>
      <c r="E798" s="212"/>
      <c r="F798" s="212"/>
      <c r="G798" s="212"/>
      <c r="H798" s="212"/>
      <c r="J798" s="212"/>
      <c r="K798" s="212"/>
    </row>
    <row r="799" spans="1:11" ht="12.75" customHeight="1">
      <c r="A799" s="212"/>
      <c r="B799" s="212"/>
      <c r="C799" s="212"/>
      <c r="D799" s="212"/>
      <c r="E799" s="212"/>
      <c r="F799" s="212"/>
      <c r="G799" s="212"/>
      <c r="H799" s="212"/>
      <c r="J799" s="212"/>
      <c r="K799" s="212"/>
    </row>
    <row r="800" spans="1:11" ht="12.75" customHeight="1">
      <c r="A800" s="212"/>
      <c r="B800" s="212"/>
      <c r="C800" s="212"/>
      <c r="D800" s="212"/>
      <c r="E800" s="212"/>
      <c r="F800" s="212"/>
      <c r="G800" s="212"/>
      <c r="H800" s="212"/>
      <c r="J800" s="212"/>
      <c r="K800" s="212"/>
    </row>
    <row r="801" spans="1:11" ht="12.75" customHeight="1">
      <c r="A801" s="212"/>
      <c r="B801" s="212"/>
      <c r="C801" s="212"/>
      <c r="D801" s="212"/>
      <c r="E801" s="212"/>
      <c r="F801" s="212"/>
      <c r="G801" s="212"/>
      <c r="H801" s="212"/>
      <c r="J801" s="212"/>
      <c r="K801" s="212"/>
    </row>
    <row r="802" spans="1:11" ht="12.75" customHeight="1">
      <c r="A802" s="212"/>
      <c r="B802" s="212"/>
      <c r="C802" s="212"/>
      <c r="D802" s="212"/>
      <c r="E802" s="212"/>
      <c r="F802" s="212"/>
      <c r="G802" s="212"/>
      <c r="H802" s="212"/>
      <c r="J802" s="212"/>
      <c r="K802" s="212"/>
    </row>
    <row r="803" spans="1:11" ht="12.75" customHeight="1">
      <c r="A803" s="212"/>
      <c r="B803" s="212"/>
      <c r="C803" s="212"/>
      <c r="D803" s="212"/>
      <c r="E803" s="212"/>
      <c r="F803" s="212"/>
      <c r="G803" s="212"/>
      <c r="H803" s="212"/>
      <c r="J803" s="212"/>
      <c r="K803" s="212"/>
    </row>
    <row r="804" spans="1:11" ht="12.75" customHeight="1">
      <c r="A804" s="212"/>
      <c r="B804" s="212"/>
      <c r="C804" s="212"/>
      <c r="D804" s="212"/>
      <c r="E804" s="212"/>
      <c r="F804" s="212"/>
      <c r="G804" s="212"/>
      <c r="H804" s="212"/>
      <c r="J804" s="212"/>
      <c r="K804" s="212"/>
    </row>
    <row r="805" spans="1:11" ht="12.75" customHeight="1">
      <c r="A805" s="212"/>
      <c r="B805" s="212"/>
      <c r="C805" s="212"/>
      <c r="D805" s="212"/>
      <c r="E805" s="212"/>
      <c r="F805" s="212"/>
      <c r="G805" s="212"/>
      <c r="H805" s="212"/>
      <c r="J805" s="212"/>
      <c r="K805" s="212"/>
    </row>
    <row r="806" spans="1:11" ht="12.75" customHeight="1">
      <c r="A806" s="212"/>
      <c r="B806" s="212"/>
      <c r="C806" s="212"/>
      <c r="D806" s="212"/>
      <c r="E806" s="212"/>
      <c r="F806" s="212"/>
      <c r="G806" s="212"/>
      <c r="H806" s="212"/>
      <c r="J806" s="212"/>
      <c r="K806" s="212"/>
    </row>
    <row r="807" spans="1:11" ht="12.75" customHeight="1">
      <c r="A807" s="212"/>
      <c r="B807" s="212"/>
      <c r="C807" s="212"/>
      <c r="D807" s="212"/>
      <c r="E807" s="212"/>
      <c r="F807" s="212"/>
      <c r="G807" s="212"/>
      <c r="H807" s="212"/>
      <c r="J807" s="212"/>
      <c r="K807" s="212"/>
    </row>
    <row r="808" spans="1:11" ht="12.75" customHeight="1">
      <c r="A808" s="212"/>
      <c r="B808" s="212"/>
      <c r="C808" s="212"/>
      <c r="D808" s="212"/>
      <c r="E808" s="212"/>
      <c r="F808" s="212"/>
      <c r="G808" s="212"/>
      <c r="H808" s="212"/>
      <c r="J808" s="212"/>
      <c r="K808" s="212"/>
    </row>
    <row r="809" spans="1:11" ht="12.75" customHeight="1">
      <c r="A809" s="212"/>
      <c r="B809" s="212"/>
      <c r="C809" s="212"/>
      <c r="D809" s="212"/>
      <c r="E809" s="212"/>
      <c r="F809" s="212"/>
      <c r="G809" s="212"/>
      <c r="H809" s="212"/>
      <c r="J809" s="212"/>
      <c r="K809" s="212"/>
    </row>
    <row r="810" spans="1:11" ht="12.75" customHeight="1">
      <c r="A810" s="212"/>
      <c r="B810" s="212"/>
      <c r="C810" s="212"/>
      <c r="D810" s="212"/>
      <c r="E810" s="212"/>
      <c r="F810" s="212"/>
      <c r="G810" s="212"/>
      <c r="H810" s="212"/>
      <c r="J810" s="212"/>
      <c r="K810" s="212"/>
    </row>
    <row r="811" spans="1:11" ht="12.75" customHeight="1">
      <c r="A811" s="212"/>
      <c r="B811" s="212"/>
      <c r="C811" s="212"/>
      <c r="D811" s="212"/>
      <c r="E811" s="212"/>
      <c r="F811" s="212"/>
      <c r="G811" s="212"/>
      <c r="H811" s="212"/>
      <c r="J811" s="212"/>
      <c r="K811" s="212"/>
    </row>
    <row r="812" spans="1:11" ht="12.75" customHeight="1">
      <c r="A812" s="212"/>
      <c r="B812" s="212"/>
      <c r="C812" s="212"/>
      <c r="D812" s="212"/>
      <c r="E812" s="212"/>
      <c r="F812" s="212"/>
      <c r="G812" s="212"/>
      <c r="H812" s="212"/>
      <c r="J812" s="212"/>
      <c r="K812" s="212"/>
    </row>
    <row r="813" spans="1:11" ht="12.75" customHeight="1">
      <c r="A813" s="212"/>
      <c r="B813" s="212"/>
      <c r="C813" s="212"/>
      <c r="D813" s="212"/>
      <c r="E813" s="212"/>
      <c r="F813" s="212"/>
      <c r="G813" s="212"/>
      <c r="H813" s="212"/>
      <c r="J813" s="212"/>
      <c r="K813" s="212"/>
    </row>
    <row r="814" spans="1:11" ht="12.75" customHeight="1">
      <c r="A814" s="212"/>
      <c r="B814" s="212"/>
      <c r="C814" s="212"/>
      <c r="D814" s="212"/>
      <c r="E814" s="212"/>
      <c r="F814" s="212"/>
      <c r="G814" s="212"/>
      <c r="H814" s="212"/>
      <c r="J814" s="212"/>
      <c r="K814" s="212"/>
    </row>
    <row r="815" spans="1:11" ht="12.75" customHeight="1">
      <c r="A815" s="212"/>
      <c r="B815" s="212"/>
      <c r="C815" s="212"/>
      <c r="D815" s="212"/>
      <c r="E815" s="212"/>
      <c r="F815" s="212"/>
      <c r="G815" s="212"/>
      <c r="H815" s="212"/>
      <c r="J815" s="212"/>
      <c r="K815" s="212"/>
    </row>
    <row r="816" spans="1:11" ht="12.75" customHeight="1">
      <c r="A816" s="212"/>
      <c r="B816" s="212"/>
      <c r="C816" s="212"/>
      <c r="D816" s="212"/>
      <c r="E816" s="212"/>
      <c r="F816" s="212"/>
      <c r="G816" s="212"/>
      <c r="H816" s="212"/>
      <c r="J816" s="212"/>
      <c r="K816" s="212"/>
    </row>
    <row r="817" spans="1:11" ht="12.75" customHeight="1">
      <c r="A817" s="212"/>
      <c r="B817" s="212"/>
      <c r="C817" s="212"/>
      <c r="D817" s="212"/>
      <c r="E817" s="212"/>
      <c r="F817" s="212"/>
      <c r="G817" s="212"/>
      <c r="H817" s="212"/>
      <c r="J817" s="212"/>
      <c r="K817" s="212"/>
    </row>
    <row r="818" spans="1:11" ht="12.75" customHeight="1">
      <c r="A818" s="212"/>
      <c r="B818" s="212"/>
      <c r="C818" s="212"/>
      <c r="D818" s="212"/>
      <c r="E818" s="212"/>
      <c r="F818" s="212"/>
      <c r="G818" s="212"/>
      <c r="H818" s="212"/>
      <c r="J818" s="212"/>
      <c r="K818" s="212"/>
    </row>
    <row r="819" spans="1:11" ht="12.75" customHeight="1">
      <c r="A819" s="212"/>
      <c r="B819" s="212"/>
      <c r="C819" s="212"/>
      <c r="D819" s="212"/>
      <c r="E819" s="212"/>
      <c r="F819" s="212"/>
      <c r="G819" s="212"/>
      <c r="H819" s="212"/>
      <c r="J819" s="212"/>
      <c r="K819" s="212"/>
    </row>
    <row r="820" spans="1:11" ht="12.75" customHeight="1">
      <c r="A820" s="212"/>
      <c r="B820" s="212"/>
      <c r="C820" s="212"/>
      <c r="D820" s="212"/>
      <c r="E820" s="212"/>
      <c r="F820" s="212"/>
      <c r="G820" s="212"/>
      <c r="H820" s="212"/>
      <c r="J820" s="212"/>
      <c r="K820" s="212"/>
    </row>
    <row r="821" spans="1:11" ht="12.75" customHeight="1">
      <c r="A821" s="212"/>
      <c r="B821" s="212"/>
      <c r="C821" s="212"/>
      <c r="D821" s="212"/>
      <c r="E821" s="212"/>
      <c r="F821" s="212"/>
      <c r="G821" s="212"/>
      <c r="H821" s="212"/>
      <c r="J821" s="212"/>
      <c r="K821" s="212"/>
    </row>
    <row r="822" spans="1:11" ht="12.75" customHeight="1">
      <c r="A822" s="212"/>
      <c r="B822" s="212"/>
      <c r="C822" s="212"/>
      <c r="D822" s="212"/>
      <c r="E822" s="212"/>
      <c r="F822" s="212"/>
      <c r="G822" s="212"/>
      <c r="H822" s="212"/>
      <c r="J822" s="212"/>
      <c r="K822" s="212"/>
    </row>
    <row r="823" spans="1:11" ht="12.75" customHeight="1">
      <c r="A823" s="212"/>
      <c r="B823" s="212"/>
      <c r="C823" s="212"/>
      <c r="D823" s="212"/>
      <c r="E823" s="212"/>
      <c r="F823" s="212"/>
      <c r="G823" s="212"/>
      <c r="H823" s="212"/>
      <c r="J823" s="212"/>
      <c r="K823" s="212"/>
    </row>
    <row r="824" spans="1:11" ht="12.75" customHeight="1">
      <c r="A824" s="212"/>
      <c r="B824" s="212"/>
      <c r="C824" s="212"/>
      <c r="D824" s="212"/>
      <c r="E824" s="212"/>
      <c r="F824" s="212"/>
      <c r="G824" s="212"/>
      <c r="H824" s="212"/>
      <c r="J824" s="212"/>
      <c r="K824" s="212"/>
    </row>
    <row r="825" spans="1:11" ht="12.75" customHeight="1">
      <c r="A825" s="212"/>
      <c r="B825" s="212"/>
      <c r="C825" s="212"/>
      <c r="D825" s="212"/>
      <c r="E825" s="212"/>
      <c r="F825" s="212"/>
      <c r="G825" s="212"/>
      <c r="H825" s="212"/>
      <c r="J825" s="212"/>
      <c r="K825" s="212"/>
    </row>
    <row r="826" spans="1:11" ht="12.75" customHeight="1">
      <c r="A826" s="212"/>
      <c r="B826" s="212"/>
      <c r="C826" s="212"/>
      <c r="D826" s="212"/>
      <c r="E826" s="212"/>
      <c r="F826" s="212"/>
      <c r="G826" s="212"/>
      <c r="H826" s="212"/>
      <c r="J826" s="212"/>
      <c r="K826" s="212"/>
    </row>
    <row r="827" spans="1:11" ht="12.75" customHeight="1">
      <c r="A827" s="212"/>
      <c r="B827" s="212"/>
      <c r="C827" s="212"/>
      <c r="D827" s="212"/>
      <c r="E827" s="212"/>
      <c r="F827" s="212"/>
      <c r="G827" s="212"/>
      <c r="H827" s="212"/>
      <c r="J827" s="212"/>
      <c r="K827" s="212"/>
    </row>
    <row r="828" spans="1:11" ht="12.75" customHeight="1">
      <c r="A828" s="212"/>
      <c r="B828" s="212"/>
      <c r="C828" s="212"/>
      <c r="D828" s="212"/>
      <c r="E828" s="212"/>
      <c r="F828" s="212"/>
      <c r="G828" s="212"/>
      <c r="H828" s="212"/>
      <c r="J828" s="212"/>
      <c r="K828" s="212"/>
    </row>
    <row r="829" spans="1:11" ht="12.75" customHeight="1">
      <c r="A829" s="212"/>
      <c r="B829" s="212"/>
      <c r="C829" s="212"/>
      <c r="D829" s="212"/>
      <c r="E829" s="212"/>
      <c r="F829" s="212"/>
      <c r="G829" s="212"/>
      <c r="H829" s="212"/>
      <c r="J829" s="212"/>
      <c r="K829" s="212"/>
    </row>
    <row r="830" spans="1:11" ht="12.75" customHeight="1">
      <c r="A830" s="212"/>
      <c r="B830" s="212"/>
      <c r="C830" s="212"/>
      <c r="D830" s="212"/>
      <c r="E830" s="212"/>
      <c r="F830" s="212"/>
      <c r="G830" s="212"/>
      <c r="H830" s="212"/>
      <c r="J830" s="212"/>
      <c r="K830" s="212"/>
    </row>
    <row r="831" spans="1:11" ht="12.75" customHeight="1">
      <c r="A831" s="212"/>
      <c r="B831" s="212"/>
      <c r="C831" s="212"/>
      <c r="D831" s="212"/>
      <c r="E831" s="212"/>
      <c r="F831" s="212"/>
      <c r="G831" s="212"/>
      <c r="H831" s="212"/>
      <c r="J831" s="212"/>
      <c r="K831" s="212"/>
    </row>
    <row r="832" spans="1:11" ht="12.75" customHeight="1">
      <c r="A832" s="212"/>
      <c r="B832" s="212"/>
      <c r="C832" s="212"/>
      <c r="D832" s="212"/>
      <c r="E832" s="212"/>
      <c r="F832" s="212"/>
      <c r="G832" s="212"/>
      <c r="H832" s="212"/>
      <c r="J832" s="212"/>
      <c r="K832" s="212"/>
    </row>
    <row r="833" spans="1:11" ht="12.75" customHeight="1">
      <c r="A833" s="212"/>
      <c r="B833" s="212"/>
      <c r="C833" s="212"/>
      <c r="D833" s="212"/>
      <c r="E833" s="212"/>
      <c r="F833" s="212"/>
      <c r="G833" s="212"/>
      <c r="H833" s="212"/>
      <c r="J833" s="212"/>
      <c r="K833" s="212"/>
    </row>
    <row r="834" spans="1:11" ht="12.75" customHeight="1">
      <c r="A834" s="212"/>
      <c r="B834" s="212"/>
      <c r="C834" s="212"/>
      <c r="D834" s="212"/>
      <c r="E834" s="212"/>
      <c r="F834" s="212"/>
      <c r="G834" s="212"/>
      <c r="H834" s="212"/>
      <c r="J834" s="212"/>
      <c r="K834" s="212"/>
    </row>
    <row r="835" spans="1:11" ht="12.75" customHeight="1">
      <c r="A835" s="212"/>
      <c r="B835" s="212"/>
      <c r="C835" s="212"/>
      <c r="D835" s="212"/>
      <c r="E835" s="212"/>
      <c r="F835" s="212"/>
      <c r="G835" s="212"/>
      <c r="H835" s="212"/>
      <c r="J835" s="212"/>
      <c r="K835" s="212"/>
    </row>
    <row r="836" spans="1:11" ht="12.75" customHeight="1">
      <c r="A836" s="212"/>
      <c r="B836" s="212"/>
      <c r="C836" s="212"/>
      <c r="D836" s="212"/>
      <c r="E836" s="212"/>
      <c r="F836" s="212"/>
      <c r="G836" s="212"/>
      <c r="H836" s="212"/>
      <c r="J836" s="212"/>
      <c r="K836" s="212"/>
    </row>
    <row r="837" spans="1:11" ht="12.75" customHeight="1">
      <c r="A837" s="212"/>
      <c r="B837" s="212"/>
      <c r="C837" s="212"/>
      <c r="D837" s="212"/>
      <c r="E837" s="212"/>
      <c r="F837" s="212"/>
      <c r="G837" s="212"/>
      <c r="H837" s="212"/>
      <c r="J837" s="212"/>
      <c r="K837" s="212"/>
    </row>
    <row r="838" spans="1:11" ht="12.75" customHeight="1">
      <c r="A838" s="212"/>
      <c r="B838" s="212"/>
      <c r="C838" s="212"/>
      <c r="D838" s="212"/>
      <c r="E838" s="212"/>
      <c r="F838" s="212"/>
      <c r="G838" s="212"/>
      <c r="H838" s="212"/>
      <c r="J838" s="212"/>
      <c r="K838" s="212"/>
    </row>
    <row r="839" spans="1:11" ht="12.75" customHeight="1">
      <c r="A839" s="212"/>
      <c r="B839" s="212"/>
      <c r="C839" s="212"/>
      <c r="D839" s="212"/>
      <c r="E839" s="212"/>
      <c r="F839" s="212"/>
      <c r="G839" s="212"/>
      <c r="H839" s="212"/>
      <c r="J839" s="212"/>
      <c r="K839" s="212"/>
    </row>
    <row r="840" spans="1:11" ht="12.75" customHeight="1">
      <c r="A840" s="212"/>
      <c r="B840" s="212"/>
      <c r="C840" s="212"/>
      <c r="D840" s="212"/>
      <c r="E840" s="212"/>
      <c r="F840" s="212"/>
      <c r="G840" s="212"/>
      <c r="H840" s="212"/>
      <c r="J840" s="212"/>
      <c r="K840" s="212"/>
    </row>
    <row r="841" spans="1:11" ht="12.75" customHeight="1">
      <c r="A841" s="212"/>
      <c r="B841" s="212"/>
      <c r="C841" s="212"/>
      <c r="D841" s="212"/>
      <c r="E841" s="212"/>
      <c r="F841" s="212"/>
      <c r="G841" s="212"/>
      <c r="H841" s="212"/>
      <c r="J841" s="212"/>
      <c r="K841" s="212"/>
    </row>
    <row r="842" spans="1:11" ht="12.75" customHeight="1">
      <c r="A842" s="212"/>
      <c r="B842" s="212"/>
      <c r="C842" s="212"/>
      <c r="D842" s="212"/>
      <c r="E842" s="212"/>
      <c r="F842" s="212"/>
      <c r="G842" s="212"/>
      <c r="H842" s="212"/>
      <c r="J842" s="212"/>
      <c r="K842" s="212"/>
    </row>
    <row r="843" spans="1:11" ht="12.75" customHeight="1">
      <c r="A843" s="212"/>
      <c r="B843" s="212"/>
      <c r="C843" s="212"/>
      <c r="D843" s="212"/>
      <c r="E843" s="212"/>
      <c r="F843" s="212"/>
      <c r="G843" s="212"/>
      <c r="H843" s="212"/>
      <c r="J843" s="212"/>
      <c r="K843" s="212"/>
    </row>
    <row r="844" spans="1:11" ht="12.75" customHeight="1">
      <c r="A844" s="212"/>
      <c r="B844" s="212"/>
      <c r="C844" s="212"/>
      <c r="D844" s="212"/>
      <c r="E844" s="212"/>
      <c r="F844" s="212"/>
      <c r="G844" s="212"/>
      <c r="H844" s="212"/>
      <c r="J844" s="212"/>
      <c r="K844" s="212"/>
    </row>
    <row r="845" spans="1:11" ht="12.75" customHeight="1">
      <c r="A845" s="212"/>
      <c r="B845" s="212"/>
      <c r="C845" s="212"/>
      <c r="D845" s="212"/>
      <c r="E845" s="212"/>
      <c r="F845" s="212"/>
      <c r="G845" s="212"/>
      <c r="H845" s="212"/>
      <c r="J845" s="212"/>
      <c r="K845" s="212"/>
    </row>
    <row r="846" spans="1:11" ht="12.75" customHeight="1">
      <c r="A846" s="212"/>
      <c r="B846" s="212"/>
      <c r="C846" s="212"/>
      <c r="D846" s="212"/>
      <c r="E846" s="212"/>
      <c r="F846" s="212"/>
      <c r="G846" s="212"/>
      <c r="H846" s="212"/>
      <c r="J846" s="212"/>
      <c r="K846" s="212"/>
    </row>
    <row r="847" spans="1:11" ht="12.75" customHeight="1">
      <c r="A847" s="212"/>
      <c r="B847" s="212"/>
      <c r="C847" s="212"/>
      <c r="D847" s="212"/>
      <c r="E847" s="212"/>
      <c r="F847" s="212"/>
      <c r="G847" s="212"/>
      <c r="H847" s="212"/>
      <c r="J847" s="212"/>
      <c r="K847" s="212"/>
    </row>
    <row r="848" spans="1:11" ht="12.75" customHeight="1">
      <c r="A848" s="212"/>
      <c r="B848" s="212"/>
      <c r="C848" s="212"/>
      <c r="D848" s="212"/>
      <c r="E848" s="212"/>
      <c r="F848" s="212"/>
      <c r="G848" s="212"/>
      <c r="H848" s="212"/>
      <c r="J848" s="212"/>
      <c r="K848" s="212"/>
    </row>
    <row r="849" spans="1:11" ht="12.75" customHeight="1">
      <c r="A849" s="212"/>
      <c r="B849" s="212"/>
      <c r="C849" s="212"/>
      <c r="D849" s="212"/>
      <c r="E849" s="212"/>
      <c r="F849" s="212"/>
      <c r="G849" s="212"/>
      <c r="H849" s="212"/>
      <c r="J849" s="212"/>
      <c r="K849" s="212"/>
    </row>
    <row r="850" spans="1:11" ht="12.75" customHeight="1">
      <c r="A850" s="212"/>
      <c r="B850" s="212"/>
      <c r="C850" s="212"/>
      <c r="D850" s="212"/>
      <c r="E850" s="212"/>
      <c r="F850" s="212"/>
      <c r="G850" s="212"/>
      <c r="H850" s="212"/>
      <c r="J850" s="212"/>
      <c r="K850" s="212"/>
    </row>
    <row r="851" spans="1:11" ht="12.75" customHeight="1">
      <c r="A851" s="212"/>
      <c r="B851" s="212"/>
      <c r="C851" s="212"/>
      <c r="D851" s="212"/>
      <c r="E851" s="212"/>
      <c r="F851" s="212"/>
      <c r="G851" s="212"/>
      <c r="H851" s="212"/>
      <c r="J851" s="212"/>
      <c r="K851" s="212"/>
    </row>
    <row r="852" spans="1:11" ht="12.75" customHeight="1">
      <c r="A852" s="212"/>
      <c r="B852" s="212"/>
      <c r="C852" s="212"/>
      <c r="D852" s="212"/>
      <c r="E852" s="212"/>
      <c r="F852" s="212"/>
      <c r="G852" s="212"/>
      <c r="H852" s="212"/>
      <c r="J852" s="212"/>
      <c r="K852" s="212"/>
    </row>
    <row r="853" spans="1:11" ht="12.75" customHeight="1">
      <c r="A853" s="212"/>
      <c r="B853" s="212"/>
      <c r="C853" s="212"/>
      <c r="D853" s="212"/>
      <c r="E853" s="212"/>
      <c r="F853" s="212"/>
      <c r="G853" s="212"/>
      <c r="H853" s="212"/>
      <c r="J853" s="212"/>
      <c r="K853" s="212"/>
    </row>
    <row r="854" spans="1:11" ht="12.75" customHeight="1">
      <c r="A854" s="212"/>
      <c r="B854" s="212"/>
      <c r="C854" s="212"/>
      <c r="D854" s="212"/>
      <c r="E854" s="212"/>
      <c r="F854" s="212"/>
      <c r="G854" s="212"/>
      <c r="H854" s="212"/>
      <c r="J854" s="212"/>
      <c r="K854" s="212"/>
    </row>
    <row r="855" spans="1:11" ht="12.75" customHeight="1">
      <c r="A855" s="212"/>
      <c r="B855" s="212"/>
      <c r="C855" s="212"/>
      <c r="D855" s="212"/>
      <c r="E855" s="212"/>
      <c r="F855" s="212"/>
      <c r="G855" s="212"/>
      <c r="H855" s="212"/>
      <c r="J855" s="212"/>
      <c r="K855" s="212"/>
    </row>
    <row r="856" spans="1:11" ht="12.75" customHeight="1">
      <c r="A856" s="212"/>
      <c r="B856" s="212"/>
      <c r="C856" s="212"/>
      <c r="D856" s="212"/>
      <c r="E856" s="212"/>
      <c r="F856" s="212"/>
      <c r="G856" s="212"/>
      <c r="H856" s="212"/>
      <c r="J856" s="212"/>
      <c r="K856" s="212"/>
    </row>
    <row r="857" spans="1:11" ht="12.75" customHeight="1">
      <c r="A857" s="212"/>
      <c r="B857" s="212"/>
      <c r="C857" s="212"/>
      <c r="D857" s="212"/>
      <c r="E857" s="212"/>
      <c r="F857" s="212"/>
      <c r="G857" s="212"/>
      <c r="H857" s="212"/>
      <c r="J857" s="212"/>
      <c r="K857" s="212"/>
    </row>
    <row r="858" spans="1:11" ht="12.75" customHeight="1">
      <c r="A858" s="212"/>
      <c r="B858" s="212"/>
      <c r="C858" s="212"/>
      <c r="D858" s="212"/>
      <c r="E858" s="212"/>
      <c r="F858" s="212"/>
      <c r="G858" s="212"/>
      <c r="H858" s="212"/>
      <c r="J858" s="212"/>
      <c r="K858" s="212"/>
    </row>
    <row r="859" spans="1:11" ht="12.75" customHeight="1">
      <c r="A859" s="212"/>
      <c r="B859" s="212"/>
      <c r="C859" s="212"/>
      <c r="D859" s="212"/>
      <c r="E859" s="212"/>
      <c r="F859" s="212"/>
      <c r="G859" s="212"/>
      <c r="H859" s="212"/>
      <c r="J859" s="212"/>
      <c r="K859" s="212"/>
    </row>
    <row r="860" spans="1:11" ht="12.75" customHeight="1">
      <c r="A860" s="212"/>
      <c r="B860" s="212"/>
      <c r="C860" s="212"/>
      <c r="D860" s="212"/>
      <c r="E860" s="212"/>
      <c r="F860" s="212"/>
      <c r="G860" s="212"/>
      <c r="H860" s="212"/>
      <c r="J860" s="212"/>
      <c r="K860" s="212"/>
    </row>
    <row r="861" spans="1:11" ht="12.75" customHeight="1">
      <c r="A861" s="212"/>
      <c r="B861" s="212"/>
      <c r="C861" s="212"/>
      <c r="D861" s="212"/>
      <c r="E861" s="212"/>
      <c r="F861" s="212"/>
      <c r="G861" s="212"/>
      <c r="H861" s="212"/>
      <c r="J861" s="212"/>
      <c r="K861" s="212"/>
    </row>
    <row r="862" spans="1:11" ht="12.75" customHeight="1">
      <c r="A862" s="212"/>
      <c r="B862" s="212"/>
      <c r="C862" s="212"/>
      <c r="D862" s="212"/>
      <c r="E862" s="212"/>
      <c r="F862" s="212"/>
      <c r="G862" s="212"/>
      <c r="H862" s="212"/>
      <c r="J862" s="212"/>
      <c r="K862" s="212"/>
    </row>
    <row r="863" spans="1:11" ht="12.75" customHeight="1">
      <c r="A863" s="212"/>
      <c r="B863" s="212"/>
      <c r="C863" s="212"/>
      <c r="D863" s="212"/>
      <c r="E863" s="212"/>
      <c r="F863" s="212"/>
      <c r="G863" s="212"/>
      <c r="H863" s="212"/>
      <c r="J863" s="212"/>
      <c r="K863" s="212"/>
    </row>
    <row r="864" spans="1:11" ht="12.75" customHeight="1">
      <c r="A864" s="212"/>
      <c r="B864" s="212"/>
      <c r="C864" s="212"/>
      <c r="D864" s="212"/>
      <c r="E864" s="212"/>
      <c r="F864" s="212"/>
      <c r="G864" s="212"/>
      <c r="H864" s="212"/>
      <c r="J864" s="212"/>
      <c r="K864" s="212"/>
    </row>
    <row r="865" spans="1:11" ht="12.75" customHeight="1">
      <c r="A865" s="212"/>
      <c r="B865" s="212"/>
      <c r="C865" s="212"/>
      <c r="D865" s="212"/>
      <c r="E865" s="212"/>
      <c r="F865" s="212"/>
      <c r="G865" s="212"/>
      <c r="H865" s="212"/>
      <c r="J865" s="212"/>
      <c r="K865" s="212"/>
    </row>
    <row r="866" spans="1:11" ht="12.75" customHeight="1">
      <c r="A866" s="212"/>
      <c r="B866" s="212"/>
      <c r="C866" s="212"/>
      <c r="D866" s="212"/>
      <c r="E866" s="212"/>
      <c r="F866" s="212"/>
      <c r="G866" s="212"/>
      <c r="H866" s="212"/>
      <c r="J866" s="212"/>
      <c r="K866" s="212"/>
    </row>
    <row r="867" spans="1:11" ht="12.75" customHeight="1">
      <c r="A867" s="212"/>
      <c r="B867" s="212"/>
      <c r="C867" s="212"/>
      <c r="D867" s="212"/>
      <c r="E867" s="212"/>
      <c r="F867" s="212"/>
      <c r="G867" s="212"/>
      <c r="H867" s="212"/>
      <c r="J867" s="212"/>
      <c r="K867" s="212"/>
    </row>
    <row r="868" spans="1:11" ht="12.75" customHeight="1">
      <c r="A868" s="212"/>
      <c r="B868" s="212"/>
      <c r="C868" s="212"/>
      <c r="D868" s="212"/>
      <c r="E868" s="212"/>
      <c r="F868" s="212"/>
      <c r="G868" s="212"/>
      <c r="H868" s="212"/>
      <c r="J868" s="212"/>
      <c r="K868" s="212"/>
    </row>
    <row r="869" spans="1:11" ht="12.75" customHeight="1">
      <c r="A869" s="212"/>
      <c r="B869" s="212"/>
      <c r="C869" s="212"/>
      <c r="D869" s="212"/>
      <c r="E869" s="212"/>
      <c r="F869" s="212"/>
      <c r="G869" s="212"/>
      <c r="H869" s="212"/>
      <c r="J869" s="212"/>
      <c r="K869" s="212"/>
    </row>
    <row r="870" spans="1:11" ht="12.75" customHeight="1">
      <c r="A870" s="212"/>
      <c r="B870" s="212"/>
      <c r="C870" s="212"/>
      <c r="D870" s="212"/>
      <c r="E870" s="212"/>
      <c r="F870" s="212"/>
      <c r="G870" s="212"/>
      <c r="H870" s="212"/>
      <c r="J870" s="212"/>
      <c r="K870" s="212"/>
    </row>
    <row r="871" spans="1:11" ht="12.75" customHeight="1">
      <c r="A871" s="212"/>
      <c r="B871" s="212"/>
      <c r="C871" s="212"/>
      <c r="D871" s="212"/>
      <c r="E871" s="212"/>
      <c r="F871" s="212"/>
      <c r="G871" s="212"/>
      <c r="H871" s="212"/>
      <c r="J871" s="212"/>
      <c r="K871" s="212"/>
    </row>
    <row r="872" spans="1:11" ht="12.75" customHeight="1">
      <c r="A872" s="212"/>
      <c r="B872" s="212"/>
      <c r="C872" s="212"/>
      <c r="D872" s="212"/>
      <c r="E872" s="212"/>
      <c r="F872" s="212"/>
      <c r="G872" s="212"/>
      <c r="H872" s="212"/>
      <c r="J872" s="212"/>
      <c r="K872" s="212"/>
    </row>
    <row r="873" spans="1:11" ht="12.75" customHeight="1">
      <c r="A873" s="212"/>
      <c r="B873" s="212"/>
      <c r="C873" s="212"/>
      <c r="D873" s="212"/>
      <c r="E873" s="212"/>
      <c r="F873" s="212"/>
      <c r="G873" s="212"/>
      <c r="H873" s="212"/>
      <c r="J873" s="212"/>
      <c r="K873" s="212"/>
    </row>
    <row r="874" spans="1:11" ht="12.75" customHeight="1">
      <c r="A874" s="212"/>
      <c r="B874" s="212"/>
      <c r="C874" s="212"/>
      <c r="D874" s="212"/>
      <c r="E874" s="212"/>
      <c r="F874" s="212"/>
      <c r="G874" s="212"/>
      <c r="H874" s="212"/>
      <c r="J874" s="212"/>
      <c r="K874" s="212"/>
    </row>
    <row r="875" spans="1:11" ht="12.75" customHeight="1">
      <c r="A875" s="212"/>
      <c r="B875" s="212"/>
      <c r="C875" s="212"/>
      <c r="D875" s="212"/>
      <c r="E875" s="212"/>
      <c r="F875" s="212"/>
      <c r="G875" s="212"/>
      <c r="H875" s="212"/>
      <c r="J875" s="212"/>
      <c r="K875" s="212"/>
    </row>
    <row r="876" spans="1:11" ht="12.75" customHeight="1">
      <c r="A876" s="212"/>
      <c r="B876" s="212"/>
      <c r="C876" s="212"/>
      <c r="D876" s="212"/>
      <c r="E876" s="212"/>
      <c r="F876" s="212"/>
      <c r="G876" s="212"/>
      <c r="H876" s="212"/>
      <c r="J876" s="212"/>
      <c r="K876" s="212"/>
    </row>
    <row r="877" spans="1:11" ht="12.75" customHeight="1">
      <c r="A877" s="212"/>
      <c r="B877" s="212"/>
      <c r="C877" s="212"/>
      <c r="D877" s="212"/>
      <c r="E877" s="212"/>
      <c r="F877" s="212"/>
      <c r="G877" s="212"/>
      <c r="H877" s="212"/>
      <c r="J877" s="212"/>
      <c r="K877" s="212"/>
    </row>
    <row r="878" spans="1:11" ht="12.75" customHeight="1">
      <c r="A878" s="212"/>
      <c r="B878" s="212"/>
      <c r="C878" s="212"/>
      <c r="D878" s="212"/>
      <c r="E878" s="212"/>
      <c r="F878" s="212"/>
      <c r="G878" s="212"/>
      <c r="H878" s="212"/>
      <c r="J878" s="212"/>
      <c r="K878" s="212"/>
    </row>
    <row r="879" spans="1:11" ht="12.75" customHeight="1">
      <c r="A879" s="212"/>
      <c r="B879" s="212"/>
      <c r="C879" s="212"/>
      <c r="D879" s="212"/>
      <c r="E879" s="212"/>
      <c r="F879" s="212"/>
      <c r="G879" s="212"/>
      <c r="H879" s="212"/>
      <c r="J879" s="212"/>
      <c r="K879" s="212"/>
    </row>
    <row r="880" spans="1:11" ht="12.75" customHeight="1">
      <c r="A880" s="212"/>
      <c r="B880" s="212"/>
      <c r="C880" s="212"/>
      <c r="D880" s="212"/>
      <c r="E880" s="212"/>
      <c r="F880" s="212"/>
      <c r="G880" s="212"/>
      <c r="H880" s="212"/>
      <c r="J880" s="212"/>
      <c r="K880" s="212"/>
    </row>
    <row r="881" spans="1:11" ht="12.75" customHeight="1">
      <c r="A881" s="212"/>
      <c r="B881" s="212"/>
      <c r="C881" s="212"/>
      <c r="D881" s="212"/>
      <c r="E881" s="212"/>
      <c r="F881" s="212"/>
      <c r="G881" s="212"/>
      <c r="H881" s="212"/>
      <c r="J881" s="212"/>
      <c r="K881" s="212"/>
    </row>
    <row r="882" spans="1:11" ht="12.75" customHeight="1">
      <c r="A882" s="212"/>
      <c r="B882" s="212"/>
      <c r="C882" s="212"/>
      <c r="D882" s="212"/>
      <c r="E882" s="212"/>
      <c r="F882" s="212"/>
      <c r="G882" s="212"/>
      <c r="H882" s="212"/>
      <c r="J882" s="212"/>
      <c r="K882" s="212"/>
    </row>
    <row r="883" spans="1:11" ht="12.75" customHeight="1">
      <c r="A883" s="212"/>
      <c r="B883" s="212"/>
      <c r="C883" s="212"/>
      <c r="D883" s="212"/>
      <c r="E883" s="212"/>
      <c r="F883" s="212"/>
      <c r="G883" s="212"/>
      <c r="H883" s="212"/>
      <c r="J883" s="212"/>
      <c r="K883" s="212"/>
    </row>
    <row r="884" spans="1:11" ht="12.75" customHeight="1">
      <c r="A884" s="212"/>
      <c r="B884" s="212"/>
      <c r="C884" s="212"/>
      <c r="D884" s="212"/>
      <c r="E884" s="212"/>
      <c r="F884" s="212"/>
      <c r="G884" s="212"/>
      <c r="H884" s="212"/>
      <c r="J884" s="212"/>
      <c r="K884" s="212"/>
    </row>
    <row r="885" spans="1:11" ht="12.75" customHeight="1">
      <c r="A885" s="212"/>
      <c r="B885" s="212"/>
      <c r="C885" s="212"/>
      <c r="D885" s="212"/>
      <c r="E885" s="212"/>
      <c r="F885" s="212"/>
      <c r="G885" s="212"/>
      <c r="H885" s="212"/>
      <c r="J885" s="212"/>
      <c r="K885" s="212"/>
    </row>
    <row r="886" spans="1:11" ht="12.75" customHeight="1">
      <c r="A886" s="212"/>
      <c r="B886" s="212"/>
      <c r="C886" s="212"/>
      <c r="D886" s="212"/>
      <c r="E886" s="212"/>
      <c r="F886" s="212"/>
      <c r="G886" s="212"/>
      <c r="H886" s="212"/>
      <c r="J886" s="212"/>
      <c r="K886" s="212"/>
    </row>
    <row r="887" spans="1:11" ht="12.75" customHeight="1">
      <c r="A887" s="212"/>
      <c r="B887" s="212"/>
      <c r="C887" s="212"/>
      <c r="D887" s="212"/>
      <c r="E887" s="212"/>
      <c r="F887" s="212"/>
      <c r="G887" s="212"/>
      <c r="H887" s="212"/>
      <c r="J887" s="212"/>
      <c r="K887" s="212"/>
    </row>
    <row r="888" spans="1:11" ht="12.75" customHeight="1">
      <c r="A888" s="212"/>
      <c r="B888" s="212"/>
      <c r="C888" s="212"/>
      <c r="D888" s="212"/>
      <c r="E888" s="212"/>
      <c r="F888" s="212"/>
      <c r="G888" s="212"/>
      <c r="H888" s="212"/>
      <c r="J888" s="212"/>
      <c r="K888" s="212"/>
    </row>
    <row r="889" spans="1:11" ht="12.75" customHeight="1">
      <c r="A889" s="212"/>
      <c r="B889" s="212"/>
      <c r="C889" s="212"/>
      <c r="D889" s="212"/>
      <c r="E889" s="212"/>
      <c r="F889" s="212"/>
      <c r="G889" s="212"/>
      <c r="H889" s="212"/>
      <c r="J889" s="212"/>
      <c r="K889" s="212"/>
    </row>
    <row r="890" spans="1:11" ht="12.75" customHeight="1">
      <c r="A890" s="212"/>
      <c r="B890" s="212"/>
      <c r="C890" s="212"/>
      <c r="D890" s="212"/>
      <c r="E890" s="212"/>
      <c r="F890" s="212"/>
      <c r="G890" s="212"/>
      <c r="H890" s="212"/>
      <c r="J890" s="212"/>
      <c r="K890" s="212"/>
    </row>
    <row r="891" spans="1:11" ht="12.75" customHeight="1">
      <c r="A891" s="212"/>
      <c r="B891" s="212"/>
      <c r="C891" s="212"/>
      <c r="D891" s="212"/>
      <c r="E891" s="212"/>
      <c r="F891" s="212"/>
      <c r="G891" s="212"/>
      <c r="H891" s="212"/>
      <c r="J891" s="212"/>
      <c r="K891" s="212"/>
    </row>
    <row r="892" spans="1:11" ht="12.75" customHeight="1">
      <c r="A892" s="212"/>
      <c r="B892" s="212"/>
      <c r="C892" s="212"/>
      <c r="D892" s="212"/>
      <c r="E892" s="212"/>
      <c r="F892" s="212"/>
      <c r="G892" s="212"/>
      <c r="H892" s="212"/>
      <c r="J892" s="212"/>
      <c r="K892" s="212"/>
    </row>
    <row r="893" spans="1:11" ht="12.75" customHeight="1">
      <c r="A893" s="212"/>
      <c r="B893" s="212"/>
      <c r="C893" s="212"/>
      <c r="D893" s="212"/>
      <c r="E893" s="212"/>
      <c r="F893" s="212"/>
      <c r="G893" s="212"/>
      <c r="H893" s="212"/>
      <c r="J893" s="212"/>
      <c r="K893" s="212"/>
    </row>
    <row r="894" spans="1:11" ht="12.75" customHeight="1">
      <c r="A894" s="212"/>
      <c r="B894" s="212"/>
      <c r="C894" s="212"/>
      <c r="D894" s="212"/>
      <c r="E894" s="212"/>
      <c r="F894" s="212"/>
      <c r="G894" s="212"/>
      <c r="H894" s="212"/>
      <c r="J894" s="212"/>
      <c r="K894" s="212"/>
    </row>
    <row r="895" spans="1:11" ht="12.75" customHeight="1">
      <c r="A895" s="212"/>
      <c r="B895" s="212"/>
      <c r="C895" s="212"/>
      <c r="D895" s="212"/>
      <c r="E895" s="212"/>
      <c r="F895" s="212"/>
      <c r="G895" s="212"/>
      <c r="H895" s="212"/>
      <c r="J895" s="212"/>
      <c r="K895" s="212"/>
    </row>
    <row r="896" spans="1:11" ht="12.75" customHeight="1">
      <c r="A896" s="212"/>
      <c r="B896" s="212"/>
      <c r="C896" s="212"/>
      <c r="D896" s="212"/>
      <c r="E896" s="212"/>
      <c r="F896" s="212"/>
      <c r="G896" s="212"/>
      <c r="H896" s="212"/>
      <c r="J896" s="212"/>
      <c r="K896" s="212"/>
    </row>
    <row r="897" spans="1:11" ht="12.75" customHeight="1">
      <c r="A897" s="212"/>
      <c r="B897" s="212"/>
      <c r="C897" s="212"/>
      <c r="D897" s="212"/>
      <c r="E897" s="212"/>
      <c r="F897" s="212"/>
      <c r="G897" s="212"/>
      <c r="H897" s="212"/>
      <c r="J897" s="212"/>
      <c r="K897" s="212"/>
    </row>
    <row r="898" spans="1:11" ht="12.75" customHeight="1">
      <c r="A898" s="212"/>
      <c r="B898" s="212"/>
      <c r="C898" s="212"/>
      <c r="D898" s="212"/>
      <c r="E898" s="212"/>
      <c r="F898" s="212"/>
      <c r="G898" s="212"/>
      <c r="H898" s="212"/>
      <c r="J898" s="212"/>
      <c r="K898" s="212"/>
    </row>
    <row r="899" spans="1:11" ht="12.75" customHeight="1">
      <c r="A899" s="212"/>
      <c r="B899" s="212"/>
      <c r="C899" s="212"/>
      <c r="D899" s="212"/>
      <c r="E899" s="212"/>
      <c r="F899" s="212"/>
      <c r="G899" s="212"/>
      <c r="H899" s="212"/>
      <c r="J899" s="212"/>
      <c r="K899" s="212"/>
    </row>
    <row r="900" spans="1:11" ht="12.75" customHeight="1">
      <c r="A900" s="212"/>
      <c r="B900" s="212"/>
      <c r="C900" s="212"/>
      <c r="D900" s="212"/>
      <c r="E900" s="212"/>
      <c r="F900" s="212"/>
      <c r="G900" s="212"/>
      <c r="H900" s="212"/>
      <c r="J900" s="212"/>
      <c r="K900" s="212"/>
    </row>
    <row r="901" spans="1:11" ht="12.75" customHeight="1">
      <c r="A901" s="212"/>
      <c r="B901" s="212"/>
      <c r="C901" s="212"/>
      <c r="D901" s="212"/>
      <c r="E901" s="212"/>
      <c r="F901" s="212"/>
      <c r="G901" s="212"/>
      <c r="H901" s="212"/>
      <c r="J901" s="212"/>
      <c r="K901" s="212"/>
    </row>
    <row r="902" spans="1:11" ht="12.75" customHeight="1">
      <c r="A902" s="212"/>
      <c r="B902" s="212"/>
      <c r="C902" s="212"/>
      <c r="D902" s="212"/>
      <c r="E902" s="212"/>
      <c r="F902" s="212"/>
      <c r="G902" s="212"/>
      <c r="H902" s="212"/>
      <c r="J902" s="212"/>
      <c r="K902" s="212"/>
    </row>
    <row r="903" spans="1:11" ht="12.75" customHeight="1">
      <c r="A903" s="212"/>
      <c r="B903" s="212"/>
      <c r="C903" s="212"/>
      <c r="D903" s="212"/>
      <c r="E903" s="212"/>
      <c r="F903" s="212"/>
      <c r="G903" s="212"/>
      <c r="H903" s="212"/>
      <c r="J903" s="212"/>
      <c r="K903" s="212"/>
    </row>
    <row r="904" spans="1:11" ht="12.75" customHeight="1">
      <c r="A904" s="212"/>
      <c r="B904" s="212"/>
      <c r="C904" s="212"/>
      <c r="D904" s="212"/>
      <c r="E904" s="212"/>
      <c r="F904" s="212"/>
      <c r="G904" s="212"/>
      <c r="H904" s="212"/>
      <c r="J904" s="212"/>
      <c r="K904" s="212"/>
    </row>
    <row r="905" spans="1:11" ht="12.75" customHeight="1">
      <c r="A905" s="212"/>
      <c r="B905" s="212"/>
      <c r="C905" s="212"/>
      <c r="D905" s="212"/>
      <c r="E905" s="212"/>
      <c r="F905" s="212"/>
      <c r="G905" s="212"/>
      <c r="H905" s="212"/>
      <c r="J905" s="212"/>
      <c r="K905" s="212"/>
    </row>
    <row r="906" spans="1:11" ht="12.75" customHeight="1">
      <c r="A906" s="212"/>
      <c r="B906" s="212"/>
      <c r="C906" s="212"/>
      <c r="D906" s="212"/>
      <c r="E906" s="212"/>
      <c r="F906" s="212"/>
      <c r="G906" s="212"/>
      <c r="H906" s="212"/>
      <c r="J906" s="212"/>
      <c r="K906" s="212"/>
    </row>
    <row r="907" spans="1:11" ht="12.75" customHeight="1">
      <c r="A907" s="212"/>
      <c r="B907" s="212"/>
      <c r="C907" s="212"/>
      <c r="D907" s="212"/>
      <c r="E907" s="212"/>
      <c r="F907" s="212"/>
      <c r="G907" s="212"/>
      <c r="H907" s="212"/>
      <c r="J907" s="212"/>
      <c r="K907" s="212"/>
    </row>
    <row r="908" spans="1:11" ht="12.75" customHeight="1">
      <c r="A908" s="212"/>
      <c r="B908" s="212"/>
      <c r="C908" s="212"/>
      <c r="D908" s="212"/>
      <c r="E908" s="212"/>
      <c r="F908" s="212"/>
      <c r="G908" s="212"/>
      <c r="H908" s="212"/>
      <c r="J908" s="212"/>
      <c r="K908" s="212"/>
    </row>
    <row r="909" spans="1:11" ht="12.75" customHeight="1">
      <c r="A909" s="212"/>
      <c r="B909" s="212"/>
      <c r="C909" s="212"/>
      <c r="D909" s="212"/>
      <c r="E909" s="212"/>
      <c r="F909" s="212"/>
      <c r="G909" s="212"/>
      <c r="H909" s="212"/>
      <c r="J909" s="212"/>
      <c r="K909" s="212"/>
    </row>
    <row r="910" spans="1:11" ht="12.75" customHeight="1">
      <c r="A910" s="212"/>
      <c r="B910" s="212"/>
      <c r="C910" s="212"/>
      <c r="D910" s="212"/>
      <c r="E910" s="212"/>
      <c r="F910" s="212"/>
      <c r="G910" s="212"/>
      <c r="H910" s="212"/>
      <c r="J910" s="212"/>
      <c r="K910" s="212"/>
    </row>
    <row r="911" spans="1:11" ht="12.75" customHeight="1">
      <c r="A911" s="212"/>
      <c r="B911" s="212"/>
      <c r="C911" s="212"/>
      <c r="D911" s="212"/>
      <c r="E911" s="212"/>
      <c r="F911" s="212"/>
      <c r="G911" s="212"/>
      <c r="H911" s="212"/>
      <c r="J911" s="212"/>
      <c r="K911" s="212"/>
    </row>
    <row r="912" spans="1:11" ht="12.75" customHeight="1">
      <c r="A912" s="212"/>
      <c r="B912" s="212"/>
      <c r="C912" s="212"/>
      <c r="D912" s="212"/>
      <c r="E912" s="212"/>
      <c r="F912" s="212"/>
      <c r="G912" s="212"/>
      <c r="H912" s="212"/>
      <c r="J912" s="212"/>
      <c r="K912" s="212"/>
    </row>
    <row r="913" spans="1:11" ht="12.75" customHeight="1">
      <c r="A913" s="212"/>
      <c r="B913" s="212"/>
      <c r="C913" s="212"/>
      <c r="D913" s="212"/>
      <c r="E913" s="212"/>
      <c r="F913" s="212"/>
      <c r="G913" s="212"/>
      <c r="H913" s="212"/>
      <c r="J913" s="212"/>
      <c r="K913" s="212"/>
    </row>
    <row r="914" spans="1:11" ht="12.75" customHeight="1">
      <c r="A914" s="212"/>
      <c r="B914" s="212"/>
      <c r="C914" s="212"/>
      <c r="D914" s="212"/>
      <c r="E914" s="212"/>
      <c r="F914" s="212"/>
      <c r="G914" s="212"/>
      <c r="H914" s="212"/>
      <c r="J914" s="212"/>
      <c r="K914" s="212"/>
    </row>
    <row r="915" spans="1:11" ht="12.75" customHeight="1">
      <c r="A915" s="212"/>
      <c r="B915" s="212"/>
      <c r="C915" s="212"/>
      <c r="D915" s="212"/>
      <c r="E915" s="212"/>
      <c r="F915" s="212"/>
      <c r="G915" s="212"/>
      <c r="H915" s="212"/>
      <c r="J915" s="212"/>
      <c r="K915" s="212"/>
    </row>
    <row r="916" spans="1:11" ht="12.75" customHeight="1">
      <c r="A916" s="212"/>
      <c r="B916" s="212"/>
      <c r="C916" s="212"/>
      <c r="D916" s="212"/>
      <c r="E916" s="212"/>
      <c r="F916" s="212"/>
      <c r="G916" s="212"/>
      <c r="H916" s="212"/>
      <c r="J916" s="212"/>
      <c r="K916" s="212"/>
    </row>
    <row r="917" spans="1:11" ht="12.75" customHeight="1">
      <c r="A917" s="212"/>
      <c r="B917" s="212"/>
      <c r="C917" s="212"/>
      <c r="D917" s="212"/>
      <c r="E917" s="212"/>
      <c r="F917" s="212"/>
      <c r="G917" s="212"/>
      <c r="H917" s="212"/>
      <c r="J917" s="212"/>
      <c r="K917" s="212"/>
    </row>
    <row r="918" spans="1:11" ht="12.75" customHeight="1">
      <c r="A918" s="212"/>
      <c r="B918" s="212"/>
      <c r="C918" s="212"/>
      <c r="D918" s="212"/>
      <c r="E918" s="212"/>
      <c r="F918" s="212"/>
      <c r="G918" s="212"/>
      <c r="H918" s="212"/>
      <c r="J918" s="212"/>
      <c r="K918" s="212"/>
    </row>
    <row r="919" spans="1:11" ht="12.75" customHeight="1">
      <c r="A919" s="212"/>
      <c r="B919" s="212"/>
      <c r="C919" s="212"/>
      <c r="D919" s="212"/>
      <c r="E919" s="212"/>
      <c r="F919" s="212"/>
      <c r="G919" s="212"/>
      <c r="H919" s="212"/>
      <c r="J919" s="212"/>
      <c r="K919" s="212"/>
    </row>
    <row r="920" spans="1:11" ht="12.75" customHeight="1">
      <c r="A920" s="212"/>
      <c r="B920" s="212"/>
      <c r="C920" s="212"/>
      <c r="D920" s="212"/>
      <c r="E920" s="212"/>
      <c r="F920" s="212"/>
      <c r="G920" s="212"/>
      <c r="H920" s="212"/>
      <c r="J920" s="212"/>
      <c r="K920" s="212"/>
    </row>
    <row r="921" spans="1:11" ht="12.75" customHeight="1">
      <c r="A921" s="212"/>
      <c r="B921" s="212"/>
      <c r="C921" s="212"/>
      <c r="D921" s="212"/>
      <c r="E921" s="212"/>
      <c r="F921" s="212"/>
      <c r="G921" s="212"/>
      <c r="H921" s="212"/>
      <c r="J921" s="212"/>
      <c r="K921" s="212"/>
    </row>
    <row r="922" spans="1:11" ht="12.75" customHeight="1">
      <c r="A922" s="212"/>
      <c r="B922" s="212"/>
      <c r="C922" s="212"/>
      <c r="D922" s="212"/>
      <c r="E922" s="212"/>
      <c r="F922" s="212"/>
      <c r="G922" s="212"/>
      <c r="H922" s="212"/>
      <c r="J922" s="212"/>
      <c r="K922" s="212"/>
    </row>
    <row r="923" spans="1:11" ht="12.75" customHeight="1">
      <c r="A923" s="212"/>
      <c r="B923" s="212"/>
      <c r="C923" s="212"/>
      <c r="D923" s="212"/>
      <c r="E923" s="212"/>
      <c r="F923" s="212"/>
      <c r="G923" s="212"/>
      <c r="H923" s="212"/>
      <c r="J923" s="212"/>
      <c r="K923" s="212"/>
    </row>
    <row r="924" spans="1:11" ht="12.75" customHeight="1">
      <c r="A924" s="212"/>
      <c r="B924" s="212"/>
      <c r="C924" s="212"/>
      <c r="D924" s="212"/>
      <c r="E924" s="212"/>
      <c r="F924" s="212"/>
      <c r="G924" s="212"/>
      <c r="H924" s="212"/>
      <c r="J924" s="212"/>
      <c r="K924" s="212"/>
    </row>
    <row r="925" spans="1:11" ht="12.75" customHeight="1">
      <c r="A925" s="212"/>
      <c r="B925" s="212"/>
      <c r="C925" s="212"/>
      <c r="D925" s="212"/>
      <c r="E925" s="212"/>
      <c r="F925" s="212"/>
      <c r="G925" s="212"/>
      <c r="H925" s="212"/>
      <c r="J925" s="212"/>
      <c r="K925" s="212"/>
    </row>
    <row r="926" spans="1:11" ht="12.75" customHeight="1">
      <c r="A926" s="212"/>
      <c r="B926" s="212"/>
      <c r="C926" s="212"/>
      <c r="D926" s="212"/>
      <c r="E926" s="212"/>
      <c r="F926" s="212"/>
      <c r="G926" s="212"/>
      <c r="H926" s="212"/>
      <c r="J926" s="212"/>
      <c r="K926" s="212"/>
    </row>
    <row r="927" spans="1:11" ht="12.75" customHeight="1">
      <c r="A927" s="212"/>
      <c r="B927" s="212"/>
      <c r="C927" s="212"/>
      <c r="D927" s="212"/>
      <c r="E927" s="212"/>
      <c r="F927" s="212"/>
      <c r="G927" s="212"/>
      <c r="H927" s="212"/>
      <c r="J927" s="212"/>
      <c r="K927" s="212"/>
    </row>
    <row r="928" spans="1:11" ht="12.75" customHeight="1">
      <c r="A928" s="212"/>
      <c r="B928" s="212"/>
      <c r="C928" s="212"/>
      <c r="D928" s="212"/>
      <c r="E928" s="212"/>
      <c r="F928" s="212"/>
      <c r="G928" s="212"/>
      <c r="H928" s="212"/>
      <c r="J928" s="212"/>
      <c r="K928" s="212"/>
    </row>
    <row r="929" spans="1:11" ht="12.75" customHeight="1">
      <c r="A929" s="212"/>
      <c r="B929" s="212"/>
      <c r="C929" s="212"/>
      <c r="D929" s="212"/>
      <c r="E929" s="212"/>
      <c r="F929" s="212"/>
      <c r="G929" s="212"/>
      <c r="H929" s="212"/>
      <c r="J929" s="212"/>
      <c r="K929" s="212"/>
    </row>
    <row r="930" spans="1:11" ht="12.75" customHeight="1">
      <c r="A930" s="212"/>
      <c r="B930" s="212"/>
      <c r="C930" s="212"/>
      <c r="D930" s="212"/>
      <c r="E930" s="212"/>
      <c r="F930" s="212"/>
      <c r="G930" s="212"/>
      <c r="H930" s="212"/>
      <c r="J930" s="212"/>
      <c r="K930" s="212"/>
    </row>
    <row r="931" spans="1:11" ht="12.75" customHeight="1">
      <c r="A931" s="212"/>
      <c r="B931" s="212"/>
      <c r="C931" s="212"/>
      <c r="D931" s="212"/>
      <c r="E931" s="212"/>
      <c r="F931" s="212"/>
      <c r="G931" s="212"/>
      <c r="H931" s="212"/>
      <c r="J931" s="212"/>
      <c r="K931" s="212"/>
    </row>
    <row r="932" spans="1:11" ht="12.75" customHeight="1">
      <c r="A932" s="212"/>
      <c r="B932" s="212"/>
      <c r="C932" s="212"/>
      <c r="D932" s="212"/>
      <c r="E932" s="212"/>
      <c r="F932" s="212"/>
      <c r="G932" s="212"/>
      <c r="H932" s="212"/>
      <c r="J932" s="212"/>
      <c r="K932" s="212"/>
    </row>
    <row r="933" spans="1:11" ht="12.75" customHeight="1">
      <c r="A933" s="212"/>
      <c r="B933" s="212"/>
      <c r="C933" s="212"/>
      <c r="D933" s="212"/>
      <c r="E933" s="212"/>
      <c r="F933" s="212"/>
      <c r="G933" s="212"/>
      <c r="H933" s="212"/>
      <c r="J933" s="212"/>
      <c r="K933" s="212"/>
    </row>
    <row r="934" spans="1:11" ht="12.75" customHeight="1">
      <c r="A934" s="212"/>
      <c r="B934" s="212"/>
      <c r="C934" s="212"/>
      <c r="D934" s="212"/>
      <c r="E934" s="212"/>
      <c r="F934" s="212"/>
      <c r="G934" s="212"/>
      <c r="H934" s="212"/>
      <c r="J934" s="212"/>
      <c r="K934" s="212"/>
    </row>
    <row r="935" spans="1:11" ht="12.75" customHeight="1">
      <c r="A935" s="212"/>
      <c r="B935" s="212"/>
      <c r="C935" s="212"/>
      <c r="D935" s="212"/>
      <c r="E935" s="212"/>
      <c r="F935" s="212"/>
      <c r="G935" s="212"/>
      <c r="H935" s="212"/>
      <c r="J935" s="212"/>
      <c r="K935" s="212"/>
    </row>
    <row r="936" spans="1:11" ht="12.75" customHeight="1">
      <c r="A936" s="212"/>
      <c r="B936" s="212"/>
      <c r="C936" s="212"/>
      <c r="D936" s="212"/>
      <c r="E936" s="212"/>
      <c r="F936" s="212"/>
      <c r="G936" s="212"/>
      <c r="H936" s="212"/>
      <c r="J936" s="212"/>
      <c r="K936" s="212"/>
    </row>
    <row r="937" spans="1:11" ht="12.75" customHeight="1">
      <c r="A937" s="212"/>
      <c r="B937" s="212"/>
      <c r="C937" s="212"/>
      <c r="D937" s="212"/>
      <c r="E937" s="212"/>
      <c r="F937" s="212"/>
      <c r="G937" s="212"/>
      <c r="H937" s="212"/>
      <c r="J937" s="212"/>
      <c r="K937" s="212"/>
    </row>
    <row r="938" spans="1:11" ht="12.75" customHeight="1">
      <c r="A938" s="212"/>
      <c r="B938" s="212"/>
      <c r="C938" s="212"/>
      <c r="D938" s="212"/>
      <c r="E938" s="212"/>
      <c r="F938" s="212"/>
      <c r="G938" s="212"/>
      <c r="H938" s="212"/>
      <c r="J938" s="212"/>
      <c r="K938" s="212"/>
    </row>
    <row r="939" spans="1:11" ht="12.75" customHeight="1">
      <c r="A939" s="212"/>
      <c r="B939" s="212"/>
      <c r="C939" s="212"/>
      <c r="D939" s="212"/>
      <c r="E939" s="212"/>
      <c r="F939" s="212"/>
      <c r="G939" s="212"/>
      <c r="H939" s="212"/>
      <c r="J939" s="212"/>
      <c r="K939" s="212"/>
    </row>
    <row r="940" spans="1:11" ht="12.75" customHeight="1">
      <c r="A940" s="212"/>
      <c r="B940" s="212"/>
      <c r="C940" s="212"/>
      <c r="D940" s="212"/>
      <c r="E940" s="212"/>
      <c r="F940" s="212"/>
      <c r="G940" s="212"/>
      <c r="H940" s="212"/>
      <c r="J940" s="212"/>
      <c r="K940" s="212"/>
    </row>
    <row r="941" spans="1:11" ht="12.75" customHeight="1">
      <c r="A941" s="212"/>
      <c r="B941" s="212"/>
      <c r="C941" s="212"/>
      <c r="D941" s="212"/>
      <c r="E941" s="212"/>
      <c r="F941" s="212"/>
      <c r="G941" s="212"/>
      <c r="H941" s="212"/>
      <c r="J941" s="212"/>
      <c r="K941" s="212"/>
    </row>
    <row r="942" spans="1:11" ht="12.75" customHeight="1">
      <c r="A942" s="212"/>
      <c r="B942" s="212"/>
      <c r="C942" s="212"/>
      <c r="D942" s="212"/>
      <c r="E942" s="212"/>
      <c r="F942" s="212"/>
      <c r="G942" s="212"/>
      <c r="H942" s="212"/>
      <c r="J942" s="212"/>
      <c r="K942" s="212"/>
    </row>
    <row r="943" spans="1:11" ht="12.75" customHeight="1">
      <c r="A943" s="212"/>
      <c r="B943" s="212"/>
      <c r="C943" s="212"/>
      <c r="D943" s="212"/>
      <c r="E943" s="212"/>
      <c r="F943" s="212"/>
      <c r="G943" s="212"/>
      <c r="H943" s="212"/>
      <c r="J943" s="212"/>
      <c r="K943" s="212"/>
    </row>
    <row r="944" spans="1:11" ht="12.75" customHeight="1">
      <c r="A944" s="212"/>
      <c r="B944" s="212"/>
      <c r="C944" s="212"/>
      <c r="D944" s="212"/>
      <c r="E944" s="212"/>
      <c r="F944" s="212"/>
      <c r="G944" s="212"/>
      <c r="H944" s="212"/>
      <c r="J944" s="212"/>
      <c r="K944" s="212"/>
    </row>
    <row r="945" spans="1:11" ht="12.75" customHeight="1">
      <c r="A945" s="212"/>
      <c r="B945" s="212"/>
      <c r="C945" s="212"/>
      <c r="D945" s="212"/>
      <c r="E945" s="212"/>
      <c r="F945" s="212"/>
      <c r="G945" s="212"/>
      <c r="H945" s="212"/>
      <c r="J945" s="212"/>
      <c r="K945" s="212"/>
    </row>
    <row r="946" spans="1:11" ht="12.75" customHeight="1">
      <c r="A946" s="212"/>
      <c r="B946" s="212"/>
      <c r="C946" s="212"/>
      <c r="D946" s="212"/>
      <c r="E946" s="212"/>
      <c r="F946" s="212"/>
      <c r="G946" s="212"/>
      <c r="H946" s="212"/>
      <c r="J946" s="212"/>
      <c r="K946" s="212"/>
    </row>
    <row r="947" spans="1:11" ht="12.75" customHeight="1">
      <c r="A947" s="212"/>
      <c r="B947" s="212"/>
      <c r="C947" s="212"/>
      <c r="D947" s="212"/>
      <c r="E947" s="212"/>
      <c r="F947" s="212"/>
      <c r="G947" s="212"/>
      <c r="H947" s="212"/>
      <c r="J947" s="212"/>
      <c r="K947" s="212"/>
    </row>
    <row r="948" spans="1:11" ht="12.75" customHeight="1">
      <c r="A948" s="212"/>
      <c r="B948" s="212"/>
      <c r="C948" s="212"/>
      <c r="D948" s="212"/>
      <c r="E948" s="212"/>
      <c r="F948" s="212"/>
      <c r="G948" s="212"/>
      <c r="H948" s="212"/>
      <c r="J948" s="212"/>
      <c r="K948" s="212"/>
    </row>
    <row r="949" spans="1:11" ht="12.75" customHeight="1">
      <c r="A949" s="212"/>
      <c r="B949" s="212"/>
      <c r="C949" s="212"/>
      <c r="D949" s="212"/>
      <c r="E949" s="212"/>
      <c r="F949" s="212"/>
      <c r="G949" s="212"/>
      <c r="H949" s="212"/>
      <c r="J949" s="212"/>
      <c r="K949" s="212"/>
    </row>
    <row r="950" spans="1:11" ht="12.75" customHeight="1">
      <c r="A950" s="212"/>
      <c r="B950" s="212"/>
      <c r="C950" s="212"/>
      <c r="D950" s="212"/>
      <c r="E950" s="212"/>
      <c r="F950" s="212"/>
      <c r="G950" s="212"/>
      <c r="H950" s="212"/>
      <c r="J950" s="212"/>
      <c r="K950" s="212"/>
    </row>
    <row r="951" spans="1:11" ht="12.75" customHeight="1">
      <c r="A951" s="212"/>
      <c r="B951" s="212"/>
      <c r="C951" s="212"/>
      <c r="D951" s="212"/>
      <c r="E951" s="212"/>
      <c r="F951" s="212"/>
      <c r="G951" s="212"/>
      <c r="H951" s="212"/>
      <c r="J951" s="212"/>
      <c r="K951" s="212"/>
    </row>
  </sheetData>
  <sheetProtection password="C6F3" sheet="1" objects="1" scenarios="1"/>
  <mergeCells count="21">
    <mergeCell ref="B63:B65"/>
    <mergeCell ref="B59:B62"/>
    <mergeCell ref="A72:A82"/>
    <mergeCell ref="A59:A71"/>
    <mergeCell ref="A84:A85"/>
    <mergeCell ref="B84:B85"/>
    <mergeCell ref="B74:B82"/>
    <mergeCell ref="B72:B73"/>
    <mergeCell ref="B69:B71"/>
    <mergeCell ref="B66:B68"/>
    <mergeCell ref="B2:B9"/>
    <mergeCell ref="B17:B20"/>
    <mergeCell ref="B11:B16"/>
    <mergeCell ref="A11:A32"/>
    <mergeCell ref="A34:A56"/>
    <mergeCell ref="A2:A9"/>
    <mergeCell ref="B34:B36"/>
    <mergeCell ref="B46:B57"/>
    <mergeCell ref="B41:B45"/>
    <mergeCell ref="B37:B40"/>
    <mergeCell ref="B21:B32"/>
  </mergeCells>
  <conditionalFormatting sqref="H2:H8 H11:H15 H17:H19 H21:H31 H34:H35 H37:H39 H41:H44 H46:H56 H59:H61 H63:H64 H66:H67 H69 H72 H74:H81 H84">
    <cfRule type="colorScale" priority="1">
      <colorScale>
        <cfvo type="formula" val="1"/>
        <cfvo type="formula" val="2"/>
        <cfvo type="formula" val="3"/>
        <color rgb="FFFF0000"/>
        <color rgb="FFFFFF00"/>
        <color rgb="FF00FF00"/>
      </colorScale>
    </cfRule>
  </conditionalFormatting>
  <conditionalFormatting sqref="D2:D8 K2:K3 D11:D15 K11:K13 D17:D19 K17:K18 D21:D31 K21:K25 D34:D35 K34 D37:D39 K37:K38 D41:D44 K41:K42 D46:D56 K46:K53 D59:D61 K59:K60 D63:D64 K63 D66:D67 K66 D69 K69 D72 K72 D74:D81 K74:K80 D84 K84">
    <cfRule type="containsText" dxfId="61" priority="2" operator="containsText" text="Y">
      <formula>NOT(ISERROR(SEARCH(("Y"),(D2))))</formula>
    </cfRule>
  </conditionalFormatting>
  <conditionalFormatting sqref="D2:D8 K2:K3 D11:D15 K11:K13 D17:D19 K17:K18 D21:D31 K21:K25 D34:D35 K34 D37:D39 K37:K38 D41:D44 K41:K42 D46:D56 K46:K53 D59:D61 K59:K60 D63:D64 K63 D66:D67 K66 D69 K69 D72 K72 D74:D81 K74:K80 D84 K84">
    <cfRule type="containsText" dxfId="60" priority="3" operator="containsText" text="N">
      <formula>NOT(ISERROR(SEARCH(("N"),(D2))))</formula>
    </cfRule>
  </conditionalFormatting>
  <conditionalFormatting sqref="D2:D8 K2:K3 D11:D15 K11:K13 D17:D19 K17:K18 D21:D31 K21:K25 D34:D35 K34 D37:D39 K37:K38 D41:D44 K41:K42 D46:D56 K46:K53 D59:D61 K59:K60 D63:D64 K63 D66:D67 K66 D69 K69 D72 K72 D74:D81 K74:K80 D84 K84">
    <cfRule type="containsBlanks" dxfId="59" priority="4">
      <formula>LEN(TRIM(D2))=0</formula>
    </cfRule>
  </conditionalFormatting>
  <conditionalFormatting sqref="C1:C41 E1:G32 J1:J14 D2:D32 K2:K6 L2:N3 K11:N14 J17:J25 K17:N18 K21:N25 D34:G44 J34:J36 K34:K38 L34:N34 L37:N38 J38:J41 K41:K44 L41:N42 J43:J44 C46:C73 D46:D57 E46:G81 J46:J58 K46:N53 D59:D81 K59:N60 J60:J62 K63:K66 L63:N63 J64:J78 L66:N66 K69:M70 N69 K72:K81 L72:M80 N72 N74:N80 C76:C80 J80:J81 C83:C85 E83:G85 J83 K83:K85 D84:D85 L84:N84 J85">
    <cfRule type="containsBlanks" dxfId="58" priority="5">
      <formula>LEN(TRIM(C1))=0</formula>
    </cfRule>
  </conditionalFormatting>
  <conditionalFormatting sqref="K2:K6 L2:M3 K11:K13 L11:M14 K17:M18 K21:M25 K34:K35 L34:M34 K37:M38 K41:K44 L41:M42 K46:M53 K59:M60 K63:K64 L63:M63 K66:M66 K69:M69 K72:M72 K74:K81 L74:M80 K83:K85 L84:M84">
    <cfRule type="containsText" dxfId="57" priority="6" operator="containsText" text="Y">
      <formula>NOT(ISERROR(SEARCH(("Y"),(K2))))</formula>
    </cfRule>
  </conditionalFormatting>
  <conditionalFormatting sqref="K2:K6 L2:M3 K11:K13 L11:M14 K17:M18 K21:M25 K34:K35 L34:M34 K37:M38 K41:K44 L41:M42 K46:M53 K59:M60 K63:K64 L63:M63 K66:M66 K69:M69 K72:M72 K74:K81 L74:M80 K83:K85 L84:M84">
    <cfRule type="containsText" dxfId="56" priority="7" operator="containsText" text="N">
      <formula>NOT(ISERROR(SEARCH(("N"),(K2))))</formula>
    </cfRule>
  </conditionalFormatting>
  <conditionalFormatting sqref="K2:K6 L2:M3 K11:K13 L11:M14 K17:M18 K21:M25 K34:K35 L34:M34 K37:M38 K41:K44 L41:M42 K46:M53 K59:M60 K63:K64 L63:M63 K66:M66 K69:M69 K72:M72 K74:K81 L74:M80 K83:K85 L84:M84">
    <cfRule type="containsBlanks" dxfId="55" priority="8">
      <formula>LEN(TRIM(K2))=0</formula>
    </cfRule>
  </conditionalFormatting>
  <conditionalFormatting sqref="E2:F8 L2:M3 E11:F15 L11:M14 E17:F19 L17:M18 E21:F31 L21:M25 E34:F35 L34:M34 E37:F39 L37:M38 E41:F44 L41:M42 E46:F56 L46:M53 K50:K56 K58:K60 E59:F61 L59:M60 E63:F64 K63:M63 E66:F67 K66:M66 E69:F69 K69:M69 E72:F72 K72:M72 E74:F81 K74:M80 E84:F84 K84:M84">
    <cfRule type="containsBlanks" dxfId="54" priority="9" stopIfTrue="1">
      <formula>LEN(TRIM(E2))=0</formula>
    </cfRule>
  </conditionalFormatting>
  <conditionalFormatting sqref="K61">
    <cfRule type="containsBlanks" dxfId="53" priority="10" stopIfTrue="1">
      <formula>LEN(TRIM(K61))=0</formula>
    </cfRule>
  </conditionalFormatting>
  <conditionalFormatting sqref="K67">
    <cfRule type="containsBlanks" dxfId="52" priority="11" stopIfTrue="1">
      <formula>LEN(TRIM(K67))=0</formula>
    </cfRule>
  </conditionalFormatting>
  <conditionalFormatting sqref="K71 K80:K81 K83">
    <cfRule type="containsBlanks" dxfId="51" priority="12" stopIfTrue="1">
      <formula>LEN(TRIM(K71))=0</formula>
    </cfRule>
  </conditionalFormatting>
  <conditionalFormatting sqref="K4:K8 K10">
    <cfRule type="containsBlanks" dxfId="50" priority="13" stopIfTrue="1">
      <formula>LEN(TRIM(K4))=0</formula>
    </cfRule>
  </conditionalFormatting>
  <conditionalFormatting sqref="D15:G15 J15 D17:G19 D21:G31 D34:G35 D37:G39 D41:G44 D46:G56 E58:G61 D59:D61 D63:G64 D66:G67 D69:G69 D72:G72 D74:G81 E83:G84 D84">
    <cfRule type="containsBlanks" dxfId="49" priority="14" stopIfTrue="1">
      <formula>LEN(TRIM(D15))=0</formula>
    </cfRule>
  </conditionalFormatting>
  <conditionalFormatting sqref="K13 K15 K17:K18 K21:K25 K34 K37:K38 K41:K42 K46:K53 K59:K60 K63 K66 K69 K72 K74:K80 K84">
    <cfRule type="containsBlanks" dxfId="48" priority="15" stopIfTrue="1">
      <formula>LEN(TRIM(K13))=0</formula>
    </cfRule>
  </conditionalFormatting>
  <conditionalFormatting sqref="K19">
    <cfRule type="containsBlanks" dxfId="47" priority="16" stopIfTrue="1">
      <formula>LEN(TRIM(K19))=0</formula>
    </cfRule>
  </conditionalFormatting>
  <conditionalFormatting sqref="D26:G31 J26:J31 D33:G35 J33 D37:G39 D41:G44 D46:G56 E58:G61 D59:D61 D63:G64 D66:G67 D69:G69 D72:G72 D74:G81 E83:G84 D84">
    <cfRule type="containsBlanks" dxfId="46" priority="17" stopIfTrue="1">
      <formula>LEN(TRIM(D26))=0</formula>
    </cfRule>
  </conditionalFormatting>
  <conditionalFormatting sqref="K25:K31 K33:K34 K37:K38 K41:K42 K46:K53 K59:K60 K63 K66 K69 K72 K74:K80 K84">
    <cfRule type="containsBlanks" dxfId="45" priority="18" stopIfTrue="1">
      <formula>LEN(TRIM(K25))=0</formula>
    </cfRule>
  </conditionalFormatting>
  <conditionalFormatting sqref="K39">
    <cfRule type="containsBlanks" dxfId="44" priority="19" stopIfTrue="1">
      <formula>LEN(TRIM(K39))=0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348</vt:i4>
      </vt:variant>
    </vt:vector>
  </HeadingPairs>
  <TitlesOfParts>
    <vt:vector size="361" baseType="lpstr">
      <vt:lpstr>Instructions</vt:lpstr>
      <vt:lpstr>Project Heartbeat</vt:lpstr>
      <vt:lpstr>Status by Role</vt:lpstr>
      <vt:lpstr>Project Sponsor</vt:lpstr>
      <vt:lpstr>Project Manager</vt:lpstr>
      <vt:lpstr>Architect</vt:lpstr>
      <vt:lpstr>Business Analyst</vt:lpstr>
      <vt:lpstr>Development Lead</vt:lpstr>
      <vt:lpstr>Quality Lead</vt:lpstr>
      <vt:lpstr>System Engineer</vt:lpstr>
      <vt:lpstr>Security Lead</vt:lpstr>
      <vt:lpstr>Glossary</vt:lpstr>
      <vt:lpstr>Persona Definitions</vt:lpstr>
      <vt:lpstr>Arch_Dev_Complete</vt:lpstr>
      <vt:lpstr>Arch_Dev_In_Current</vt:lpstr>
      <vt:lpstr>Arch_Dev_In_Max</vt:lpstr>
      <vt:lpstr>Arch_Dev_Out_Current</vt:lpstr>
      <vt:lpstr>Arch_Dev_Out_Max</vt:lpstr>
      <vt:lpstr>Arch_Dev_Q</vt:lpstr>
      <vt:lpstr>Arch_DevP_Complete</vt:lpstr>
      <vt:lpstr>Arch_DevP_In_Current</vt:lpstr>
      <vt:lpstr>Arch_DevP_In_Max</vt:lpstr>
      <vt:lpstr>Arch_DevP_Out_Current</vt:lpstr>
      <vt:lpstr>Arch_DevP_Out_Max</vt:lpstr>
      <vt:lpstr>Arch_DevP_Q</vt:lpstr>
      <vt:lpstr>Arch_Live_Complete</vt:lpstr>
      <vt:lpstr>Arch_Live_In_Current</vt:lpstr>
      <vt:lpstr>Arch_Live_In_Max</vt:lpstr>
      <vt:lpstr>Arch_Live_Out_Current</vt:lpstr>
      <vt:lpstr>Arch_Live_Out_Max</vt:lpstr>
      <vt:lpstr>Arch_Live_Q</vt:lpstr>
      <vt:lpstr>Arch_Ops_Complete</vt:lpstr>
      <vt:lpstr>Arch_Ops_In_Current</vt:lpstr>
      <vt:lpstr>Arch_Ops_In_Max</vt:lpstr>
      <vt:lpstr>Arch_Ops_Out_Current</vt:lpstr>
      <vt:lpstr>Arch_Ops_Out_Max</vt:lpstr>
      <vt:lpstr>Arch_Ops_Q</vt:lpstr>
      <vt:lpstr>Arch_Plan_Complete</vt:lpstr>
      <vt:lpstr>Arch_Plan_In_Current</vt:lpstr>
      <vt:lpstr>Arch_Plan_In_Max</vt:lpstr>
      <vt:lpstr>Arch_Plan_Out_Current</vt:lpstr>
      <vt:lpstr>Arch_Plan_Out_Max</vt:lpstr>
      <vt:lpstr>Arch_Plan_Q</vt:lpstr>
      <vt:lpstr>Arch_Prep_In_Complete</vt:lpstr>
      <vt:lpstr>Arch_Prep_In_Current</vt:lpstr>
      <vt:lpstr>Arch_Prep_In_Max</vt:lpstr>
      <vt:lpstr>Arch_Prep_In_Q</vt:lpstr>
      <vt:lpstr>Arch_Prep_Out_Current</vt:lpstr>
      <vt:lpstr>Arch_Prep_Out_Max</vt:lpstr>
      <vt:lpstr>Arch_Roll_Complete</vt:lpstr>
      <vt:lpstr>Arch_Roll_In_Current</vt:lpstr>
      <vt:lpstr>Arch_Roll_In_Max</vt:lpstr>
      <vt:lpstr>Arch_Roll_Out_Current</vt:lpstr>
      <vt:lpstr>Arch_Roll_Out_Max</vt:lpstr>
      <vt:lpstr>Arch_Roll_Q</vt:lpstr>
      <vt:lpstr>Arch_Test_Complete</vt:lpstr>
      <vt:lpstr>Arch_Test_In_Current</vt:lpstr>
      <vt:lpstr>Arch_Test_In_Max</vt:lpstr>
      <vt:lpstr>Arch_Test_Out_Current</vt:lpstr>
      <vt:lpstr>Arch_Test_Out_Max</vt:lpstr>
      <vt:lpstr>Arch_Test_Q</vt:lpstr>
      <vt:lpstr>BA_Dev_Complete</vt:lpstr>
      <vt:lpstr>BA_Dev_In_Current</vt:lpstr>
      <vt:lpstr>BA_Dev_In_Max</vt:lpstr>
      <vt:lpstr>BA_Dev_Out_Current</vt:lpstr>
      <vt:lpstr>BA_Dev_Out_Max</vt:lpstr>
      <vt:lpstr>BA_Dev_Q</vt:lpstr>
      <vt:lpstr>BA_DevP_Out_Max</vt:lpstr>
      <vt:lpstr>BA_DevPrep_Complete</vt:lpstr>
      <vt:lpstr>BA_DevPrep_In_Current</vt:lpstr>
      <vt:lpstr>BA_DevPrep_In_Max</vt:lpstr>
      <vt:lpstr>BA_DevPrep_Out_Current</vt:lpstr>
      <vt:lpstr>BA_DevPrep_Q</vt:lpstr>
      <vt:lpstr>BA_Plan_Complete</vt:lpstr>
      <vt:lpstr>BA_Plan_In_Current</vt:lpstr>
      <vt:lpstr>BA_Plan_In_Max</vt:lpstr>
      <vt:lpstr>BA_Plan_Out_Current</vt:lpstr>
      <vt:lpstr>BA_Plan_Out_Max</vt:lpstr>
      <vt:lpstr>BA_Plan_Q</vt:lpstr>
      <vt:lpstr>BA_Prep_Complete</vt:lpstr>
      <vt:lpstr>BA_Prep_In_Current</vt:lpstr>
      <vt:lpstr>BA_Prep_In_Max</vt:lpstr>
      <vt:lpstr>BA_Prep_Out_Current</vt:lpstr>
      <vt:lpstr>BA_Prep_Out_Max</vt:lpstr>
      <vt:lpstr>BA_Prep_Q</vt:lpstr>
      <vt:lpstr>Complete_Dev</vt:lpstr>
      <vt:lpstr>Complete_DevP</vt:lpstr>
      <vt:lpstr>Complete_Live</vt:lpstr>
      <vt:lpstr>Complete_Ops</vt:lpstr>
      <vt:lpstr>Complete_Plan</vt:lpstr>
      <vt:lpstr>Complete_Prep</vt:lpstr>
      <vt:lpstr>Complete_Roll</vt:lpstr>
      <vt:lpstr>Complete_Test</vt:lpstr>
      <vt:lpstr>Dev_Dev_Complete</vt:lpstr>
      <vt:lpstr>Dev_Dev_In_Current</vt:lpstr>
      <vt:lpstr>Dev_Dev_In_Max</vt:lpstr>
      <vt:lpstr>Dev_Dev_Out_Current</vt:lpstr>
      <vt:lpstr>Dev_Dev_Out_Max</vt:lpstr>
      <vt:lpstr>Dev_Dev_Q</vt:lpstr>
      <vt:lpstr>Dev_DevP_Complete</vt:lpstr>
      <vt:lpstr>Dev_DevP_In_Current</vt:lpstr>
      <vt:lpstr>Dev_DevP_In_Max</vt:lpstr>
      <vt:lpstr>Dev_DevP_Out_Current</vt:lpstr>
      <vt:lpstr>Dev_DevP_Out_Max</vt:lpstr>
      <vt:lpstr>Dev_DevP_Q</vt:lpstr>
      <vt:lpstr>Dev_Live_Complete</vt:lpstr>
      <vt:lpstr>Dev_Live_In_Current</vt:lpstr>
      <vt:lpstr>Dev_Live_In_Max</vt:lpstr>
      <vt:lpstr>Dev_Live_Out_Current</vt:lpstr>
      <vt:lpstr>Dev_Live_Out_Max</vt:lpstr>
      <vt:lpstr>Dev_Live_Q</vt:lpstr>
      <vt:lpstr>Dev_Ops_Complete</vt:lpstr>
      <vt:lpstr>Dev_Ops_In_Current</vt:lpstr>
      <vt:lpstr>Dev_Ops_In_Max</vt:lpstr>
      <vt:lpstr>Dev_Ops_Out_Current</vt:lpstr>
      <vt:lpstr>Dev_Ops_Out_Max</vt:lpstr>
      <vt:lpstr>Dev_Ops_Q</vt:lpstr>
      <vt:lpstr>Dev_Plan_Complete</vt:lpstr>
      <vt:lpstr>Dev_Plan_In_Current</vt:lpstr>
      <vt:lpstr>Dev_Plan_In_Max</vt:lpstr>
      <vt:lpstr>Dev_Plan_Out_Current</vt:lpstr>
      <vt:lpstr>Dev_Plan_Out_Max</vt:lpstr>
      <vt:lpstr>Dev_Plan_Q</vt:lpstr>
      <vt:lpstr>Dev_Prep_Complete</vt:lpstr>
      <vt:lpstr>Dev_Prep_In_Current</vt:lpstr>
      <vt:lpstr>Dev_Prep_In_Max</vt:lpstr>
      <vt:lpstr>Dev_Prep_Out_Current</vt:lpstr>
      <vt:lpstr>Dev_Prep_Out_Max</vt:lpstr>
      <vt:lpstr>Dev_Prep_Q</vt:lpstr>
      <vt:lpstr>Dev_Roll_Complete</vt:lpstr>
      <vt:lpstr>Dev_Roll_In_Current</vt:lpstr>
      <vt:lpstr>Dev_Roll_In_Max</vt:lpstr>
      <vt:lpstr>Dev_Roll_Out_Current</vt:lpstr>
      <vt:lpstr>Dev_Roll_Out_Max</vt:lpstr>
      <vt:lpstr>Dev_Roll_Q</vt:lpstr>
      <vt:lpstr>Dev_Test_Complete</vt:lpstr>
      <vt:lpstr>Dev_Test_In_Current</vt:lpstr>
      <vt:lpstr>Dev_Test_In_Max</vt:lpstr>
      <vt:lpstr>Dev_Test_Out_Current</vt:lpstr>
      <vt:lpstr>Dev_Test_Out_Max</vt:lpstr>
      <vt:lpstr>Dev_Test_Q</vt:lpstr>
      <vt:lpstr>Health_Dev</vt:lpstr>
      <vt:lpstr>Health_DevP</vt:lpstr>
      <vt:lpstr>Health_Live</vt:lpstr>
      <vt:lpstr>Health_Ops</vt:lpstr>
      <vt:lpstr>Health_Plan</vt:lpstr>
      <vt:lpstr>Health_Prep</vt:lpstr>
      <vt:lpstr>Health_Roll</vt:lpstr>
      <vt:lpstr>Health_Test</vt:lpstr>
      <vt:lpstr>PM_Dev_Complete</vt:lpstr>
      <vt:lpstr>PM_Dev_In_Current</vt:lpstr>
      <vt:lpstr>PM_Dev_In_Max</vt:lpstr>
      <vt:lpstr>PM_Dev_Out_Current</vt:lpstr>
      <vt:lpstr>PM_Dev_Out_Max</vt:lpstr>
      <vt:lpstr>PM_Dev_Q</vt:lpstr>
      <vt:lpstr>PM_DevP_Complete</vt:lpstr>
      <vt:lpstr>PM_DevP_In_Current</vt:lpstr>
      <vt:lpstr>PM_DevP_In_Max</vt:lpstr>
      <vt:lpstr>PM_DevP_Out_Current</vt:lpstr>
      <vt:lpstr>PM_DevP_Out_Max</vt:lpstr>
      <vt:lpstr>PM_DevP_Q</vt:lpstr>
      <vt:lpstr>PM_Live_Complete</vt:lpstr>
      <vt:lpstr>PM_Live_In_Current</vt:lpstr>
      <vt:lpstr>PM_Live_In_Max</vt:lpstr>
      <vt:lpstr>PM_Live_Out_Current</vt:lpstr>
      <vt:lpstr>PM_Live_Out_Max</vt:lpstr>
      <vt:lpstr>PM_Live_Q</vt:lpstr>
      <vt:lpstr>PM_Ops_Complete</vt:lpstr>
      <vt:lpstr>PM_Ops_In_Current</vt:lpstr>
      <vt:lpstr>PM_Ops_In_Max</vt:lpstr>
      <vt:lpstr>PM_Ops_Out_Current</vt:lpstr>
      <vt:lpstr>PM_Ops_Out_Max</vt:lpstr>
      <vt:lpstr>PM_Ops_Q</vt:lpstr>
      <vt:lpstr>PM_Plan_Complete</vt:lpstr>
      <vt:lpstr>PM_Plan_In_Current</vt:lpstr>
      <vt:lpstr>PM_PLan_In_Max</vt:lpstr>
      <vt:lpstr>PM_Plan_Out_Current</vt:lpstr>
      <vt:lpstr>PM_Plan_Out_Max</vt:lpstr>
      <vt:lpstr>PM_Plan_Q</vt:lpstr>
      <vt:lpstr>PM_Prep_Complete</vt:lpstr>
      <vt:lpstr>PM_Prep_In_Current</vt:lpstr>
      <vt:lpstr>PM_Prep_In_Max</vt:lpstr>
      <vt:lpstr>PM_Prep_Out_Current</vt:lpstr>
      <vt:lpstr>PM_Prep_Out_Max</vt:lpstr>
      <vt:lpstr>PM_Prep_Q</vt:lpstr>
      <vt:lpstr>PM_Roll_Complete</vt:lpstr>
      <vt:lpstr>PM_Roll_In_Current</vt:lpstr>
      <vt:lpstr>PM_Roll_In_Max</vt:lpstr>
      <vt:lpstr>PM_Roll_Out_Current</vt:lpstr>
      <vt:lpstr>PM_Roll_Out_Max</vt:lpstr>
      <vt:lpstr>PM_Roll_Q</vt:lpstr>
      <vt:lpstr>PM_Test_Complete</vt:lpstr>
      <vt:lpstr>PM_Test_In_Current</vt:lpstr>
      <vt:lpstr>PM_Test_In_Max</vt:lpstr>
      <vt:lpstr>PM_Test_Out_Current</vt:lpstr>
      <vt:lpstr>PM_Test_Out_Max</vt:lpstr>
      <vt:lpstr>PM_Test_Q</vt:lpstr>
      <vt:lpstr>PS_DevP_Complete</vt:lpstr>
      <vt:lpstr>PS_DevP_In_Current</vt:lpstr>
      <vt:lpstr>PS_DevP_In_Max</vt:lpstr>
      <vt:lpstr>PS_DevP_Out_Current</vt:lpstr>
      <vt:lpstr>PS_DevP_Out_Max</vt:lpstr>
      <vt:lpstr>PS_DevP_Q</vt:lpstr>
      <vt:lpstr>PS_Live_Complete</vt:lpstr>
      <vt:lpstr>PS_Live_In_Current</vt:lpstr>
      <vt:lpstr>PS_Live_In_Max</vt:lpstr>
      <vt:lpstr>PS_Live_Out_Current</vt:lpstr>
      <vt:lpstr>PS_Live_Out_Max</vt:lpstr>
      <vt:lpstr>PS_Live_Q</vt:lpstr>
      <vt:lpstr>PS_Ops_Complete</vt:lpstr>
      <vt:lpstr>PS_Ops_In_Current</vt:lpstr>
      <vt:lpstr>PS_Ops_In_Max</vt:lpstr>
      <vt:lpstr>PS_Ops_Out_Current</vt:lpstr>
      <vt:lpstr>PS_Ops_Out_Max</vt:lpstr>
      <vt:lpstr>PS_Ops_Q</vt:lpstr>
      <vt:lpstr>PS_Plan_Complete</vt:lpstr>
      <vt:lpstr>PS_Plan_In_Current</vt:lpstr>
      <vt:lpstr>PS_Plan_In_Max</vt:lpstr>
      <vt:lpstr>PS_Plan_Out_Current</vt:lpstr>
      <vt:lpstr>PS_Plan_Out_Max</vt:lpstr>
      <vt:lpstr>PS_Plan_Q</vt:lpstr>
      <vt:lpstr>PS_Prep_Complete</vt:lpstr>
      <vt:lpstr>PS_Prep_In_Current</vt:lpstr>
      <vt:lpstr>PS_Prep_In_Max</vt:lpstr>
      <vt:lpstr>PS_Prep_Out_Current</vt:lpstr>
      <vt:lpstr>PS_Prep_Out_Max</vt:lpstr>
      <vt:lpstr>PS_Prep_Q</vt:lpstr>
      <vt:lpstr>PS_Roll_Complete</vt:lpstr>
      <vt:lpstr>PS_Roll_In_Current</vt:lpstr>
      <vt:lpstr>PS_Roll_In_Max</vt:lpstr>
      <vt:lpstr>PS_Roll_Out_Current</vt:lpstr>
      <vt:lpstr>PS_Roll_Out_Max</vt:lpstr>
      <vt:lpstr>PS_Roll_Q</vt:lpstr>
      <vt:lpstr>PS_Test_Complete</vt:lpstr>
      <vt:lpstr>PS_Test_In_Current</vt:lpstr>
      <vt:lpstr>PS_Test_In_Max</vt:lpstr>
      <vt:lpstr>PS_Test_Out_Current</vt:lpstr>
      <vt:lpstr>PS_Test_Out_Max</vt:lpstr>
      <vt:lpstr>PS_Test_Q</vt:lpstr>
      <vt:lpstr>QA_Dev_Complete</vt:lpstr>
      <vt:lpstr>QA_Dev_In_Current</vt:lpstr>
      <vt:lpstr>QA_Dev_In_Max</vt:lpstr>
      <vt:lpstr>QA_Dev_Out_Current</vt:lpstr>
      <vt:lpstr>QA_Dev_Out_Max</vt:lpstr>
      <vt:lpstr>QA_Dev_Q</vt:lpstr>
      <vt:lpstr>QA_DevP_Complete</vt:lpstr>
      <vt:lpstr>QA_DevP_In_Current</vt:lpstr>
      <vt:lpstr>QA_DevP_In_Max</vt:lpstr>
      <vt:lpstr>QA_DevP_Out_Current</vt:lpstr>
      <vt:lpstr>QA_DevP_Out_Max</vt:lpstr>
      <vt:lpstr>QA_DevP_Q</vt:lpstr>
      <vt:lpstr>QA_Live_Complete</vt:lpstr>
      <vt:lpstr>QA_Live_In_Current</vt:lpstr>
      <vt:lpstr>QA_Live_In_Max</vt:lpstr>
      <vt:lpstr>QA_Live_Out_Current</vt:lpstr>
      <vt:lpstr>QA_Live_Out_Max</vt:lpstr>
      <vt:lpstr>QA_Live_Q</vt:lpstr>
      <vt:lpstr>QA_Plan_Complete</vt:lpstr>
      <vt:lpstr>QA_Plan_In_Current</vt:lpstr>
      <vt:lpstr>QA_Plan_In_Max</vt:lpstr>
      <vt:lpstr>QA_Plan_Out_Current</vt:lpstr>
      <vt:lpstr>QA_Plan_Out_Max</vt:lpstr>
      <vt:lpstr>QA_Plan_Q</vt:lpstr>
      <vt:lpstr>QA_Prep_Complete</vt:lpstr>
      <vt:lpstr>QA_Prep_In_Current</vt:lpstr>
      <vt:lpstr>QA_Prep_In_Max</vt:lpstr>
      <vt:lpstr>QA_Prep_Out_Current</vt:lpstr>
      <vt:lpstr>QA_Prep_Out_Max</vt:lpstr>
      <vt:lpstr>QA_Prep_Q</vt:lpstr>
      <vt:lpstr>QA_Test_Complete</vt:lpstr>
      <vt:lpstr>QA_Test_In_Current</vt:lpstr>
      <vt:lpstr>QA_Test_In_Max</vt:lpstr>
      <vt:lpstr>QA_Test_Out_Current</vt:lpstr>
      <vt:lpstr>QA_Test_Out_Max</vt:lpstr>
      <vt:lpstr>QA_Test_Q</vt:lpstr>
      <vt:lpstr>Quality_Dev</vt:lpstr>
      <vt:lpstr>Quality_DevP</vt:lpstr>
      <vt:lpstr>Quality_Live</vt:lpstr>
      <vt:lpstr>Quality_Ops</vt:lpstr>
      <vt:lpstr>Quality_Plan</vt:lpstr>
      <vt:lpstr>Quality_Prep</vt:lpstr>
      <vt:lpstr>Quality_Roll</vt:lpstr>
      <vt:lpstr>Quality_Test</vt:lpstr>
      <vt:lpstr>SE_Dev_Complete</vt:lpstr>
      <vt:lpstr>SE_Dev_In_Current</vt:lpstr>
      <vt:lpstr>SE_Dev_In_Max</vt:lpstr>
      <vt:lpstr>SE_Dev_Out_Current</vt:lpstr>
      <vt:lpstr>SE_Dev_Out_Max</vt:lpstr>
      <vt:lpstr>SE_Dev_Q</vt:lpstr>
      <vt:lpstr>SE_DevP_Complete</vt:lpstr>
      <vt:lpstr>SE_DevP_In_Current</vt:lpstr>
      <vt:lpstr>SE_DevP_In_Max</vt:lpstr>
      <vt:lpstr>SE_DevP_Out_Current</vt:lpstr>
      <vt:lpstr>SE_DevP_Out_Max</vt:lpstr>
      <vt:lpstr>SE_DevP_Q</vt:lpstr>
      <vt:lpstr>SE_Live_Complete</vt:lpstr>
      <vt:lpstr>SE_Live_In_Current</vt:lpstr>
      <vt:lpstr>SE_Live_In_Max</vt:lpstr>
      <vt:lpstr>SE_Live_Out_Current</vt:lpstr>
      <vt:lpstr>SE_Live_Out_Max</vt:lpstr>
      <vt:lpstr>SE_Live_Q</vt:lpstr>
      <vt:lpstr>SE_Ops_Complete</vt:lpstr>
      <vt:lpstr>SE_Ops_In_Current</vt:lpstr>
      <vt:lpstr>SE_Ops_In_Max</vt:lpstr>
      <vt:lpstr>SE_Ops_Out_Current</vt:lpstr>
      <vt:lpstr>SE_Ops_Out_Max</vt:lpstr>
      <vt:lpstr>SE_Ops_Q</vt:lpstr>
      <vt:lpstr>SE_Plan_Complete</vt:lpstr>
      <vt:lpstr>SE_Plan_In_Current</vt:lpstr>
      <vt:lpstr>SE_Plan_In_Max</vt:lpstr>
      <vt:lpstr>SE_Plan_Out_Current</vt:lpstr>
      <vt:lpstr>SE_Plan_Out_Max</vt:lpstr>
      <vt:lpstr>SE_Plan_Q</vt:lpstr>
      <vt:lpstr>SE_Prep_Complete</vt:lpstr>
      <vt:lpstr>SE_Prep_In_Current</vt:lpstr>
      <vt:lpstr>SE_Prep_In_Max</vt:lpstr>
      <vt:lpstr>SE_Prep_Out_Current</vt:lpstr>
      <vt:lpstr>SE_Prep_Out_Max</vt:lpstr>
      <vt:lpstr>SE_Prep_Q</vt:lpstr>
      <vt:lpstr>SE_Roll_Complete</vt:lpstr>
      <vt:lpstr>SE_Roll_In_Current</vt:lpstr>
      <vt:lpstr>SE_Roll_In_Max</vt:lpstr>
      <vt:lpstr>SE_Roll_Out_Current</vt:lpstr>
      <vt:lpstr>SE_Roll_Out_Max</vt:lpstr>
      <vt:lpstr>SE_Roll_Q</vt:lpstr>
      <vt:lpstr>SE_Test_Complete</vt:lpstr>
      <vt:lpstr>SE_Test_In_Current</vt:lpstr>
      <vt:lpstr>SE_Test_In_Max</vt:lpstr>
      <vt:lpstr>SE_Test_Out_Current</vt:lpstr>
      <vt:lpstr>SE_Test_Out_Max</vt:lpstr>
      <vt:lpstr>SE_Test_Q</vt:lpstr>
      <vt:lpstr>SL_DevP_Complete</vt:lpstr>
      <vt:lpstr>SL_DevP_In_Current</vt:lpstr>
      <vt:lpstr>SL_DevP_In_Max</vt:lpstr>
      <vt:lpstr>SL_DevP_Out_Current</vt:lpstr>
      <vt:lpstr>SL_DevP_Out_Max</vt:lpstr>
      <vt:lpstr>SL_DevP_Q</vt:lpstr>
      <vt:lpstr>SL_Live_Complete</vt:lpstr>
      <vt:lpstr>SL_Live_In_Current</vt:lpstr>
      <vt:lpstr>SL_Live_In_Max</vt:lpstr>
      <vt:lpstr>SL_Live_Out_Current</vt:lpstr>
      <vt:lpstr>SL_Live_Out_Max</vt:lpstr>
      <vt:lpstr>SL_Live_Q</vt:lpstr>
      <vt:lpstr>SL_Ops_Complete</vt:lpstr>
      <vt:lpstr>SL_Ops_In_Current</vt:lpstr>
      <vt:lpstr>SL_Ops_In_Max</vt:lpstr>
      <vt:lpstr>SL_Ops_Out_Current</vt:lpstr>
      <vt:lpstr>SL_Ops_Out_Max</vt:lpstr>
      <vt:lpstr>SL_Ops_Q</vt:lpstr>
      <vt:lpstr>SL_Plan_Complete</vt:lpstr>
      <vt:lpstr>SL_Plan_In_Current</vt:lpstr>
      <vt:lpstr>SL_Plan_In_Max</vt:lpstr>
      <vt:lpstr>SL_Plan_Out_Current</vt:lpstr>
      <vt:lpstr>SL_Plan_Out_Max</vt:lpstr>
      <vt:lpstr>SL_Plan_Q</vt:lpstr>
      <vt:lpstr>SL_Roll_Complete</vt:lpstr>
      <vt:lpstr>SL_Roll_In_Current</vt:lpstr>
      <vt:lpstr>SL_Roll_In_Max</vt:lpstr>
      <vt:lpstr>SL_Roll_Out_Current</vt:lpstr>
      <vt:lpstr>SL_Roll_Out_Max</vt:lpstr>
      <vt:lpstr>SL_Roll_Q</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Alison Heimoz</cp:lastModifiedBy>
  <dcterms:modified xsi:type="dcterms:W3CDTF">2020-12-15T08:01:06Z</dcterms:modified>
</cp:coreProperties>
</file>