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D:\Sexto semestre\Desarrollo de software\"/>
    </mc:Choice>
  </mc:AlternateContent>
  <xr:revisionPtr revIDLastSave="0" documentId="13_ncr:1_{CB5C9F1B-0759-4282-BDE0-ED9D3D0EA747}" xr6:coauthVersionLast="36" xr6:coauthVersionMax="38" xr10:uidLastSave="{00000000-0000-0000-0000-000000000000}"/>
  <bookViews>
    <workbookView xWindow="0" yWindow="0" windowWidth="23040" windowHeight="9204" tabRatio="752" activeTab="3" xr2:uid="{00000000-000D-0000-FFFF-FFFF00000000}"/>
  </bookViews>
  <sheets>
    <sheet name="Inf.Gral" sheetId="38" r:id="rId1"/>
    <sheet name="Instrucciones" sheetId="36" r:id="rId2"/>
    <sheet name="Factor de complejidad Téc y Amb" sheetId="37" r:id="rId3"/>
    <sheet name="Estimación de Tamaño UCP" sheetId="35" r:id="rId4"/>
    <sheet name="Estimación de Esfuerzo" sheetId="26" r:id="rId5"/>
    <sheet name="Recursos" sheetId="40" r:id="rId6"/>
  </sheets>
  <externalReferences>
    <externalReference r:id="rId7"/>
    <externalReference r:id="rId8"/>
    <externalReference r:id="rId9"/>
    <externalReference r:id="rId10"/>
  </externalReferences>
  <definedNames>
    <definedName name="AvanceEstFecha">'[1]Métricas Base Workflow'!$F$95</definedName>
    <definedName name="BACHrs">'[2]Esfuerzo, Costos y Tamaño'!#REF!</definedName>
    <definedName name="BACPesos">'[2]Esfuerzo, Costos y Tamaño'!#REF!</definedName>
    <definedName name="Complej.">#REF!</definedName>
    <definedName name="Concluido">#REF!</definedName>
    <definedName name="CVHrs">'[2]Esfuerzo, Costos y Tamaño'!#REF!</definedName>
    <definedName name="Desicion">#REF!</definedName>
    <definedName name="Desición">#REF!</definedName>
    <definedName name="EACHrs">'[2]Esfuerzo, Costos y Tamaño'!#REF!</definedName>
    <definedName name="Entregables">#REF!</definedName>
    <definedName name="Locacion">[3]Parámetros!$B$1:$B$4</definedName>
    <definedName name="mstProjectResources">OFFSET([4]Masters!$N$2,0,0,COUNTA([4]Masters!$N$1:$N$65536)-1)</definedName>
    <definedName name="Ocupacion">#REF!</definedName>
    <definedName name="SPIHrs">'[2]Esfuerzo, Costos y Tamaño'!#REF!</definedName>
    <definedName name="SVHrs">'[2]Esfuerzo, Costos y Tamaño'!#REF!</definedName>
    <definedName name="UEN">[3]Parámetros!$A$1:$A$2</definedName>
    <definedName name="ValorActualHrs">'[2]Esfuerzo, Costos y Tamaño'!#REF!</definedName>
    <definedName name="ValorActualPesos">'[2]Esfuerzo, Costos y Tamaño'!#REF!</definedName>
    <definedName name="ValorGanadoHrs">'[2]Esfuerzo, Costos y Tamaño'!#REF!</definedName>
    <definedName name="ValorPlaneadoHrs">'[2]Esfuerzo, Costos y Tamaño'!#REF!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51" i="35" l="1"/>
  <c r="G51" i="35" s="1"/>
  <c r="F52" i="35"/>
  <c r="G52" i="35" s="1"/>
  <c r="F37" i="35"/>
  <c r="G37" i="35" s="1"/>
  <c r="F38" i="35"/>
  <c r="G38" i="35" s="1"/>
  <c r="F39" i="35"/>
  <c r="G39" i="35" s="1"/>
  <c r="F40" i="35"/>
  <c r="G40" i="35" s="1"/>
  <c r="F41" i="35"/>
  <c r="G41" i="35" s="1"/>
  <c r="F42" i="35"/>
  <c r="G42" i="35" s="1"/>
  <c r="F43" i="35"/>
  <c r="G43" i="35" s="1"/>
  <c r="F44" i="35"/>
  <c r="G44" i="35" s="1"/>
  <c r="F45" i="35"/>
  <c r="G45" i="35" s="1"/>
  <c r="F46" i="35"/>
  <c r="G46" i="35" s="1"/>
  <c r="F47" i="35"/>
  <c r="G47" i="35" s="1"/>
  <c r="F48" i="35"/>
  <c r="G48" i="35" s="1"/>
  <c r="F49" i="35"/>
  <c r="G49" i="35"/>
  <c r="F50" i="35"/>
  <c r="G50" i="35" s="1"/>
  <c r="F34" i="35"/>
  <c r="G34" i="35" s="1"/>
  <c r="F35" i="35"/>
  <c r="G35" i="35" s="1"/>
  <c r="F36" i="35"/>
  <c r="G36" i="35" s="1"/>
  <c r="D10" i="40" l="1"/>
  <c r="D4" i="40"/>
  <c r="D5" i="40"/>
  <c r="D6" i="40"/>
  <c r="D7" i="40"/>
  <c r="D8" i="40"/>
  <c r="D9" i="40"/>
  <c r="D3" i="40"/>
  <c r="F15" i="35" l="1"/>
  <c r="G15" i="35" s="1"/>
  <c r="F16" i="35"/>
  <c r="G16" i="35" s="1"/>
  <c r="F17" i="35"/>
  <c r="G17" i="35" s="1"/>
  <c r="F18" i="35"/>
  <c r="G18" i="35" s="1"/>
  <c r="F19" i="35"/>
  <c r="G19" i="35" s="1"/>
  <c r="F20" i="35"/>
  <c r="G20" i="35" s="1"/>
  <c r="F21" i="35"/>
  <c r="G21" i="35" s="1"/>
  <c r="F22" i="35"/>
  <c r="G22" i="35" s="1"/>
  <c r="F23" i="35"/>
  <c r="G23" i="35" s="1"/>
  <c r="F24" i="35"/>
  <c r="G24" i="35" s="1"/>
  <c r="F25" i="35"/>
  <c r="G25" i="35" s="1"/>
  <c r="F26" i="35"/>
  <c r="G26" i="35" s="1"/>
  <c r="F27" i="35"/>
  <c r="G27" i="35" s="1"/>
  <c r="F28" i="35"/>
  <c r="G28" i="35" s="1"/>
  <c r="F29" i="35"/>
  <c r="G29" i="35" s="1"/>
  <c r="F30" i="35"/>
  <c r="G30" i="35" s="1"/>
  <c r="F31" i="35"/>
  <c r="G31" i="35" s="1"/>
  <c r="F32" i="35"/>
  <c r="G32" i="35" s="1"/>
  <c r="F33" i="35"/>
  <c r="G33" i="35" s="1"/>
  <c r="F14" i="35" l="1"/>
  <c r="F13" i="35"/>
  <c r="F10" i="35"/>
  <c r="F11" i="35"/>
  <c r="F12" i="35"/>
  <c r="F9" i="35"/>
  <c r="F7" i="35"/>
  <c r="F8" i="35"/>
  <c r="F6" i="35"/>
  <c r="F5" i="35"/>
  <c r="D4" i="26" l="1"/>
  <c r="C20" i="40" l="1"/>
  <c r="E22" i="40" s="1"/>
  <c r="E3" i="40" s="1"/>
  <c r="G9" i="35"/>
  <c r="G10" i="35"/>
  <c r="G11" i="35"/>
  <c r="G12" i="35"/>
  <c r="G14" i="35"/>
  <c r="G5" i="35"/>
  <c r="G6" i="35"/>
  <c r="G7" i="35"/>
  <c r="F14" i="37"/>
  <c r="F16" i="37"/>
  <c r="F30" i="37"/>
  <c r="F31" i="37"/>
  <c r="F32" i="37"/>
  <c r="F33" i="37"/>
  <c r="F34" i="37"/>
  <c r="F35" i="37"/>
  <c r="F36" i="37"/>
  <c r="F37" i="37"/>
  <c r="F11" i="37"/>
  <c r="F12" i="37"/>
  <c r="F13" i="37"/>
  <c r="F15" i="37"/>
  <c r="F17" i="37"/>
  <c r="F18" i="37"/>
  <c r="F19" i="37"/>
  <c r="F20" i="37"/>
  <c r="F21" i="37"/>
  <c r="F22" i="37"/>
  <c r="F23" i="37"/>
  <c r="G13" i="35"/>
  <c r="G8" i="35"/>
  <c r="H42" i="26" l="1"/>
  <c r="H41" i="26"/>
  <c r="H19" i="26"/>
  <c r="H20" i="26"/>
  <c r="F38" i="37"/>
  <c r="H28" i="37"/>
  <c r="H9" i="37"/>
  <c r="F24" i="37"/>
  <c r="E9" i="40"/>
  <c r="E10" i="40"/>
  <c r="E8" i="40"/>
  <c r="H45" i="26" s="1"/>
  <c r="E7" i="40"/>
  <c r="E4" i="40"/>
  <c r="E6" i="40"/>
  <c r="E5" i="40"/>
  <c r="G3" i="35" l="1"/>
  <c r="H14" i="26"/>
  <c r="H12" i="26"/>
  <c r="H28" i="26"/>
  <c r="H13" i="26"/>
  <c r="H11" i="26"/>
  <c r="H16" i="26"/>
  <c r="H30" i="26"/>
  <c r="H33" i="26"/>
  <c r="H36" i="26"/>
  <c r="H31" i="26"/>
  <c r="H34" i="26"/>
  <c r="H32" i="26"/>
  <c r="H35" i="26"/>
  <c r="H26" i="26"/>
  <c r="H40" i="26"/>
  <c r="H39" i="26"/>
  <c r="H38" i="26"/>
  <c r="H10" i="26"/>
  <c r="H46" i="26"/>
  <c r="H29" i="26"/>
  <c r="H21" i="26"/>
  <c r="H47" i="26"/>
  <c r="H17" i="26"/>
  <c r="H22" i="26"/>
  <c r="H44" i="26"/>
  <c r="H18" i="26"/>
  <c r="H23" i="26"/>
  <c r="H25" i="26"/>
  <c r="H24" i="26"/>
  <c r="D5" i="26" l="1"/>
  <c r="E31" i="26" s="1"/>
  <c r="E27" i="26" l="1"/>
  <c r="E43" i="26" l="1"/>
  <c r="E45" i="26" s="1"/>
  <c r="I45" i="26" s="1"/>
  <c r="E37" i="26"/>
  <c r="E39" i="26" s="1"/>
  <c r="I39" i="26" s="1"/>
  <c r="I31" i="26"/>
  <c r="E9" i="26"/>
  <c r="E10" i="26" s="1"/>
  <c r="E15" i="26"/>
  <c r="E35" i="26"/>
  <c r="I35" i="26" s="1"/>
  <c r="E36" i="26"/>
  <c r="I36" i="26" s="1"/>
  <c r="E32" i="26"/>
  <c r="I32" i="26" s="1"/>
  <c r="E33" i="26"/>
  <c r="I33" i="26" s="1"/>
  <c r="E29" i="26"/>
  <c r="I29" i="26" s="1"/>
  <c r="E30" i="26"/>
  <c r="I30" i="26" s="1"/>
  <c r="E34" i="26"/>
  <c r="I34" i="26" s="1"/>
  <c r="E28" i="26"/>
  <c r="I28" i="26" s="1"/>
  <c r="E14" i="26" l="1"/>
  <c r="I14" i="26" s="1"/>
  <c r="E11" i="26"/>
  <c r="I11" i="26" s="1"/>
  <c r="E13" i="26"/>
  <c r="I13" i="26" s="1"/>
  <c r="I27" i="26"/>
  <c r="E7" i="26"/>
  <c r="F3" i="26" s="1"/>
  <c r="F4" i="26" s="1"/>
  <c r="E44" i="26"/>
  <c r="I44" i="26" s="1"/>
  <c r="E40" i="26"/>
  <c r="I40" i="26" s="1"/>
  <c r="E41" i="26"/>
  <c r="I41" i="26" s="1"/>
  <c r="E42" i="26"/>
  <c r="I42" i="26" s="1"/>
  <c r="E38" i="26"/>
  <c r="I38" i="26" s="1"/>
  <c r="E12" i="26"/>
  <c r="I12" i="26" s="1"/>
  <c r="E46" i="26"/>
  <c r="I46" i="26" s="1"/>
  <c r="E26" i="26"/>
  <c r="I26" i="26" s="1"/>
  <c r="E47" i="26"/>
  <c r="I47" i="26" s="1"/>
  <c r="E25" i="26"/>
  <c r="I25" i="26" s="1"/>
  <c r="E23" i="26"/>
  <c r="I23" i="26" s="1"/>
  <c r="E24" i="26"/>
  <c r="I24" i="26" s="1"/>
  <c r="E18" i="26"/>
  <c r="I18" i="26" s="1"/>
  <c r="E19" i="26"/>
  <c r="I19" i="26" s="1"/>
  <c r="E20" i="26"/>
  <c r="I20" i="26" s="1"/>
  <c r="E21" i="26"/>
  <c r="I21" i="26" s="1"/>
  <c r="E22" i="26"/>
  <c r="I22" i="26" s="1"/>
  <c r="E17" i="26"/>
  <c r="I17" i="26" s="1"/>
  <c r="E16" i="26"/>
  <c r="I16" i="26" s="1"/>
  <c r="I15" i="26" l="1"/>
  <c r="I43" i="26"/>
  <c r="I37" i="26"/>
  <c r="F5" i="26"/>
  <c r="I10" i="26"/>
  <c r="I9" i="26" s="1"/>
  <c r="I48" i="26" l="1"/>
  <c r="I49" i="26" l="1"/>
  <c r="I50" i="26" l="1"/>
  <c r="I51"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 Acosta</author>
  </authors>
  <commentList>
    <comment ref="E8" authorId="0" shapeId="0" xr:uid="{00000000-0006-0000-0400-000001000000}">
      <text>
        <r>
          <rPr>
            <b/>
            <sz val="8"/>
            <color indexed="81"/>
            <rFont val="Tahoma"/>
            <family val="2"/>
          </rPr>
          <t xml:space="preserve">Esfuerzo estimado en horas: </t>
        </r>
        <r>
          <rPr>
            <sz val="8"/>
            <color indexed="81"/>
            <rFont val="Tahoma"/>
            <family val="2"/>
          </rPr>
          <t>Se tiene que agregar la cantidad de horas planeadas para cada actividad. Se tienen que llenar los espacios en blanco. Los espacios en gris se generan automáticamente al llenar los espacios en blanco.</t>
        </r>
      </text>
    </comment>
  </commentList>
</comments>
</file>

<file path=xl/sharedStrings.xml><?xml version="1.0" encoding="utf-8"?>
<sst xmlns="http://schemas.openxmlformats.org/spreadsheetml/2006/main" count="434" uniqueCount="246">
  <si>
    <t>Nº</t>
  </si>
  <si>
    <t>%</t>
  </si>
  <si>
    <t>Valor</t>
  </si>
  <si>
    <t>Descripción</t>
  </si>
  <si>
    <t>Fecha</t>
  </si>
  <si>
    <t>Autor</t>
  </si>
  <si>
    <t>Versión</t>
  </si>
  <si>
    <t>ESTIMACION DE TAMAÑO</t>
  </si>
  <si>
    <t>Nombre del Caso de Uso</t>
  </si>
  <si>
    <t>HISTORIAL DE REVISIONES</t>
  </si>
  <si>
    <t>Simple</t>
  </si>
  <si>
    <t>* Interfaz de usuario compleja. 
* Toca 3 o mas entidades de bases de datos. 
* Toma mas de 7 pasos o transacciones en el caso de uso. 
* Su implementación involucra mas de 10 clases. 
* Interacción con Interfaces adicionales alta</t>
  </si>
  <si>
    <t>Sistema Distribuido</t>
  </si>
  <si>
    <t>Facilidad de Instalación</t>
  </si>
  <si>
    <t>Facilidad de uso</t>
  </si>
  <si>
    <t>Portabilidad</t>
  </si>
  <si>
    <t>Concurrencia</t>
  </si>
  <si>
    <t>Peso</t>
  </si>
  <si>
    <t>Objetivos de performance o tiempo de respuesta</t>
  </si>
  <si>
    <t>Eficiencia del usuario final</t>
  </si>
  <si>
    <t>Procesamiento interno complejo</t>
  </si>
  <si>
    <t>El código debe ser reutilizable</t>
  </si>
  <si>
    <t>Incluye objetivos especiales de seguridad</t>
  </si>
  <si>
    <t>Se requieren facilidades especiales de entrenamiento a usuarios</t>
  </si>
  <si>
    <t>T1</t>
  </si>
  <si>
    <t>T2</t>
  </si>
  <si>
    <t>T3</t>
  </si>
  <si>
    <t>T4</t>
  </si>
  <si>
    <t>T5</t>
  </si>
  <si>
    <t>T6</t>
  </si>
  <si>
    <t>T7</t>
  </si>
  <si>
    <t>T8</t>
  </si>
  <si>
    <t>T9</t>
  </si>
  <si>
    <t>T10</t>
  </si>
  <si>
    <t>T11</t>
  </si>
  <si>
    <t>T12</t>
  </si>
  <si>
    <t>T13</t>
  </si>
  <si>
    <t>Factor 
Calculado</t>
  </si>
  <si>
    <t>Comentarios</t>
  </si>
  <si>
    <t>Factor Técnico Total:</t>
  </si>
  <si>
    <t>Factor de Complejidad Ambiental (ECF)</t>
  </si>
  <si>
    <t>E1</t>
  </si>
  <si>
    <t>E2</t>
  </si>
  <si>
    <t>E3</t>
  </si>
  <si>
    <t>E4</t>
  </si>
  <si>
    <t>E5</t>
  </si>
  <si>
    <t>E6</t>
  </si>
  <si>
    <t>E7</t>
  </si>
  <si>
    <t>E8</t>
  </si>
  <si>
    <t>Familiaridad con el modelo y/o proceso utilizado</t>
  </si>
  <si>
    <t>Factor Ambiental Total:</t>
  </si>
  <si>
    <t>Experiencia en la aplicación</t>
  </si>
  <si>
    <t>Experiencia en orientación a objetos</t>
  </si>
  <si>
    <t>Motivación</t>
  </si>
  <si>
    <t>Estabilidad de los requerimientos</t>
  </si>
  <si>
    <t>Persona de medio-tiempo</t>
  </si>
  <si>
    <t>Dificultad del lenguaje de programación</t>
  </si>
  <si>
    <t>Reuso</t>
  </si>
  <si>
    <t>Peso Ajustado</t>
  </si>
  <si>
    <t>Categoria</t>
  </si>
  <si>
    <t>Total UCP:</t>
  </si>
  <si>
    <t>Factor 
Ambiental</t>
  </si>
  <si>
    <t>Factor 
Técnico</t>
  </si>
  <si>
    <t>Factor Técnico Calculado</t>
  </si>
  <si>
    <t>Factor Ambiental Calculado</t>
  </si>
  <si>
    <t>Factor de Productividad</t>
  </si>
  <si>
    <t>Duración estimada en semanas a partir del KickOff</t>
  </si>
  <si>
    <t>Duración en Semanas</t>
  </si>
  <si>
    <t>Promedio</t>
  </si>
  <si>
    <t>Complejo</t>
  </si>
  <si>
    <t>ESTIMACIÓN DE ESFUERZO</t>
  </si>
  <si>
    <t>Facilidad de cambio</t>
  </si>
  <si>
    <t>Capacidad de analista líder</t>
  </si>
  <si>
    <t>* Interfaz de usuario simple. 
* Toca únicamente una entidad de base de datos. 
* Se escenario de éxito consiste de 3 pasos o menos. 
* Su implementación involucra menos de 5 clases. 
* Interacción con Interfaces baja</t>
  </si>
  <si>
    <t>Factor Técnico</t>
  </si>
  <si>
    <t>Provee acceso directo a terceras partes</t>
  </si>
  <si>
    <t>Factor de Complejidad Técnico (TCF)</t>
  </si>
  <si>
    <t>Cliente</t>
  </si>
  <si>
    <t>Proyecto</t>
  </si>
  <si>
    <t>Estimaciones del Proyecto</t>
  </si>
  <si>
    <t>Categoría de CU</t>
  </si>
  <si>
    <t>Complejidad</t>
  </si>
  <si>
    <t xml:space="preserve"> </t>
  </si>
  <si>
    <t>Para el Análisis de los casos de uso y su categoría se debe tomar en cuenta si alguno de los puntos de la descripción aplica para ellos</t>
  </si>
  <si>
    <t>* Diseño de interfaz promedio. 
* Toca 2 o mas entidades de bases de datos. 
* Se necesitan de 4 a 7 pasos o transacciones. 
* Su implementación involucra entre 5 y 10 clases. 
* Interacción con Interfaces adicionales media</t>
  </si>
  <si>
    <t>Factor de Complejidad Ambiental FCA (Environmental Complexity Factor)</t>
  </si>
  <si>
    <t>Factor de Complejidad Técnica FCT (Technical Complexity Factor)</t>
  </si>
  <si>
    <t>Descripción de las categorías de los Casos de Uso</t>
  </si>
  <si>
    <t>Costo</t>
  </si>
  <si>
    <t>Líder de proyecto</t>
  </si>
  <si>
    <t>Tester</t>
  </si>
  <si>
    <t>Salario por hora</t>
  </si>
  <si>
    <t>Salario por hora integrada</t>
  </si>
  <si>
    <t>Internet -Telefono</t>
  </si>
  <si>
    <t>Papelería</t>
  </si>
  <si>
    <t>Renta</t>
  </si>
  <si>
    <t>Luz</t>
  </si>
  <si>
    <t>Agua</t>
  </si>
  <si>
    <t>GASTO MENSUAL</t>
  </si>
  <si>
    <t>NÚMERO DE EMPLEADOS</t>
  </si>
  <si>
    <t>COSTO POR HORA</t>
  </si>
  <si>
    <t>Tipo de Recurso</t>
  </si>
  <si>
    <t xml:space="preserve">Administración de la Configuración (CM) </t>
  </si>
  <si>
    <t>Costo Total del desarrollo del  Proyecto</t>
  </si>
  <si>
    <t>Aseguramiento de la Calidad</t>
  </si>
  <si>
    <t>Limpieza y Jardinería</t>
  </si>
  <si>
    <t>Articulos de limpieza y despensa</t>
  </si>
  <si>
    <t>Factor de Productividad en hrs/cup</t>
  </si>
  <si>
    <t>Esfuerzo en Horas</t>
  </si>
  <si>
    <t>GANANCIA</t>
  </si>
  <si>
    <t>IVA</t>
  </si>
  <si>
    <t>PRECIO TOTAL</t>
  </si>
  <si>
    <t>El factor de productividad es aquel que nos permite saber cuantas horas toma realizar un punto de caso de uso. Este factor debe ser tomado de datos históricos de proyectos similares.</t>
  </si>
  <si>
    <t>La duración estimada en semanas nos sirve para calcular la cantidad de actividades de algunos workflows (flijos de trabajo) que son fijos y que dichas actividades son periódicas. Este valor será modificado conforme se tengan registros históricos de productividad por flujos de trabajo.</t>
  </si>
  <si>
    <r>
      <rPr>
        <b/>
        <sz val="11"/>
        <rFont val="Calibri"/>
        <family val="2"/>
      </rPr>
      <t>Valor:</t>
    </r>
    <r>
      <rPr>
        <sz val="11"/>
        <rFont val="Calibri"/>
        <family val="2"/>
      </rPr>
      <t xml:space="preserve"> Representa el grado de importancia del Factor de Complejidad en el proyecto. El valor va desde 0 al 5 tomando en cuenta que 0 es irrelevante para el proyecto y 5 que es un aporte muy importante.</t>
    </r>
    <r>
      <rPr>
        <i/>
        <sz val="11"/>
        <rFont val="Calibri"/>
        <family val="2"/>
      </rPr>
      <t xml:space="preserve"> </t>
    </r>
  </si>
  <si>
    <r>
      <rPr>
        <b/>
        <sz val="11"/>
        <rFont val="Calibri"/>
        <family val="2"/>
        <scheme val="minor"/>
      </rPr>
      <t>Complejidad</t>
    </r>
    <r>
      <rPr>
        <sz val="11"/>
        <rFont val="Calibri"/>
        <family val="2"/>
        <scheme val="minor"/>
      </rPr>
      <t xml:space="preserve">: Se refiere a la dificultas que el Factor de Complejidad ya sea Técnico o Ambiental puede presentar cuando se realice el proyecto. </t>
    </r>
  </si>
  <si>
    <t xml:space="preserve">MÉTODO DE ESTIMACIÓN: </t>
  </si>
  <si>
    <t>PUNTOS DE CASO DE USO</t>
  </si>
  <si>
    <t>Existen 13 factores técnicos estándar para estimar el impacto en la productividad de diversas cuestiones técnicas que tienen en una aplicación</t>
  </si>
  <si>
    <t>Ciclo de Vida del Proyecto</t>
  </si>
  <si>
    <t>Existen 8 factores técnicos estándar para estimar el impacto en la productividad de diversas cuestiones ambientales que tienen en una aplicación</t>
  </si>
  <si>
    <t>Generar Propuesta del Proyecto</t>
  </si>
  <si>
    <t>Realizar Especificación de Requerimientos</t>
  </si>
  <si>
    <t>Generar Cronograma</t>
  </si>
  <si>
    <t>Asignar Recursos</t>
  </si>
  <si>
    <t>Identificar Riesgos</t>
  </si>
  <si>
    <t>Generar Plan de Proyecto</t>
  </si>
  <si>
    <t>Validar Plan de Proyecto</t>
  </si>
  <si>
    <t>Realizar Presentación de Kick Off</t>
  </si>
  <si>
    <t>Asistir Presentación de Kick Off</t>
  </si>
  <si>
    <t>Generar Casos de Prueba</t>
  </si>
  <si>
    <t>Asignar Tareas</t>
  </si>
  <si>
    <t>Desarrollar Software</t>
  </si>
  <si>
    <t>Realizar Pruebas Unitarias</t>
  </si>
  <si>
    <t>Integrar Software</t>
  </si>
  <si>
    <t>Realizar Pruebas Integrales</t>
  </si>
  <si>
    <t>Realizar Pruebas de Sistema</t>
  </si>
  <si>
    <t>Generar Documento de Aceptación</t>
  </si>
  <si>
    <t>Vendedor</t>
  </si>
  <si>
    <t>Analista de Requerimientos</t>
  </si>
  <si>
    <t>Responsable de calidad</t>
  </si>
  <si>
    <t>Desarrollador</t>
  </si>
  <si>
    <t>Responsable de configuración</t>
  </si>
  <si>
    <t>Responsable de medición</t>
  </si>
  <si>
    <t>Arquitectura de 3 Capas</t>
  </si>
  <si>
    <t>Performance Estándar en el Server</t>
  </si>
  <si>
    <t>Alta Eficiencia para el Usuario final</t>
  </si>
  <si>
    <t>Procesamiento Complejo promedio</t>
  </si>
  <si>
    <t>Código Altamente reusable</t>
  </si>
  <si>
    <t>Instalación normal</t>
  </si>
  <si>
    <t>Muy fácil de usar</t>
  </si>
  <si>
    <t>Portabilidad promedio</t>
  </si>
  <si>
    <t>Facilidad de cambio promedio</t>
  </si>
  <si>
    <t>Concurrencia baja</t>
  </si>
  <si>
    <t>Seguridad moderada</t>
  </si>
  <si>
    <t>Acceso directo a SCC</t>
  </si>
  <si>
    <t>Entrenamiento por capacitación normal</t>
  </si>
  <si>
    <t>Factor de Productividad:</t>
  </si>
  <si>
    <t>Use Case Points:</t>
  </si>
  <si>
    <t>Días</t>
  </si>
  <si>
    <t>Semanas</t>
  </si>
  <si>
    <t>Meses</t>
  </si>
  <si>
    <t>Días laborales a la semana</t>
  </si>
  <si>
    <t>Horas laborales por día</t>
  </si>
  <si>
    <t>Duración estimada</t>
  </si>
  <si>
    <t>Gastos Fijos Mensuales</t>
  </si>
  <si>
    <t>RECURSOS HUMANOS</t>
  </si>
  <si>
    <t>Suelgo Mensual integrado</t>
  </si>
  <si>
    <t>Cantidad de recursos</t>
  </si>
  <si>
    <t>Inicial</t>
  </si>
  <si>
    <t>Planeación</t>
  </si>
  <si>
    <t>Ejecución</t>
  </si>
  <si>
    <t>Cierre</t>
  </si>
  <si>
    <t>Generar Artefactos de Ingeniería</t>
  </si>
  <si>
    <t>Elaborar Perfil de proyecto</t>
  </si>
  <si>
    <t>Realizar Levantamiento de inicial de requerimientos</t>
  </si>
  <si>
    <t>Realizar análisis de factibilidad o estudio de mercado</t>
  </si>
  <si>
    <t>Generar Contrato del Proyecto</t>
  </si>
  <si>
    <t>Generar EDT</t>
  </si>
  <si>
    <t>Generar Tabla de precedencias y responsabilidades</t>
  </si>
  <si>
    <t>Generar plan de riesgos</t>
  </si>
  <si>
    <t>Generar Despliegue de Sistema</t>
  </si>
  <si>
    <t>Control</t>
  </si>
  <si>
    <t>Control de cambios</t>
  </si>
  <si>
    <t>Recolección de métricas del proyecto</t>
  </si>
  <si>
    <t>Generar Manuales de usuario</t>
  </si>
  <si>
    <t>Dar capacitación del sistema</t>
  </si>
  <si>
    <t>Soporte post-producción</t>
  </si>
  <si>
    <t>Realizar entrega formal del proyecto</t>
  </si>
  <si>
    <t>Costo Fase Inicial</t>
  </si>
  <si>
    <t>Costo Fase Planeación</t>
  </si>
  <si>
    <t>Costo Fase Ejecución</t>
  </si>
  <si>
    <t>Costo Fase Cierre</t>
  </si>
  <si>
    <t>Costo Fase Control</t>
  </si>
  <si>
    <t>Horas</t>
  </si>
  <si>
    <t>Iniciar sesion</t>
  </si>
  <si>
    <t>Registrar usuario</t>
  </si>
  <si>
    <t>Modificar usuario</t>
  </si>
  <si>
    <t>Eliminar usuario</t>
  </si>
  <si>
    <t>Registrar monto en caja</t>
  </si>
  <si>
    <t>Consultar estado de caja</t>
  </si>
  <si>
    <t>Registrar deposito</t>
  </si>
  <si>
    <t>Registrar retiro</t>
  </si>
  <si>
    <t>Registrar cliente</t>
  </si>
  <si>
    <t>Editar cliente</t>
  </si>
  <si>
    <t>Capturar fotografìa</t>
  </si>
  <si>
    <t>Buscar cliente</t>
  </si>
  <si>
    <t>Registrar empeño</t>
  </si>
  <si>
    <t>Registrar prenda</t>
  </si>
  <si>
    <t>Registrar refrendo</t>
  </si>
  <si>
    <t>Registrar re-empeño</t>
  </si>
  <si>
    <t>Buscar contrato</t>
  </si>
  <si>
    <t>Extender tiempo de espera de contrato</t>
  </si>
  <si>
    <t>Cancelar contrato</t>
  </si>
  <si>
    <t>Reactivar contrato</t>
  </si>
  <si>
    <t>Agregar cliente a lista negra</t>
  </si>
  <si>
    <t>Eliminar cliente de lista negra</t>
  </si>
  <si>
    <t>Buscar cliente en lista negra</t>
  </si>
  <si>
    <t>Buscar contratos vencidos</t>
  </si>
  <si>
    <t>Transformar prenda  a artìculo de venta</t>
  </si>
  <si>
    <t>Buscar artìculo</t>
  </si>
  <si>
    <t>Editar artìculo</t>
  </si>
  <si>
    <t>Registrar venta</t>
  </si>
  <si>
    <t>Apartar artìculo</t>
  </si>
  <si>
    <t>Liquidar apartado</t>
  </si>
  <si>
    <t>Cancelar apartado</t>
  </si>
  <si>
    <t>Reimprimir tiquet de venta</t>
  </si>
  <si>
    <t>Reimprimir tiquet de apartado</t>
  </si>
  <si>
    <t>Cancelar venta</t>
  </si>
  <si>
    <t>Buscar venta</t>
  </si>
  <si>
    <t>Buscar apartado</t>
  </si>
  <si>
    <t>Generar reporte diario de operaciones</t>
  </si>
  <si>
    <t>Exportar reporte diario de operaciones</t>
  </si>
  <si>
    <t>Generar reporte de flujo de caja</t>
  </si>
  <si>
    <t>Exportar reporte de flujo de caja</t>
  </si>
  <si>
    <t>Generar reporte de contratos</t>
  </si>
  <si>
    <t>Exportar reporte de contratos</t>
  </si>
  <si>
    <t>Generar reporte de articulos vendidos</t>
  </si>
  <si>
    <t>Exportar reporte de articulos vendidos</t>
  </si>
  <si>
    <t>Generar reporte de articulos en venta</t>
  </si>
  <si>
    <t>Exportar reporte de articulos en venta</t>
  </si>
  <si>
    <t>Generar reporte de apartados</t>
  </si>
  <si>
    <t>Exportar reporte de apartados</t>
  </si>
  <si>
    <t>Si</t>
  </si>
  <si>
    <t>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</si>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</sst>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
    <numFmt numFmtId="165" formatCode="&quot;$&quot;#,##0.00"/>
  </numFmts>
  <fonts count="50" x14ac:knownFonts="1">
    <font>
      <sz val="10"/>
      <name val="Arial"/>
    </font>
    <font>
      <sz val="11"/>
      <color theme="1"/>
      <name val="Calibri"/>
      <family val="2"/>
      <scheme val="minor"/>
    </font>
    <font>
      <sz val="8"/>
      <color indexed="81"/>
      <name val="Tahoma"/>
      <family val="2"/>
    </font>
    <font>
      <b/>
      <sz val="8"/>
      <color indexed="81"/>
      <name val="Tahoma"/>
      <family val="2"/>
    </font>
    <font>
      <sz val="8"/>
      <name val="Arial"/>
      <family val="2"/>
    </font>
    <font>
      <sz val="11"/>
      <name val="Calibri"/>
      <family val="2"/>
    </font>
    <font>
      <i/>
      <sz val="11"/>
      <name val="Calibri"/>
      <family val="2"/>
    </font>
    <font>
      <sz val="8"/>
      <name val="Calibri"/>
      <family val="2"/>
      <scheme val="minor"/>
    </font>
    <font>
      <b/>
      <sz val="12"/>
      <name val="Calibri"/>
      <family val="2"/>
      <scheme val="minor"/>
    </font>
    <font>
      <sz val="10"/>
      <name val="Calibri"/>
      <family val="2"/>
      <scheme val="minor"/>
    </font>
    <font>
      <sz val="11"/>
      <name val="Calibri"/>
      <family val="2"/>
      <scheme val="minor"/>
    </font>
    <font>
      <b/>
      <sz val="11"/>
      <name val="Calibri"/>
      <family val="2"/>
      <scheme val="minor"/>
    </font>
    <font>
      <b/>
      <sz val="11"/>
      <color indexed="9"/>
      <name val="Calibri"/>
      <family val="2"/>
      <scheme val="minor"/>
    </font>
    <font>
      <sz val="11"/>
      <color indexed="9"/>
      <name val="Calibri"/>
      <family val="2"/>
      <scheme val="minor"/>
    </font>
    <font>
      <u/>
      <sz val="11"/>
      <name val="Calibri"/>
      <family val="2"/>
      <scheme val="minor"/>
    </font>
    <font>
      <i/>
      <sz val="11"/>
      <name val="Calibri"/>
      <family val="2"/>
      <scheme val="minor"/>
    </font>
    <font>
      <sz val="11"/>
      <color theme="0"/>
      <name val="Calibri"/>
      <family val="2"/>
      <scheme val="minor"/>
    </font>
    <font>
      <b/>
      <sz val="20"/>
      <color indexed="9"/>
      <name val="Calibri"/>
      <family val="2"/>
      <scheme val="minor"/>
    </font>
    <font>
      <b/>
      <sz val="16"/>
      <color indexed="9"/>
      <name val="Calibri"/>
      <family val="2"/>
      <scheme val="minor"/>
    </font>
    <font>
      <sz val="16"/>
      <color indexed="9"/>
      <name val="Calibri"/>
      <family val="2"/>
      <scheme val="minor"/>
    </font>
    <font>
      <b/>
      <sz val="22"/>
      <color theme="0"/>
      <name val="Calibri"/>
      <family val="2"/>
      <scheme val="minor"/>
    </font>
    <font>
      <b/>
      <sz val="22"/>
      <name val="Calibri"/>
      <family val="2"/>
      <scheme val="minor"/>
    </font>
    <font>
      <sz val="20"/>
      <color theme="0"/>
      <name val="Calibri"/>
      <family val="2"/>
      <scheme val="minor"/>
    </font>
    <font>
      <sz val="20"/>
      <name val="Calibri"/>
      <family val="2"/>
      <scheme val="minor"/>
    </font>
    <font>
      <b/>
      <sz val="14"/>
      <name val="Calibri"/>
      <family val="2"/>
      <scheme val="minor"/>
    </font>
    <font>
      <b/>
      <sz val="16"/>
      <name val="Calibri"/>
      <family val="2"/>
      <scheme val="minor"/>
    </font>
    <font>
      <b/>
      <sz val="18"/>
      <name val="Calibri"/>
      <family val="2"/>
      <scheme val="minor"/>
    </font>
    <font>
      <b/>
      <sz val="14"/>
      <color indexed="9"/>
      <name val="Calibri"/>
      <family val="2"/>
      <scheme val="minor"/>
    </font>
    <font>
      <b/>
      <sz val="18"/>
      <color indexed="9"/>
      <name val="Calibri"/>
      <family val="2"/>
      <scheme val="minor"/>
    </font>
    <font>
      <sz val="12"/>
      <name val="Calibri"/>
      <family val="2"/>
      <scheme val="minor"/>
    </font>
    <font>
      <sz val="12"/>
      <color theme="1"/>
      <name val="Calibri"/>
      <family val="2"/>
      <scheme val="minor"/>
    </font>
    <font>
      <sz val="20"/>
      <color theme="1"/>
      <name val="Calibri"/>
      <family val="2"/>
      <scheme val="minor"/>
    </font>
    <font>
      <b/>
      <sz val="11"/>
      <name val="Calibri"/>
      <family val="2"/>
    </font>
    <font>
      <b/>
      <sz val="14"/>
      <name val="Calibri"/>
      <family val="2"/>
    </font>
    <font>
      <sz val="10"/>
      <name val="Arial"/>
      <family val="2"/>
    </font>
    <font>
      <sz val="10"/>
      <color theme="0"/>
      <name val="Arial"/>
      <family val="2"/>
    </font>
    <font>
      <b/>
      <sz val="10"/>
      <color theme="0"/>
      <name val="Arial"/>
      <family val="2"/>
    </font>
    <font>
      <b/>
      <sz val="16"/>
      <color theme="0"/>
      <name val="Calibri"/>
      <family val="2"/>
      <scheme val="minor"/>
    </font>
    <font>
      <b/>
      <sz val="12"/>
      <color theme="3" tint="0.39997558519241921"/>
      <name val="Arial"/>
      <family val="2"/>
    </font>
    <font>
      <b/>
      <sz val="11"/>
      <color theme="0"/>
      <name val="Calibri"/>
      <family val="2"/>
      <scheme val="minor"/>
    </font>
    <font>
      <b/>
      <sz val="14"/>
      <color theme="0"/>
      <name val="Calibri"/>
      <family val="2"/>
      <scheme val="minor"/>
    </font>
    <font>
      <sz val="16"/>
      <color theme="0"/>
      <name val="Calibri"/>
      <family val="2"/>
      <scheme val="minor"/>
    </font>
    <font>
      <b/>
      <sz val="10"/>
      <name val="Calibri"/>
      <family val="2"/>
      <scheme val="minor"/>
    </font>
    <font>
      <sz val="10"/>
      <name val="Arial"/>
      <family val="2"/>
    </font>
    <font>
      <sz val="11"/>
      <color rgb="FFFF0000"/>
      <name val="Calibri"/>
      <family val="2"/>
      <scheme val="minor"/>
    </font>
    <font>
      <b/>
      <sz val="12"/>
      <color rgb="FFFF0000"/>
      <name val="Calibri"/>
      <family val="2"/>
      <scheme val="minor"/>
    </font>
    <font>
      <sz val="9"/>
      <name val="Calibri"/>
      <family val="2"/>
      <scheme val="minor"/>
    </font>
    <font>
      <sz val="10"/>
      <name val="Arial"/>
    </font>
    <font>
      <b/>
      <sz val="14"/>
      <name val="Arial"/>
      <family val="2"/>
    </font>
    <font>
      <sz val="14"/>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2" tint="-0.74999237037263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ck">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s>
  <cellStyleXfs count="3">
    <xf numFmtId="0" fontId="0" fillId="0" borderId="0"/>
    <xf numFmtId="9" fontId="43" fillId="0" borderId="0" applyFont="0" applyFill="0" applyBorder="0" applyAlignment="0" applyProtection="0"/>
    <xf numFmtId="44" fontId="47" fillId="0" borderId="0" applyFont="0" applyFill="0" applyBorder="0" applyAlignment="0" applyProtection="0"/>
  </cellStyleXfs>
  <cellXfs count="230">
    <xf numFmtId="0" fontId="0" fillId="0" borderId="0" xfId="0"/>
    <xf numFmtId="0" fontId="7" fillId="0" borderId="0" xfId="0" applyFont="1"/>
    <xf numFmtId="0" fontId="7" fillId="0" borderId="0" xfId="0" applyFont="1" applyBorder="1" applyAlignment="1">
      <alignment horizontal="left"/>
    </xf>
    <xf numFmtId="0" fontId="7" fillId="0" borderId="0" xfId="0" applyFont="1" applyBorder="1" applyAlignment="1">
      <alignment horizontal="center"/>
    </xf>
    <xf numFmtId="0" fontId="9" fillId="0" borderId="0" xfId="0" applyFont="1"/>
    <xf numFmtId="0" fontId="9" fillId="0" borderId="0" xfId="0" applyFont="1" applyAlignment="1">
      <alignment horizontal="left"/>
    </xf>
    <xf numFmtId="0" fontId="9" fillId="0" borderId="0" xfId="0" applyFont="1" applyAlignment="1">
      <alignment horizontal="center"/>
    </xf>
    <xf numFmtId="14" fontId="9" fillId="0" borderId="16" xfId="0" applyNumberFormat="1" applyFont="1" applyBorder="1" applyAlignment="1">
      <alignment horizontal="center"/>
    </xf>
    <xf numFmtId="0" fontId="9" fillId="0" borderId="16" xfId="0" applyFont="1" applyBorder="1" applyAlignment="1">
      <alignment horizontal="center"/>
    </xf>
    <xf numFmtId="0" fontId="9" fillId="0" borderId="16" xfId="0" applyNumberFormat="1" applyFont="1" applyBorder="1" applyAlignment="1">
      <alignment horizontal="left"/>
    </xf>
    <xf numFmtId="4" fontId="9" fillId="0" borderId="16" xfId="0" applyNumberFormat="1" applyFont="1" applyFill="1" applyBorder="1" applyAlignment="1">
      <alignment horizontal="center"/>
    </xf>
    <xf numFmtId="0" fontId="10" fillId="0" borderId="0" xfId="0" applyFont="1"/>
    <xf numFmtId="0" fontId="10" fillId="0" borderId="1" xfId="0" applyFont="1" applyBorder="1" applyAlignment="1">
      <alignment horizontal="center"/>
    </xf>
    <xf numFmtId="0" fontId="10" fillId="0" borderId="0" xfId="0" applyFont="1" applyFill="1" applyBorder="1"/>
    <xf numFmtId="0" fontId="10" fillId="0" borderId="0" xfId="0" applyFont="1" applyBorder="1" applyAlignment="1">
      <alignment horizontal="center"/>
    </xf>
    <xf numFmtId="0" fontId="10" fillId="0" borderId="0" xfId="0" applyFont="1" applyBorder="1"/>
    <xf numFmtId="0" fontId="10" fillId="0" borderId="2" xfId="0" applyFont="1" applyBorder="1" applyAlignment="1">
      <alignment horizontal="center"/>
    </xf>
    <xf numFmtId="0" fontId="10" fillId="0" borderId="3" xfId="0" applyFont="1" applyBorder="1"/>
    <xf numFmtId="0" fontId="10" fillId="0" borderId="5" xfId="0" applyFont="1" applyBorder="1" applyAlignment="1">
      <alignment horizontal="center"/>
    </xf>
    <xf numFmtId="0" fontId="10" fillId="0" borderId="7" xfId="0" applyFont="1" applyBorder="1" applyAlignment="1">
      <alignment horizontal="center"/>
    </xf>
    <xf numFmtId="0" fontId="10" fillId="0" borderId="8" xfId="0" applyFont="1" applyBorder="1"/>
    <xf numFmtId="0" fontId="10" fillId="0" borderId="6" xfId="0" applyFont="1" applyBorder="1"/>
    <xf numFmtId="0" fontId="10" fillId="0" borderId="0" xfId="0" applyFont="1" applyAlignment="1">
      <alignment horizontal="center"/>
    </xf>
    <xf numFmtId="0" fontId="14" fillId="0" borderId="0" xfId="0" applyFont="1"/>
    <xf numFmtId="0" fontId="10" fillId="0" borderId="1" xfId="0" applyFont="1" applyBorder="1" applyAlignment="1">
      <alignment horizontal="left" indent="1"/>
    </xf>
    <xf numFmtId="0" fontId="11" fillId="0" borderId="1" xfId="0" applyFont="1" applyFill="1" applyBorder="1" applyAlignment="1">
      <alignment horizontal="center"/>
    </xf>
    <xf numFmtId="164" fontId="10" fillId="0" borderId="1" xfId="0" applyNumberFormat="1" applyFont="1" applyBorder="1" applyAlignment="1">
      <alignment horizontal="center"/>
    </xf>
    <xf numFmtId="0" fontId="10" fillId="0" borderId="0" xfId="0" applyFont="1" applyFill="1" applyBorder="1" applyAlignment="1"/>
    <xf numFmtId="0" fontId="12" fillId="0" borderId="0" xfId="0" applyFont="1" applyFill="1" applyBorder="1" applyAlignment="1">
      <alignment horizontal="left"/>
    </xf>
    <xf numFmtId="0" fontId="13" fillId="0" borderId="0" xfId="0" applyFont="1" applyFill="1" applyBorder="1" applyAlignment="1">
      <alignment horizontal="center" vertical="center" wrapText="1"/>
    </xf>
    <xf numFmtId="0" fontId="7" fillId="4" borderId="0" xfId="0" applyFont="1" applyFill="1" applyBorder="1" applyAlignment="1">
      <alignment horizontal="center"/>
    </xf>
    <xf numFmtId="0" fontId="7" fillId="4" borderId="0" xfId="0" applyFont="1" applyFill="1"/>
    <xf numFmtId="0" fontId="9" fillId="3" borderId="0" xfId="0" applyFont="1" applyFill="1"/>
    <xf numFmtId="0" fontId="9" fillId="5" borderId="0" xfId="0" applyFont="1" applyFill="1"/>
    <xf numFmtId="0" fontId="18" fillId="5" borderId="16" xfId="0" applyFont="1" applyFill="1" applyBorder="1" applyAlignment="1">
      <alignment horizontal="center"/>
    </xf>
    <xf numFmtId="0" fontId="20" fillId="4" borderId="0" xfId="0" applyFont="1" applyFill="1" applyBorder="1" applyAlignment="1"/>
    <xf numFmtId="0" fontId="21" fillId="4" borderId="0" xfId="0" applyFont="1" applyFill="1" applyBorder="1" applyAlignment="1"/>
    <xf numFmtId="0" fontId="23" fillId="4" borderId="0" xfId="0" applyFont="1" applyFill="1"/>
    <xf numFmtId="0" fontId="10" fillId="2" borderId="0" xfId="0" applyFont="1" applyFill="1" applyBorder="1" applyAlignment="1">
      <alignment horizontal="center"/>
    </xf>
    <xf numFmtId="0" fontId="10" fillId="2" borderId="6" xfId="0" applyFont="1" applyFill="1" applyBorder="1" applyAlignment="1">
      <alignment horizontal="center"/>
    </xf>
    <xf numFmtId="0" fontId="10" fillId="2" borderId="1" xfId="0" applyFont="1" applyFill="1" applyBorder="1" applyAlignment="1">
      <alignment wrapText="1"/>
    </xf>
    <xf numFmtId="0" fontId="10" fillId="2" borderId="1" xfId="0" applyFont="1" applyFill="1" applyBorder="1" applyAlignment="1">
      <alignment horizontal="center"/>
    </xf>
    <xf numFmtId="0" fontId="26" fillId="3" borderId="0" xfId="0" applyFont="1" applyFill="1" applyBorder="1" applyAlignment="1">
      <alignment horizontal="center"/>
    </xf>
    <xf numFmtId="0" fontId="26" fillId="3" borderId="0" xfId="0" applyFont="1" applyFill="1" applyBorder="1" applyAlignment="1">
      <alignment horizontal="left"/>
    </xf>
    <xf numFmtId="0" fontId="10" fillId="2" borderId="15" xfId="0" applyFont="1" applyFill="1" applyBorder="1"/>
    <xf numFmtId="0" fontId="10" fillId="2" borderId="1" xfId="0" applyFont="1" applyFill="1" applyBorder="1"/>
    <xf numFmtId="0" fontId="10" fillId="2" borderId="17" xfId="0" applyFont="1" applyFill="1" applyBorder="1"/>
    <xf numFmtId="0" fontId="10" fillId="2" borderId="18" xfId="0" applyFont="1" applyFill="1" applyBorder="1"/>
    <xf numFmtId="0" fontId="10" fillId="2" borderId="19" xfId="0" applyFont="1" applyFill="1" applyBorder="1" applyAlignment="1">
      <alignment horizontal="center"/>
    </xf>
    <xf numFmtId="0" fontId="10" fillId="2" borderId="20" xfId="0" applyFont="1" applyFill="1" applyBorder="1" applyAlignment="1">
      <alignment horizontal="center"/>
    </xf>
    <xf numFmtId="0" fontId="10" fillId="2" borderId="21" xfId="0" applyFont="1" applyFill="1" applyBorder="1" applyAlignment="1">
      <alignment horizontal="center"/>
    </xf>
    <xf numFmtId="0" fontId="10" fillId="2" borderId="22" xfId="0" applyFont="1" applyFill="1" applyBorder="1"/>
    <xf numFmtId="0" fontId="10" fillId="2" borderId="23" xfId="0" applyFont="1" applyFill="1" applyBorder="1" applyAlignment="1">
      <alignment horizontal="center"/>
    </xf>
    <xf numFmtId="0" fontId="10" fillId="2" borderId="24" xfId="0" applyFont="1" applyFill="1" applyBorder="1" applyAlignment="1">
      <alignment horizontal="center"/>
    </xf>
    <xf numFmtId="0" fontId="10" fillId="2" borderId="25" xfId="0" applyFont="1" applyFill="1" applyBorder="1"/>
    <xf numFmtId="0" fontId="10" fillId="0" borderId="13" xfId="0" applyFont="1" applyBorder="1"/>
    <xf numFmtId="0" fontId="10" fillId="2" borderId="26" xfId="0" applyFont="1" applyFill="1" applyBorder="1"/>
    <xf numFmtId="0" fontId="26" fillId="3" borderId="0" xfId="0" applyFont="1" applyFill="1" applyBorder="1" applyAlignment="1">
      <alignment horizontal="center" wrapText="1"/>
    </xf>
    <xf numFmtId="0" fontId="10" fillId="2" borderId="27" xfId="0" applyFont="1" applyFill="1" applyBorder="1"/>
    <xf numFmtId="0" fontId="10" fillId="2" borderId="28" xfId="0" applyFont="1" applyFill="1" applyBorder="1"/>
    <xf numFmtId="0" fontId="10" fillId="2" borderId="29" xfId="0" applyFont="1" applyFill="1" applyBorder="1"/>
    <xf numFmtId="0" fontId="10" fillId="2" borderId="30" xfId="0" applyFont="1" applyFill="1" applyBorder="1" applyAlignment="1">
      <alignment horizontal="center"/>
    </xf>
    <xf numFmtId="4" fontId="11" fillId="2" borderId="1" xfId="0" applyNumberFormat="1" applyFont="1" applyFill="1" applyBorder="1" applyAlignment="1">
      <alignment horizontal="right"/>
    </xf>
    <xf numFmtId="0" fontId="25" fillId="3" borderId="9" xfId="0" applyFont="1" applyFill="1" applyBorder="1" applyAlignment="1">
      <alignment horizontal="center"/>
    </xf>
    <xf numFmtId="0" fontId="18" fillId="3" borderId="12" xfId="0" applyFont="1" applyFill="1" applyBorder="1" applyAlignment="1">
      <alignment horizontal="right"/>
    </xf>
    <xf numFmtId="0" fontId="8" fillId="5" borderId="2" xfId="0" applyFont="1" applyFill="1" applyBorder="1" applyAlignment="1">
      <alignment horizontal="center"/>
    </xf>
    <xf numFmtId="0" fontId="8" fillId="5" borderId="11" xfId="0" applyFont="1" applyFill="1" applyBorder="1" applyAlignment="1">
      <alignment horizontal="left"/>
    </xf>
    <xf numFmtId="0" fontId="29" fillId="2" borderId="5" xfId="0" applyFont="1" applyFill="1" applyBorder="1" applyAlignment="1">
      <alignment horizontal="center"/>
    </xf>
    <xf numFmtId="0" fontId="29" fillId="2" borderId="14" xfId="0" applyFont="1" applyFill="1" applyBorder="1"/>
    <xf numFmtId="2" fontId="29" fillId="2" borderId="5" xfId="0" applyNumberFormat="1" applyFont="1" applyFill="1" applyBorder="1" applyAlignment="1">
      <alignment horizontal="center"/>
    </xf>
    <xf numFmtId="0" fontId="30" fillId="6" borderId="28" xfId="0" applyFont="1" applyFill="1" applyBorder="1" applyAlignment="1">
      <alignment wrapText="1"/>
    </xf>
    <xf numFmtId="0" fontId="0" fillId="6" borderId="0" xfId="0" applyFill="1"/>
    <xf numFmtId="0" fontId="31" fillId="6" borderId="31" xfId="0" applyFont="1" applyFill="1" applyBorder="1" applyAlignment="1">
      <alignment horizontal="center" wrapText="1"/>
    </xf>
    <xf numFmtId="0" fontId="33" fillId="0" borderId="0" xfId="0" applyFont="1" applyFill="1" applyBorder="1" applyAlignment="1">
      <alignment horizontal="left"/>
    </xf>
    <xf numFmtId="0" fontId="29" fillId="2" borderId="5" xfId="0" applyNumberFormat="1" applyFont="1" applyFill="1" applyBorder="1" applyAlignment="1">
      <alignment horizontal="center"/>
    </xf>
    <xf numFmtId="0" fontId="34" fillId="0" borderId="0" xfId="0" applyFont="1"/>
    <xf numFmtId="0" fontId="22" fillId="7" borderId="0" xfId="0" applyFont="1" applyFill="1"/>
    <xf numFmtId="0" fontId="22" fillId="7" borderId="0" xfId="0" applyFont="1" applyFill="1" applyAlignment="1">
      <alignment vertical="center"/>
    </xf>
    <xf numFmtId="0" fontId="23" fillId="7" borderId="0" xfId="0" applyFont="1" applyFill="1"/>
    <xf numFmtId="0" fontId="8" fillId="2" borderId="5" xfId="0" applyFont="1" applyFill="1" applyBorder="1" applyAlignment="1">
      <alignment horizontal="center"/>
    </xf>
    <xf numFmtId="0" fontId="10" fillId="2" borderId="0" xfId="0" applyFont="1" applyFill="1" applyAlignment="1">
      <alignment horizontal="right"/>
    </xf>
    <xf numFmtId="0" fontId="29" fillId="2" borderId="14" xfId="0" applyNumberFormat="1" applyFont="1" applyFill="1" applyBorder="1" applyAlignment="1">
      <alignment horizontal="center"/>
    </xf>
    <xf numFmtId="0" fontId="8" fillId="8" borderId="14" xfId="0" applyFont="1" applyFill="1" applyBorder="1"/>
    <xf numFmtId="0" fontId="35" fillId="7" borderId="32" xfId="0" applyFont="1" applyFill="1" applyBorder="1"/>
    <xf numFmtId="0" fontId="0" fillId="0" borderId="33" xfId="0" applyBorder="1"/>
    <xf numFmtId="0" fontId="35" fillId="7" borderId="34" xfId="0" applyFont="1" applyFill="1" applyBorder="1"/>
    <xf numFmtId="0" fontId="35" fillId="7" borderId="35" xfId="0" applyFont="1" applyFill="1" applyBorder="1"/>
    <xf numFmtId="0" fontId="34" fillId="0" borderId="20" xfId="0" applyFont="1" applyBorder="1"/>
    <xf numFmtId="0" fontId="34" fillId="0" borderId="21" xfId="0" applyFont="1" applyBorder="1"/>
    <xf numFmtId="0" fontId="35" fillId="7" borderId="36" xfId="0" applyFont="1" applyFill="1" applyBorder="1"/>
    <xf numFmtId="0" fontId="36" fillId="7" borderId="32" xfId="0" applyFont="1" applyFill="1" applyBorder="1"/>
    <xf numFmtId="0" fontId="34" fillId="0" borderId="33" xfId="0" applyFont="1" applyBorder="1"/>
    <xf numFmtId="0" fontId="36" fillId="3" borderId="32" xfId="0" applyFont="1" applyFill="1" applyBorder="1"/>
    <xf numFmtId="0" fontId="10" fillId="8" borderId="5" xfId="0" applyFont="1" applyFill="1" applyBorder="1" applyAlignment="1">
      <alignment horizontal="center"/>
    </xf>
    <xf numFmtId="165" fontId="10" fillId="0" borderId="0" xfId="0" applyNumberFormat="1" applyFont="1"/>
    <xf numFmtId="165" fontId="0" fillId="0" borderId="37" xfId="0" applyNumberFormat="1" applyBorder="1"/>
    <xf numFmtId="165" fontId="0" fillId="0" borderId="0" xfId="0" applyNumberFormat="1" applyBorder="1"/>
    <xf numFmtId="165" fontId="0" fillId="0" borderId="38" xfId="0" applyNumberFormat="1" applyBorder="1"/>
    <xf numFmtId="165" fontId="0" fillId="0" borderId="28" xfId="0" applyNumberFormat="1" applyBorder="1"/>
    <xf numFmtId="165" fontId="36" fillId="3" borderId="33" xfId="0" applyNumberFormat="1" applyFont="1" applyFill="1" applyBorder="1"/>
    <xf numFmtId="165" fontId="0" fillId="0" borderId="33" xfId="0" applyNumberFormat="1" applyBorder="1"/>
    <xf numFmtId="0" fontId="16" fillId="7" borderId="3" xfId="0" applyFont="1" applyFill="1" applyBorder="1" applyAlignment="1">
      <alignment horizontal="center"/>
    </xf>
    <xf numFmtId="0" fontId="16" fillId="7" borderId="0" xfId="0" applyFont="1" applyFill="1" applyBorder="1" applyAlignment="1">
      <alignment horizontal="center"/>
    </xf>
    <xf numFmtId="0" fontId="16" fillId="7" borderId="8" xfId="0" applyFont="1" applyFill="1" applyBorder="1" applyAlignment="1">
      <alignment horizontal="center"/>
    </xf>
    <xf numFmtId="0" fontId="24" fillId="7" borderId="5" xfId="0" applyFont="1" applyFill="1" applyBorder="1" applyAlignment="1">
      <alignment horizontal="center"/>
    </xf>
    <xf numFmtId="0" fontId="27" fillId="7" borderId="0" xfId="0" applyFont="1" applyFill="1" applyBorder="1" applyAlignment="1">
      <alignment horizontal="right"/>
    </xf>
    <xf numFmtId="0" fontId="11" fillId="6" borderId="11" xfId="0" applyFont="1" applyFill="1" applyBorder="1" applyAlignment="1">
      <alignment horizontal="center" wrapText="1"/>
    </xf>
    <xf numFmtId="0" fontId="11" fillId="6" borderId="11" xfId="0" applyFont="1" applyFill="1" applyBorder="1" applyAlignment="1">
      <alignment horizontal="left"/>
    </xf>
    <xf numFmtId="0" fontId="11" fillId="6" borderId="11" xfId="0" applyFont="1" applyFill="1" applyBorder="1" applyAlignment="1">
      <alignment horizontal="center"/>
    </xf>
    <xf numFmtId="0" fontId="12" fillId="6" borderId="9" xfId="0" applyFont="1" applyFill="1" applyBorder="1" applyAlignment="1">
      <alignment horizontal="right"/>
    </xf>
    <xf numFmtId="0" fontId="12" fillId="6" borderId="12" xfId="0" applyFont="1" applyFill="1" applyBorder="1" applyAlignment="1">
      <alignment horizontal="right"/>
    </xf>
    <xf numFmtId="0" fontId="12" fillId="6" borderId="12" xfId="0" applyFont="1" applyFill="1" applyBorder="1" applyAlignment="1">
      <alignment horizontal="center"/>
    </xf>
    <xf numFmtId="0" fontId="12" fillId="6" borderId="10" xfId="0" applyFont="1" applyFill="1" applyBorder="1" applyAlignment="1">
      <alignment horizontal="right"/>
    </xf>
    <xf numFmtId="0" fontId="27" fillId="6" borderId="6" xfId="0" applyFont="1" applyFill="1" applyBorder="1" applyAlignment="1">
      <alignment horizontal="right"/>
    </xf>
    <xf numFmtId="0" fontId="39" fillId="9" borderId="1" xfId="0" applyFont="1" applyFill="1" applyBorder="1" applyAlignment="1">
      <alignment horizontal="center"/>
    </xf>
    <xf numFmtId="0" fontId="39" fillId="9" borderId="1" xfId="0" applyFont="1" applyFill="1" applyBorder="1" applyAlignment="1">
      <alignment horizontal="right"/>
    </xf>
    <xf numFmtId="0" fontId="40" fillId="9" borderId="1" xfId="0" applyFont="1" applyFill="1" applyBorder="1" applyAlignment="1">
      <alignment horizontal="right"/>
    </xf>
    <xf numFmtId="3" fontId="40" fillId="9" borderId="1" xfId="0" applyNumberFormat="1" applyFont="1" applyFill="1" applyBorder="1" applyAlignment="1">
      <alignment horizontal="center"/>
    </xf>
    <xf numFmtId="0" fontId="39" fillId="9" borderId="1" xfId="0" applyFont="1" applyFill="1" applyBorder="1" applyAlignment="1">
      <alignment horizontal="left"/>
    </xf>
    <xf numFmtId="2" fontId="18" fillId="3" borderId="12" xfId="0" applyNumberFormat="1" applyFont="1" applyFill="1" applyBorder="1" applyAlignment="1">
      <alignment horizontal="right"/>
    </xf>
    <xf numFmtId="0" fontId="10" fillId="5" borderId="2" xfId="0" applyFont="1" applyFill="1" applyBorder="1"/>
    <xf numFmtId="0" fontId="10" fillId="5" borderId="3" xfId="0" applyFont="1" applyFill="1" applyBorder="1"/>
    <xf numFmtId="0" fontId="10" fillId="0" borderId="5" xfId="0" applyFont="1" applyBorder="1"/>
    <xf numFmtId="0" fontId="34" fillId="10" borderId="0" xfId="0" applyFont="1" applyFill="1"/>
    <xf numFmtId="0" fontId="23" fillId="9" borderId="0" xfId="0" applyFont="1" applyFill="1"/>
    <xf numFmtId="0" fontId="11" fillId="0" borderId="0" xfId="0" applyFont="1"/>
    <xf numFmtId="0" fontId="1" fillId="2" borderId="3" xfId="0" applyFont="1" applyFill="1" applyBorder="1"/>
    <xf numFmtId="0" fontId="42" fillId="0" borderId="0" xfId="0" applyFont="1"/>
    <xf numFmtId="0" fontId="10" fillId="0" borderId="5" xfId="0" applyFont="1" applyBorder="1" applyProtection="1"/>
    <xf numFmtId="0" fontId="11" fillId="11" borderId="11" xfId="0" applyFont="1" applyFill="1" applyBorder="1" applyAlignment="1">
      <alignment horizontal="center" wrapText="1"/>
    </xf>
    <xf numFmtId="0" fontId="11" fillId="11" borderId="11" xfId="0" applyFont="1" applyFill="1" applyBorder="1" applyAlignment="1">
      <alignment horizontal="left"/>
    </xf>
    <xf numFmtId="0" fontId="11" fillId="11" borderId="11" xfId="0" applyFont="1" applyFill="1" applyBorder="1" applyAlignment="1">
      <alignment horizontal="center"/>
    </xf>
    <xf numFmtId="0" fontId="10" fillId="11" borderId="3" xfId="0" applyFont="1" applyFill="1" applyBorder="1" applyAlignment="1">
      <alignment horizontal="center"/>
    </xf>
    <xf numFmtId="0" fontId="10" fillId="11" borderId="0" xfId="0" applyFont="1" applyFill="1" applyBorder="1" applyAlignment="1">
      <alignment horizontal="center"/>
    </xf>
    <xf numFmtId="0" fontId="12" fillId="11" borderId="9" xfId="0" applyFont="1" applyFill="1" applyBorder="1" applyAlignment="1">
      <alignment horizontal="right"/>
    </xf>
    <xf numFmtId="0" fontId="11" fillId="11" borderId="12" xfId="0" applyFont="1" applyFill="1" applyBorder="1" applyAlignment="1">
      <alignment horizontal="right"/>
    </xf>
    <xf numFmtId="0" fontId="12" fillId="11" borderId="12" xfId="0" applyFont="1" applyFill="1" applyBorder="1" applyAlignment="1">
      <alignment horizontal="right"/>
    </xf>
    <xf numFmtId="0" fontId="12" fillId="11" borderId="12" xfId="0" applyFont="1" applyFill="1" applyBorder="1" applyAlignment="1">
      <alignment horizontal="center"/>
    </xf>
    <xf numFmtId="0" fontId="12" fillId="11" borderId="10" xfId="0" applyFont="1" applyFill="1" applyBorder="1" applyAlignment="1">
      <alignment horizontal="right"/>
    </xf>
    <xf numFmtId="0" fontId="11" fillId="11" borderId="1" xfId="0" applyFont="1" applyFill="1" applyBorder="1" applyAlignment="1">
      <alignment horizontal="left" wrapText="1"/>
    </xf>
    <xf numFmtId="0" fontId="11" fillId="11" borderId="1" xfId="0" applyFont="1" applyFill="1" applyBorder="1" applyAlignment="1">
      <alignment horizontal="center" wrapText="1"/>
    </xf>
    <xf numFmtId="0" fontId="15" fillId="2" borderId="0" xfId="0" applyFont="1" applyFill="1" applyAlignment="1">
      <alignment horizontal="right"/>
    </xf>
    <xf numFmtId="165" fontId="0" fillId="0" borderId="39" xfId="0" applyNumberFormat="1" applyBorder="1"/>
    <xf numFmtId="0" fontId="44" fillId="0" borderId="0" xfId="0" applyFont="1"/>
    <xf numFmtId="0" fontId="11" fillId="0" borderId="0" xfId="0" applyFont="1" applyFill="1" applyBorder="1" applyAlignment="1"/>
    <xf numFmtId="0" fontId="11" fillId="0" borderId="0" xfId="0" applyFont="1" applyFill="1" applyBorder="1" applyAlignment="1">
      <alignment horizontal="right"/>
    </xf>
    <xf numFmtId="0" fontId="29" fillId="2" borderId="7" xfId="0" applyFont="1" applyFill="1" applyBorder="1" applyAlignment="1">
      <alignment horizontal="center"/>
    </xf>
    <xf numFmtId="0" fontId="10" fillId="0" borderId="14" xfId="0" applyFont="1" applyBorder="1" applyAlignment="1">
      <alignment horizontal="center"/>
    </xf>
    <xf numFmtId="0" fontId="10" fillId="5" borderId="4" xfId="0" applyFont="1" applyFill="1" applyBorder="1"/>
    <xf numFmtId="0" fontId="29" fillId="0" borderId="14" xfId="0" applyFont="1" applyFill="1" applyBorder="1"/>
    <xf numFmtId="0" fontId="45" fillId="2" borderId="14" xfId="0" applyFont="1" applyFill="1" applyBorder="1"/>
    <xf numFmtId="49" fontId="11" fillId="0" borderId="0" xfId="0" applyNumberFormat="1" applyFont="1" applyFill="1" applyBorder="1" applyAlignment="1">
      <alignment horizontal="center"/>
    </xf>
    <xf numFmtId="3" fontId="11" fillId="0" borderId="0" xfId="0" applyNumberFormat="1" applyFont="1" applyFill="1" applyBorder="1" applyAlignment="1">
      <alignment horizontal="center"/>
    </xf>
    <xf numFmtId="0" fontId="38" fillId="8" borderId="5" xfId="0" applyFont="1" applyFill="1" applyBorder="1" applyAlignment="1">
      <alignment vertical="center"/>
    </xf>
    <xf numFmtId="1" fontId="10" fillId="12" borderId="3" xfId="0" applyNumberFormat="1" applyFont="1" applyFill="1" applyBorder="1" applyAlignment="1">
      <alignment horizontal="center"/>
    </xf>
    <xf numFmtId="1" fontId="10" fillId="12" borderId="0" xfId="0" applyNumberFormat="1" applyFont="1" applyFill="1" applyBorder="1" applyAlignment="1">
      <alignment horizontal="center"/>
    </xf>
    <xf numFmtId="1" fontId="10" fillId="12" borderId="8" xfId="0" applyNumberFormat="1" applyFont="1" applyFill="1" applyBorder="1" applyAlignment="1">
      <alignment horizontal="center"/>
    </xf>
    <xf numFmtId="0" fontId="11" fillId="0" borderId="0" xfId="0" applyNumberFormat="1" applyFont="1" applyFill="1" applyBorder="1" applyAlignment="1">
      <alignment horizontal="center"/>
    </xf>
    <xf numFmtId="1" fontId="11" fillId="0" borderId="0" xfId="0" applyNumberFormat="1" applyFont="1" applyFill="1" applyBorder="1" applyAlignment="1">
      <alignment horizontal="center"/>
    </xf>
    <xf numFmtId="0" fontId="24" fillId="11" borderId="1" xfId="0" applyNumberFormat="1" applyFont="1" applyFill="1" applyBorder="1" applyAlignment="1">
      <alignment horizontal="center" vertical="center"/>
    </xf>
    <xf numFmtId="164" fontId="29" fillId="2" borderId="5" xfId="0" applyNumberFormat="1" applyFont="1" applyFill="1" applyBorder="1" applyAlignment="1">
      <alignment horizontal="center"/>
    </xf>
    <xf numFmtId="9" fontId="8" fillId="8" borderId="5" xfId="1" applyFont="1" applyFill="1" applyBorder="1" applyAlignment="1">
      <alignment horizontal="center"/>
    </xf>
    <xf numFmtId="0" fontId="29" fillId="0" borderId="5" xfId="0" applyNumberFormat="1" applyFont="1" applyFill="1" applyBorder="1" applyAlignment="1">
      <alignment horizontal="center"/>
    </xf>
    <xf numFmtId="0" fontId="10" fillId="0" borderId="5" xfId="0" applyFont="1" applyFill="1" applyBorder="1"/>
    <xf numFmtId="0" fontId="29" fillId="0" borderId="15" xfId="0" applyNumberFormat="1" applyFont="1" applyFill="1" applyBorder="1" applyAlignment="1">
      <alignment horizontal="center"/>
    </xf>
    <xf numFmtId="0" fontId="10" fillId="0" borderId="7" xfId="0" applyFont="1" applyFill="1" applyBorder="1"/>
    <xf numFmtId="0" fontId="29" fillId="0" borderId="15" xfId="0" applyFont="1" applyFill="1" applyBorder="1"/>
    <xf numFmtId="9" fontId="11" fillId="0" borderId="0" xfId="1" applyFont="1" applyFill="1" applyBorder="1" applyAlignment="1"/>
    <xf numFmtId="10" fontId="46" fillId="0" borderId="5" xfId="1" applyNumberFormat="1" applyFont="1" applyFill="1" applyBorder="1" applyAlignment="1">
      <alignment horizontal="center"/>
    </xf>
    <xf numFmtId="10" fontId="10" fillId="0" borderId="5" xfId="1" applyNumberFormat="1" applyFont="1" applyFill="1" applyBorder="1" applyAlignment="1">
      <alignment horizontal="center"/>
    </xf>
    <xf numFmtId="10" fontId="10" fillId="0" borderId="7" xfId="1" applyNumberFormat="1" applyFont="1" applyFill="1" applyBorder="1" applyAlignment="1">
      <alignment horizontal="center"/>
    </xf>
    <xf numFmtId="0" fontId="8" fillId="5" borderId="11" xfId="0" applyFont="1" applyFill="1" applyBorder="1" applyAlignment="1">
      <alignment horizontal="center"/>
    </xf>
    <xf numFmtId="2" fontId="29" fillId="8" borderId="14" xfId="0" applyNumberFormat="1" applyFont="1" applyFill="1" applyBorder="1" applyAlignment="1">
      <alignment horizontal="center"/>
    </xf>
    <xf numFmtId="2" fontId="29" fillId="2" borderId="14" xfId="0" applyNumberFormat="1" applyFont="1" applyFill="1" applyBorder="1" applyAlignment="1">
      <alignment horizontal="center"/>
    </xf>
    <xf numFmtId="2" fontId="29" fillId="0" borderId="14" xfId="0" applyNumberFormat="1" applyFont="1" applyFill="1" applyBorder="1" applyAlignment="1">
      <alignment horizontal="center"/>
    </xf>
    <xf numFmtId="2" fontId="29" fillId="0" borderId="15" xfId="0" applyNumberFormat="1" applyFont="1" applyFill="1" applyBorder="1" applyAlignment="1">
      <alignment horizontal="center"/>
    </xf>
    <xf numFmtId="2" fontId="45" fillId="2" borderId="14" xfId="0" applyNumberFormat="1" applyFont="1" applyFill="1" applyBorder="1" applyAlignment="1">
      <alignment horizontal="center"/>
    </xf>
    <xf numFmtId="0" fontId="18" fillId="3" borderId="12" xfId="0" applyFont="1" applyFill="1" applyBorder="1" applyAlignment="1">
      <alignment horizontal="left"/>
    </xf>
    <xf numFmtId="44" fontId="10" fillId="0" borderId="0" xfId="2" applyFont="1" applyBorder="1"/>
    <xf numFmtId="44" fontId="10" fillId="0" borderId="6" xfId="2" applyFont="1" applyBorder="1"/>
    <xf numFmtId="44" fontId="38" fillId="8" borderId="0" xfId="2" applyFont="1" applyFill="1" applyBorder="1" applyAlignment="1">
      <alignment vertical="center"/>
    </xf>
    <xf numFmtId="44" fontId="10" fillId="0" borderId="0" xfId="2" applyFont="1" applyFill="1" applyBorder="1"/>
    <xf numFmtId="44" fontId="10" fillId="0" borderId="6" xfId="2" applyFont="1" applyFill="1" applyBorder="1"/>
    <xf numFmtId="44" fontId="10" fillId="0" borderId="8" xfId="2" applyFont="1" applyFill="1" applyBorder="1"/>
    <xf numFmtId="44" fontId="10" fillId="0" borderId="13" xfId="2" applyFont="1" applyFill="1" applyBorder="1"/>
    <xf numFmtId="44" fontId="37" fillId="6" borderId="0" xfId="2" applyFont="1" applyFill="1" applyAlignment="1">
      <alignment vertical="center"/>
    </xf>
    <xf numFmtId="44" fontId="41" fillId="10" borderId="0" xfId="2" applyFont="1" applyFill="1"/>
    <xf numFmtId="9" fontId="48" fillId="11" borderId="0" xfId="1" applyFont="1" applyFill="1" applyAlignment="1">
      <alignment horizontal="right"/>
    </xf>
    <xf numFmtId="0" fontId="24" fillId="11" borderId="0" xfId="0" applyFont="1" applyFill="1"/>
    <xf numFmtId="44" fontId="24" fillId="11" borderId="0" xfId="2" applyFont="1" applyFill="1"/>
    <xf numFmtId="9" fontId="48" fillId="0" borderId="0" xfId="1" applyFont="1" applyFill="1" applyAlignment="1">
      <alignment horizontal="right"/>
    </xf>
    <xf numFmtId="0" fontId="49" fillId="0" borderId="0" xfId="0" applyFont="1"/>
    <xf numFmtId="44" fontId="49" fillId="0" borderId="0" xfId="2" applyFont="1"/>
    <xf numFmtId="0" fontId="37" fillId="10" borderId="0" xfId="0" applyFont="1" applyFill="1"/>
    <xf numFmtId="0" fontId="18" fillId="3" borderId="16" xfId="0" applyFont="1" applyFill="1" applyBorder="1" applyAlignment="1">
      <alignment horizontal="center"/>
    </xf>
    <xf numFmtId="0" fontId="19" fillId="3" borderId="16" xfId="0" applyFont="1" applyFill="1" applyBorder="1" applyAlignment="1">
      <alignment horizontal="center"/>
    </xf>
    <xf numFmtId="0" fontId="22" fillId="7" borderId="0" xfId="0" applyFont="1" applyFill="1" applyAlignment="1">
      <alignment horizontal="center" vertical="center"/>
    </xf>
    <xf numFmtId="0" fontId="22" fillId="9" borderId="0" xfId="0" applyFont="1" applyFill="1" applyAlignment="1">
      <alignment horizontal="center"/>
    </xf>
    <xf numFmtId="0" fontId="24" fillId="11" borderId="9" xfId="0" applyNumberFormat="1" applyFont="1" applyFill="1" applyBorder="1" applyAlignment="1">
      <alignment horizontal="center" vertical="center"/>
    </xf>
    <xf numFmtId="0" fontId="24" fillId="11" borderId="10" xfId="0" applyNumberFormat="1" applyFont="1" applyFill="1" applyBorder="1" applyAlignment="1">
      <alignment horizontal="center" vertical="center"/>
    </xf>
    <xf numFmtId="164" fontId="10" fillId="0" borderId="0" xfId="0" applyNumberFormat="1" applyFont="1" applyBorder="1" applyAlignment="1">
      <alignment horizontal="left" wrapText="1"/>
    </xf>
    <xf numFmtId="164" fontId="10" fillId="0" borderId="6" xfId="0" applyNumberFormat="1" applyFont="1" applyBorder="1" applyAlignment="1">
      <alignment horizontal="left" wrapText="1"/>
    </xf>
    <xf numFmtId="0" fontId="11" fillId="11" borderId="2" xfId="0" applyFont="1" applyFill="1" applyBorder="1" applyAlignment="1">
      <alignment horizontal="center"/>
    </xf>
    <xf numFmtId="0" fontId="11" fillId="11" borderId="4" xfId="0" applyFont="1" applyFill="1" applyBorder="1" applyAlignment="1">
      <alignment horizontal="center"/>
    </xf>
    <xf numFmtId="0" fontId="11" fillId="11" borderId="9" xfId="0" applyFont="1" applyFill="1" applyBorder="1" applyAlignment="1">
      <alignment horizontal="left" vertical="center" wrapText="1"/>
    </xf>
    <xf numFmtId="0" fontId="11" fillId="11" borderId="10" xfId="0" applyFont="1" applyFill="1" applyBorder="1" applyAlignment="1">
      <alignment horizontal="left" vertical="center" wrapText="1"/>
    </xf>
    <xf numFmtId="0" fontId="11" fillId="11" borderId="5" xfId="0" applyFont="1" applyFill="1" applyBorder="1" applyAlignment="1">
      <alignment horizontal="center"/>
    </xf>
    <xf numFmtId="0" fontId="11" fillId="11" borderId="0" xfId="0" applyFont="1" applyFill="1" applyBorder="1" applyAlignment="1">
      <alignment horizontal="center"/>
    </xf>
    <xf numFmtId="0" fontId="11" fillId="11" borderId="12" xfId="0" applyFont="1" applyFill="1" applyBorder="1" applyAlignment="1">
      <alignment horizontal="left" vertical="center" wrapText="1"/>
    </xf>
    <xf numFmtId="164" fontId="10" fillId="0" borderId="3" xfId="0" applyNumberFormat="1" applyFont="1" applyBorder="1" applyAlignment="1">
      <alignment horizontal="left" wrapText="1"/>
    </xf>
    <xf numFmtId="164" fontId="10" fillId="0" borderId="4" xfId="0" applyNumberFormat="1" applyFont="1" applyBorder="1" applyAlignment="1">
      <alignment horizontal="left" wrapText="1"/>
    </xf>
    <xf numFmtId="0" fontId="28" fillId="7" borderId="2" xfId="0" applyFont="1" applyFill="1" applyBorder="1" applyAlignment="1">
      <alignment horizontal="center"/>
    </xf>
    <xf numFmtId="0" fontId="28" fillId="7" borderId="3" xfId="0" applyFont="1" applyFill="1" applyBorder="1" applyAlignment="1">
      <alignment horizontal="center"/>
    </xf>
    <xf numFmtId="0" fontId="28" fillId="7" borderId="4" xfId="0" applyFont="1" applyFill="1" applyBorder="1" applyAlignment="1">
      <alignment horizontal="center"/>
    </xf>
    <xf numFmtId="0" fontId="11" fillId="6" borderId="9" xfId="0" applyFont="1" applyFill="1" applyBorder="1" applyAlignment="1">
      <alignment horizontal="center"/>
    </xf>
    <xf numFmtId="0" fontId="11" fillId="6" borderId="10" xfId="0" applyFont="1" applyFill="1" applyBorder="1" applyAlignment="1">
      <alignment horizontal="center"/>
    </xf>
    <xf numFmtId="0" fontId="6" fillId="0" borderId="0" xfId="0" applyFont="1" applyFill="1" applyBorder="1" applyAlignment="1">
      <alignment horizontal="left" vertical="center" wrapText="1"/>
    </xf>
    <xf numFmtId="0" fontId="10" fillId="0" borderId="0" xfId="0" applyFont="1" applyAlignment="1">
      <alignment horizontal="left" vertical="center"/>
    </xf>
    <xf numFmtId="0" fontId="11" fillId="11" borderId="9" xfId="0" applyFont="1" applyFill="1" applyBorder="1" applyAlignment="1">
      <alignment horizontal="center"/>
    </xf>
    <xf numFmtId="0" fontId="11" fillId="11" borderId="10" xfId="0" applyFont="1" applyFill="1" applyBorder="1" applyAlignment="1">
      <alignment horizontal="center"/>
    </xf>
    <xf numFmtId="0" fontId="17" fillId="7" borderId="1" xfId="0" applyFont="1" applyFill="1" applyBorder="1" applyAlignment="1">
      <alignment horizontal="center"/>
    </xf>
    <xf numFmtId="0" fontId="8" fillId="8" borderId="0" xfId="0" applyFont="1" applyFill="1" applyBorder="1" applyAlignment="1">
      <alignment horizontal="center"/>
    </xf>
    <xf numFmtId="0" fontId="38" fillId="8" borderId="5" xfId="0" applyFont="1" applyFill="1" applyBorder="1" applyAlignment="1">
      <alignment horizontal="left" vertical="center"/>
    </xf>
    <xf numFmtId="0" fontId="38" fillId="8" borderId="0" xfId="0" applyFont="1" applyFill="1" applyBorder="1" applyAlignment="1">
      <alignment horizontal="left" vertical="center"/>
    </xf>
    <xf numFmtId="0" fontId="17" fillId="4" borderId="5" xfId="0" applyFont="1" applyFill="1" applyBorder="1" applyAlignment="1">
      <alignment horizontal="center"/>
    </xf>
    <xf numFmtId="0" fontId="17" fillId="4" borderId="0" xfId="0" applyFont="1" applyFill="1" applyBorder="1" applyAlignment="1">
      <alignment horizontal="center"/>
    </xf>
    <xf numFmtId="0" fontId="37" fillId="6" borderId="0" xfId="0" applyFont="1" applyFill="1" applyAlignment="1">
      <alignment horizontal="center" vertical="center" wrapText="1"/>
    </xf>
    <xf numFmtId="0" fontId="10" fillId="13" borderId="1" xfId="0" applyFont="1" applyFill="1" applyBorder="1" applyAlignment="1">
      <alignment horizontal="left" indent="1"/>
    </xf>
    <xf numFmtId="0" fontId="10" fillId="14" borderId="1" xfId="0" applyFont="1" applyFill="1" applyBorder="1" applyAlignment="1">
      <alignment horizontal="left" indent="1"/>
    </xf>
    <xf numFmtId="0" fontId="10" fillId="15" borderId="1" xfId="0" applyFont="1" applyFill="1" applyBorder="1" applyAlignment="1">
      <alignment horizontal="left" indent="1"/>
    </xf>
  </cellXfs>
  <cellStyles count="3">
    <cellStyle name="Moneda" xfId="2" builtinId="4"/>
    <cellStyle name="Normal" xfId="0" builtinId="0"/>
    <cellStyle name="Porcentaje" xfId="1" builtinId="5"/>
  </cellStyles>
  <dxfs count="12">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style="thin">
          <color indexed="64"/>
        </right>
        <top/>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style="thin">
          <color auto="1"/>
        </top>
        <bottom style="thin">
          <color auto="1"/>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top style="thin">
          <color auto="1"/>
        </top>
        <bottom style="thin">
          <color auto="1"/>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right style="thin">
          <color indexed="64"/>
        </right>
        <top/>
        <bottom/>
      </border>
    </dxf>
    <dxf>
      <fill>
        <patternFill patternType="solid">
          <fgColor indexed="64"/>
          <bgColor theme="0"/>
        </patternFill>
      </fill>
    </dxf>
    <dxf>
      <font>
        <b/>
        <i val="0"/>
        <strike val="0"/>
        <condense val="0"/>
        <extend val="0"/>
        <outline val="0"/>
        <shadow val="0"/>
        <u val="none"/>
        <vertAlign val="baseline"/>
        <sz val="18"/>
        <color auto="1"/>
        <name val="Calibri"/>
        <scheme val="minor"/>
      </font>
      <fill>
        <patternFill patternType="solid">
          <fgColor indexed="64"/>
          <bgColor theme="0" tint="-0.34998626667073579"/>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SCAMPI%20Imagen/M&#233;tricasDeProyecto_CH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ualtop01:88/Project%20Documents/04%20-%20Ejemplos/CMMI/Core/PP/FormatoEjemplo-M&#233;tricasDeProyecto.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ProjectServiceProposal-v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qualtop01:88/Documents%20and%20Settings/agutierrez/Mis%20documentos/INNEVO/Proyectos/SIEMENS%20-%20CMMI3/CMMI@CV/20_Implementation/Landscape%20GDL/plm/02_PM/TPL_PM_Reporting_Cockpit_GDL_06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Métricas Base Recursos"/>
      <sheetName val="Métricas Base Workflow"/>
      <sheetName val="Métricas Derivadas"/>
      <sheetName val="Tablero de Control"/>
    </sheetNames>
    <sheetDataSet>
      <sheetData sheetId="0"/>
      <sheetData sheetId="1"/>
      <sheetData sheetId="2">
        <row r="95">
          <cell r="F95">
            <v>0.93</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Esfuerzo, Costos y Tamaño"/>
      <sheetName val="Recursos"/>
      <sheetName val="Defectos"/>
      <sheetName val="Estado del Proyecto"/>
      <sheetName val="Ítems de Acción"/>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de Proyecto"/>
      <sheetName val="Analisis PMO"/>
      <sheetName val="Parámetros"/>
    </sheetNames>
    <sheetDataSet>
      <sheetData sheetId="0" refreshError="1"/>
      <sheetData sheetId="1" refreshError="1"/>
      <sheetData sheetId="2">
        <row r="1">
          <cell r="A1" t="str">
            <v>IPQS</v>
          </cell>
          <cell r="B1" t="str">
            <v>MTY</v>
          </cell>
        </row>
        <row r="2">
          <cell r="A2" t="str">
            <v>ISDS</v>
          </cell>
          <cell r="B2" t="str">
            <v>GDL</v>
          </cell>
        </row>
        <row r="3">
          <cell r="B3" t="str">
            <v>DF</v>
          </cell>
        </row>
        <row r="4">
          <cell r="B4" t="str">
            <v>SJ</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s"/>
      <sheetName val="Deckblatt"/>
      <sheetName val="Index"/>
      <sheetName val="Instructions"/>
      <sheetName val="Project Monitor"/>
      <sheetName val="Project Performance"/>
      <sheetName val="Project Admin Effort"/>
      <sheetName val="MTA"/>
      <sheetName val="LOP_Graph"/>
      <sheetName val="MTC_chart"/>
      <sheetName val="MST_data_summary"/>
    </sheetNames>
    <sheetDataSet>
      <sheetData sheetId="0">
        <row r="1">
          <cell r="N1" t="str">
            <v>Project Resources</v>
          </cell>
        </row>
        <row r="2">
          <cell r="N2" t="str">
            <v>Dedicated resources are not available according to the committted project  plan</v>
          </cell>
        </row>
        <row r="3">
          <cell r="N3" t="str">
            <v>Assigned resources are temporarily not available according to the committed project plan</v>
          </cell>
        </row>
        <row r="4">
          <cell r="N4" t="str">
            <v>Dedicated resources are available according to the committed project plan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7:C10" totalsRowShown="0" headerRowDxfId="11" dataDxfId="10">
  <tableColumns count="2">
    <tableColumn id="1" xr3:uid="{00000000-0010-0000-0000-000001000000}" name="Categoría de CU" dataDxfId="9"/>
    <tableColumn id="2" xr3:uid="{00000000-0010-0000-0000-000002000000}" name="Descripción" dataDxfId="8"/>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2" displayName="Tabla2" ref="B16:C29" totalsRowShown="0" headerRowDxfId="7" dataDxfId="6">
  <tableColumns count="2">
    <tableColumn id="1" xr3:uid="{00000000-0010-0000-0100-000001000000}" name="Factor Técnico" dataDxfId="5"/>
    <tableColumn id="2" xr3:uid="{00000000-0010-0000-0100-000002000000}" name="Descripción" dataDxfId="4"/>
  </tableColumns>
  <tableStyleInfo name="TableStyleMedium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a3" displayName="Tabla3" ref="B35:C43" totalsRowShown="0" headerRowDxfId="3" dataDxfId="2">
  <tableColumns count="2">
    <tableColumn id="1" xr3:uid="{00000000-0010-0000-0200-000001000000}" name="Factor _x000a_Técnico" dataDxfId="1"/>
    <tableColumn id="2" xr3:uid="{00000000-0010-0000-0200-000002000000}" name="Descripción" dataDxfId="0"/>
  </tableColumns>
  <tableStyleInfo name="TableStyleMedium1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dimension ref="A1:D29"/>
  <sheetViews>
    <sheetView showGridLines="0" zoomScale="85" zoomScaleNormal="85" workbookViewId="0">
      <selection activeCell="C16" sqref="C16"/>
    </sheetView>
  </sheetViews>
  <sheetFormatPr baseColWidth="10" defaultColWidth="11.44140625" defaultRowHeight="10.199999999999999" x14ac:dyDescent="0.2"/>
  <cols>
    <col min="1" max="1" width="21.44140625" style="1" customWidth="1"/>
    <col min="2" max="2" width="10.88671875" style="1" customWidth="1"/>
    <col min="3" max="3" width="33" style="1" customWidth="1"/>
    <col min="4" max="4" width="25.5546875" style="1" bestFit="1" customWidth="1"/>
    <col min="5" max="16384" width="11.44140625" style="1"/>
  </cols>
  <sheetData>
    <row r="1" spans="1:4" s="71" customFormat="1" ht="37.5" customHeight="1" x14ac:dyDescent="0.5">
      <c r="A1" s="72"/>
      <c r="B1" s="70"/>
    </row>
    <row r="2" spans="1:4" s="31" customFormat="1" ht="28.8" x14ac:dyDescent="0.55000000000000004">
      <c r="A2" s="35" t="s">
        <v>79</v>
      </c>
      <c r="B2" s="36"/>
      <c r="C2" s="36"/>
      <c r="D2" s="30"/>
    </row>
    <row r="3" spans="1:4" x14ac:dyDescent="0.2">
      <c r="A3" s="2"/>
      <c r="B3" s="2"/>
      <c r="C3" s="3"/>
      <c r="D3" s="3"/>
    </row>
    <row r="4" spans="1:4" s="4" customFormat="1" ht="13.8" x14ac:dyDescent="0.3">
      <c r="A4" s="127" t="s">
        <v>77</v>
      </c>
      <c r="B4" s="5"/>
      <c r="C4" s="6"/>
      <c r="D4" s="6"/>
    </row>
    <row r="5" spans="1:4" s="4" customFormat="1" ht="13.8" x14ac:dyDescent="0.3">
      <c r="A5" s="127" t="s">
        <v>78</v>
      </c>
      <c r="C5" s="6"/>
      <c r="D5" s="6"/>
    </row>
    <row r="6" spans="1:4" s="4" customFormat="1" ht="6" customHeight="1" x14ac:dyDescent="0.3">
      <c r="A6" s="6"/>
      <c r="C6" s="6"/>
      <c r="D6" s="6"/>
    </row>
    <row r="7" spans="1:4" s="32" customFormat="1" ht="21" x14ac:dyDescent="0.4">
      <c r="A7" s="194" t="s">
        <v>9</v>
      </c>
      <c r="B7" s="195"/>
      <c r="C7" s="195"/>
      <c r="D7" s="195"/>
    </row>
    <row r="8" spans="1:4" s="33" customFormat="1" ht="21" x14ac:dyDescent="0.4">
      <c r="A8" s="34" t="s">
        <v>4</v>
      </c>
      <c r="B8" s="34" t="s">
        <v>6</v>
      </c>
      <c r="C8" s="34" t="s">
        <v>3</v>
      </c>
      <c r="D8" s="34" t="s">
        <v>5</v>
      </c>
    </row>
    <row r="9" spans="1:4" s="4" customFormat="1" ht="13.8" x14ac:dyDescent="0.3">
      <c r="A9" s="7"/>
      <c r="B9" s="8"/>
      <c r="C9" s="9"/>
      <c r="D9" s="10"/>
    </row>
    <row r="10" spans="1:4" s="4" customFormat="1" ht="13.8" x14ac:dyDescent="0.3">
      <c r="A10" s="7"/>
      <c r="B10" s="8"/>
      <c r="C10" s="9"/>
      <c r="D10" s="10"/>
    </row>
    <row r="11" spans="1:4" s="4" customFormat="1" ht="13.8" x14ac:dyDescent="0.3">
      <c r="A11" s="7"/>
      <c r="B11" s="8"/>
      <c r="C11" s="9"/>
      <c r="D11" s="10"/>
    </row>
    <row r="12" spans="1:4" s="4" customFormat="1" ht="13.8" x14ac:dyDescent="0.3">
      <c r="A12" s="7"/>
      <c r="B12" s="8"/>
      <c r="C12" s="9"/>
      <c r="D12" s="10"/>
    </row>
    <row r="13" spans="1:4" s="4" customFormat="1" ht="13.8" x14ac:dyDescent="0.3">
      <c r="A13" s="7"/>
      <c r="B13" s="8"/>
      <c r="C13" s="9"/>
      <c r="D13" s="10"/>
    </row>
    <row r="14" spans="1:4" s="4" customFormat="1" ht="13.8" x14ac:dyDescent="0.3">
      <c r="A14" s="7"/>
      <c r="B14" s="8"/>
      <c r="C14" s="9"/>
      <c r="D14" s="10"/>
    </row>
    <row r="15" spans="1:4" s="4" customFormat="1" ht="13.8" x14ac:dyDescent="0.3">
      <c r="A15" s="7"/>
      <c r="B15" s="8"/>
      <c r="C15" s="9"/>
      <c r="D15" s="10"/>
    </row>
    <row r="16" spans="1:4" s="4" customFormat="1" ht="13.8" x14ac:dyDescent="0.3">
      <c r="A16" s="7"/>
      <c r="B16" s="8"/>
      <c r="C16" s="9"/>
      <c r="D16" s="10"/>
    </row>
    <row r="17" spans="1:4" s="4" customFormat="1" ht="13.8" x14ac:dyDescent="0.3">
      <c r="A17" s="7"/>
      <c r="B17" s="8"/>
      <c r="C17" s="9"/>
      <c r="D17" s="10"/>
    </row>
    <row r="18" spans="1:4" s="4" customFormat="1" ht="13.8" x14ac:dyDescent="0.3">
      <c r="A18" s="7"/>
      <c r="B18" s="8"/>
      <c r="C18" s="9"/>
      <c r="D18" s="10"/>
    </row>
    <row r="19" spans="1:4" s="4" customFormat="1" ht="13.8" x14ac:dyDescent="0.3">
      <c r="A19" s="7"/>
      <c r="B19" s="8"/>
      <c r="C19" s="9"/>
      <c r="D19" s="10"/>
    </row>
    <row r="20" spans="1:4" s="4" customFormat="1" ht="13.8" x14ac:dyDescent="0.3">
      <c r="A20" s="7"/>
      <c r="B20" s="8"/>
      <c r="C20" s="9"/>
      <c r="D20" s="10"/>
    </row>
    <row r="21" spans="1:4" s="4" customFormat="1" ht="13.8" x14ac:dyDescent="0.3">
      <c r="A21" s="7"/>
      <c r="B21" s="8"/>
      <c r="C21" s="9"/>
      <c r="D21" s="10"/>
    </row>
    <row r="22" spans="1:4" s="4" customFormat="1" ht="13.8" x14ac:dyDescent="0.3">
      <c r="A22" s="7"/>
      <c r="B22" s="8"/>
      <c r="C22" s="9"/>
      <c r="D22" s="10"/>
    </row>
    <row r="23" spans="1:4" s="4" customFormat="1" ht="13.8" x14ac:dyDescent="0.3">
      <c r="A23" s="7"/>
      <c r="B23" s="8"/>
      <c r="C23" s="9"/>
      <c r="D23" s="10"/>
    </row>
    <row r="24" spans="1:4" s="4" customFormat="1" ht="13.8" x14ac:dyDescent="0.3">
      <c r="A24" s="7"/>
      <c r="B24" s="8"/>
      <c r="C24" s="9"/>
      <c r="D24" s="10"/>
    </row>
    <row r="25" spans="1:4" s="4" customFormat="1" ht="13.8" x14ac:dyDescent="0.3">
      <c r="A25" s="7"/>
      <c r="B25" s="8"/>
      <c r="C25" s="9"/>
      <c r="D25" s="10"/>
    </row>
    <row r="26" spans="1:4" s="4" customFormat="1" ht="13.8" x14ac:dyDescent="0.3">
      <c r="A26" s="7"/>
      <c r="B26" s="8"/>
      <c r="C26" s="9"/>
      <c r="D26" s="10"/>
    </row>
    <row r="27" spans="1:4" s="4" customFormat="1" ht="13.8" x14ac:dyDescent="0.3">
      <c r="A27" s="7"/>
      <c r="B27" s="8"/>
      <c r="C27" s="9"/>
      <c r="D27" s="10"/>
    </row>
    <row r="28" spans="1:4" s="4" customFormat="1" ht="13.8" x14ac:dyDescent="0.3">
      <c r="A28" s="7"/>
      <c r="B28" s="8"/>
      <c r="C28" s="9"/>
      <c r="D28" s="10"/>
    </row>
    <row r="29" spans="1:4" s="4" customFormat="1" ht="13.8" x14ac:dyDescent="0.3">
      <c r="A29" s="7"/>
      <c r="B29" s="8"/>
      <c r="C29" s="9"/>
      <c r="D29" s="10"/>
    </row>
  </sheetData>
  <mergeCells count="1">
    <mergeCell ref="A7:D7"/>
  </mergeCells>
  <pageMargins left="0.75" right="0.75" top="1" bottom="1"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43"/>
  <sheetViews>
    <sheetView showGridLines="0" topLeftCell="A5" zoomScale="85" zoomScaleNormal="85" workbookViewId="0">
      <selection activeCell="B36" sqref="B36:B43"/>
    </sheetView>
  </sheetViews>
  <sheetFormatPr baseColWidth="10" defaultColWidth="11.44140625" defaultRowHeight="14.4" x14ac:dyDescent="0.3"/>
  <cols>
    <col min="1" max="1" width="1.6640625" style="11" customWidth="1"/>
    <col min="2" max="2" width="25.88671875" style="11" customWidth="1"/>
    <col min="3" max="3" width="62" style="11" customWidth="1"/>
    <col min="4" max="16384" width="11.44140625" style="11"/>
  </cols>
  <sheetData>
    <row r="1" spans="1:17" ht="32.25" customHeight="1" x14ac:dyDescent="0.3"/>
    <row r="2" spans="1:17" s="37" customFormat="1" ht="25.8" x14ac:dyDescent="0.5">
      <c r="A2" s="76"/>
      <c r="B2" s="196" t="s">
        <v>116</v>
      </c>
      <c r="C2" s="196"/>
      <c r="D2" s="197" t="s">
        <v>117</v>
      </c>
      <c r="E2" s="197"/>
      <c r="F2" s="197"/>
      <c r="G2" s="197"/>
      <c r="H2" s="124"/>
      <c r="I2" s="124"/>
      <c r="J2" s="124"/>
      <c r="K2" s="124"/>
      <c r="L2" s="78"/>
      <c r="M2" s="78"/>
      <c r="N2" s="78"/>
      <c r="O2" s="78"/>
      <c r="P2" s="78"/>
      <c r="Q2" s="78"/>
    </row>
    <row r="4" spans="1:17" s="37" customFormat="1" ht="25.8" x14ac:dyDescent="0.5">
      <c r="A4" s="76"/>
      <c r="B4" s="77" t="s">
        <v>87</v>
      </c>
      <c r="C4" s="76"/>
      <c r="D4" s="76"/>
      <c r="E4" s="76"/>
      <c r="F4" s="76"/>
      <c r="G4" s="78"/>
      <c r="H4" s="78"/>
      <c r="I4" s="78"/>
      <c r="J4" s="78"/>
      <c r="K4" s="78"/>
      <c r="L4" s="78"/>
      <c r="M4" s="78"/>
      <c r="N4" s="78"/>
      <c r="O4" s="78"/>
      <c r="P4" s="78"/>
      <c r="Q4" s="78"/>
    </row>
    <row r="5" spans="1:17" x14ac:dyDescent="0.3">
      <c r="B5" s="11" t="s">
        <v>83</v>
      </c>
    </row>
    <row r="7" spans="1:17" ht="23.4" x14ac:dyDescent="0.45">
      <c r="B7" s="42" t="s">
        <v>80</v>
      </c>
      <c r="C7" s="42" t="s">
        <v>3</v>
      </c>
    </row>
    <row r="8" spans="1:17" ht="72" x14ac:dyDescent="0.3">
      <c r="B8" s="41" t="s">
        <v>10</v>
      </c>
      <c r="C8" s="40" t="s">
        <v>73</v>
      </c>
    </row>
    <row r="9" spans="1:17" ht="72" x14ac:dyDescent="0.3">
      <c r="B9" s="41" t="s">
        <v>68</v>
      </c>
      <c r="C9" s="40" t="s">
        <v>84</v>
      </c>
    </row>
    <row r="10" spans="1:17" ht="72" x14ac:dyDescent="0.3">
      <c r="B10" s="41" t="s">
        <v>69</v>
      </c>
      <c r="C10" s="40" t="s">
        <v>11</v>
      </c>
    </row>
    <row r="12" spans="1:17" s="37" customFormat="1" ht="25.8" x14ac:dyDescent="0.5">
      <c r="A12" s="76"/>
      <c r="B12" s="77" t="s">
        <v>86</v>
      </c>
      <c r="C12" s="76"/>
      <c r="D12" s="76"/>
      <c r="E12" s="76"/>
      <c r="F12" s="76"/>
      <c r="G12" s="78"/>
      <c r="H12" s="78"/>
      <c r="I12" s="78"/>
      <c r="J12" s="78"/>
      <c r="K12" s="78"/>
      <c r="L12" s="78"/>
      <c r="M12" s="78"/>
      <c r="N12" s="78"/>
      <c r="O12" s="78"/>
      <c r="P12" s="78"/>
      <c r="Q12" s="78"/>
    </row>
    <row r="13" spans="1:17" x14ac:dyDescent="0.3">
      <c r="B13" s="13" t="s">
        <v>118</v>
      </c>
    </row>
    <row r="14" spans="1:17" x14ac:dyDescent="0.3">
      <c r="B14" s="13" t="s">
        <v>82</v>
      </c>
    </row>
    <row r="16" spans="1:17" ht="24" thickBot="1" x14ac:dyDescent="0.5">
      <c r="B16" s="42" t="s">
        <v>74</v>
      </c>
      <c r="C16" s="43" t="s">
        <v>3</v>
      </c>
    </row>
    <row r="17" spans="1:256" x14ac:dyDescent="0.3">
      <c r="B17" s="53" t="s">
        <v>24</v>
      </c>
      <c r="C17" s="46" t="s">
        <v>12</v>
      </c>
    </row>
    <row r="18" spans="1:256" x14ac:dyDescent="0.3">
      <c r="B18" s="52" t="s">
        <v>25</v>
      </c>
      <c r="C18" s="47" t="s">
        <v>18</v>
      </c>
    </row>
    <row r="19" spans="1:256" x14ac:dyDescent="0.3">
      <c r="B19" s="52" t="s">
        <v>26</v>
      </c>
      <c r="C19" s="47" t="s">
        <v>19</v>
      </c>
    </row>
    <row r="20" spans="1:256" x14ac:dyDescent="0.3">
      <c r="A20" s="21"/>
      <c r="B20" s="39" t="s">
        <v>27</v>
      </c>
      <c r="C20" s="54" t="s">
        <v>20</v>
      </c>
    </row>
    <row r="21" spans="1:256" x14ac:dyDescent="0.3">
      <c r="A21" s="55"/>
      <c r="B21" s="39" t="s">
        <v>28</v>
      </c>
      <c r="C21" s="51" t="s">
        <v>21</v>
      </c>
    </row>
    <row r="22" spans="1:256" x14ac:dyDescent="0.3">
      <c r="A22" s="21"/>
      <c r="B22" s="39" t="s">
        <v>29</v>
      </c>
      <c r="C22" s="54" t="s">
        <v>13</v>
      </c>
    </row>
    <row r="23" spans="1:256" x14ac:dyDescent="0.3">
      <c r="A23" s="21"/>
      <c r="B23" s="39" t="s">
        <v>30</v>
      </c>
      <c r="C23" s="51" t="s">
        <v>14</v>
      </c>
    </row>
    <row r="24" spans="1:256" x14ac:dyDescent="0.3">
      <c r="A24" s="21"/>
      <c r="B24" s="39" t="s">
        <v>31</v>
      </c>
      <c r="C24" s="54" t="s">
        <v>15</v>
      </c>
    </row>
    <row r="25" spans="1:256" x14ac:dyDescent="0.3">
      <c r="A25" s="21"/>
      <c r="B25" s="39" t="s">
        <v>32</v>
      </c>
      <c r="C25" s="51" t="s">
        <v>71</v>
      </c>
    </row>
    <row r="26" spans="1:256" x14ac:dyDescent="0.3">
      <c r="A26" s="21"/>
      <c r="B26" s="39" t="s">
        <v>33</v>
      </c>
      <c r="C26" s="45" t="s">
        <v>16</v>
      </c>
    </row>
    <row r="27" spans="1:256" x14ac:dyDescent="0.3">
      <c r="A27" s="21"/>
      <c r="B27" s="38" t="s">
        <v>34</v>
      </c>
      <c r="C27" s="45" t="s">
        <v>22</v>
      </c>
      <c r="D27" s="15"/>
    </row>
    <row r="28" spans="1:256" x14ac:dyDescent="0.3">
      <c r="B28" s="49" t="s">
        <v>35</v>
      </c>
      <c r="C28" s="45" t="s">
        <v>75</v>
      </c>
      <c r="D28" s="15"/>
    </row>
    <row r="29" spans="1:256" ht="15" thickBot="1" x14ac:dyDescent="0.35">
      <c r="B29" s="50" t="s">
        <v>36</v>
      </c>
      <c r="C29" s="56" t="s">
        <v>23</v>
      </c>
    </row>
    <row r="31" spans="1:256" s="37" customFormat="1" ht="25.8" x14ac:dyDescent="0.5">
      <c r="A31" s="76"/>
      <c r="B31" s="77" t="s">
        <v>85</v>
      </c>
      <c r="C31" s="76"/>
      <c r="D31" s="76"/>
      <c r="E31" s="76"/>
      <c r="F31" s="76"/>
      <c r="G31" s="78"/>
      <c r="H31" s="78"/>
      <c r="I31" s="78"/>
      <c r="J31" s="78"/>
      <c r="K31" s="78"/>
      <c r="L31" s="78"/>
      <c r="M31" s="78"/>
      <c r="N31" s="78"/>
      <c r="O31" s="78"/>
      <c r="P31" s="78"/>
      <c r="Q31" s="78"/>
    </row>
    <row r="32" spans="1:256" x14ac:dyDescent="0.3">
      <c r="A32" s="13"/>
      <c r="B32" s="13" t="s">
        <v>120</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row>
    <row r="33" spans="1:256" x14ac:dyDescent="0.3">
      <c r="A33" s="13"/>
      <c r="B33" s="13" t="s">
        <v>82</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5" spans="1:256" ht="47.4" thickBot="1" x14ac:dyDescent="0.5">
      <c r="B35" s="57" t="s">
        <v>62</v>
      </c>
      <c r="C35" s="43" t="s">
        <v>3</v>
      </c>
    </row>
    <row r="36" spans="1:256" x14ac:dyDescent="0.3">
      <c r="B36" s="53" t="s">
        <v>41</v>
      </c>
      <c r="C36" s="58" t="s">
        <v>49</v>
      </c>
    </row>
    <row r="37" spans="1:256" x14ac:dyDescent="0.3">
      <c r="B37" s="41" t="s">
        <v>42</v>
      </c>
      <c r="C37" s="45" t="s">
        <v>51</v>
      </c>
    </row>
    <row r="38" spans="1:256" x14ac:dyDescent="0.3">
      <c r="B38" s="48" t="s">
        <v>43</v>
      </c>
      <c r="C38" s="47" t="s">
        <v>52</v>
      </c>
    </row>
    <row r="39" spans="1:256" x14ac:dyDescent="0.3">
      <c r="B39" s="52" t="s">
        <v>44</v>
      </c>
      <c r="C39" s="59" t="s">
        <v>72</v>
      </c>
    </row>
    <row r="40" spans="1:256" x14ac:dyDescent="0.3">
      <c r="B40" s="41" t="s">
        <v>45</v>
      </c>
      <c r="C40" s="45" t="s">
        <v>53</v>
      </c>
    </row>
    <row r="41" spans="1:256" x14ac:dyDescent="0.3">
      <c r="B41" s="48" t="s">
        <v>46</v>
      </c>
      <c r="C41" s="44" t="s">
        <v>54</v>
      </c>
    </row>
    <row r="42" spans="1:256" x14ac:dyDescent="0.3">
      <c r="B42" s="48" t="s">
        <v>47</v>
      </c>
      <c r="C42" s="44" t="s">
        <v>55</v>
      </c>
    </row>
    <row r="43" spans="1:256" ht="15" thickBot="1" x14ac:dyDescent="0.35">
      <c r="B43" s="61" t="s">
        <v>48</v>
      </c>
      <c r="C43" s="60" t="s">
        <v>56</v>
      </c>
    </row>
  </sheetData>
  <mergeCells count="2">
    <mergeCell ref="B2:C2"/>
    <mergeCell ref="D2:G2"/>
  </mergeCells>
  <phoneticPr fontId="4" type="noConversion"/>
  <pageMargins left="0.75" right="0.75" top="1" bottom="1" header="0" footer="0"/>
  <pageSetup paperSize="9" orientation="portrait" r:id="rId1"/>
  <headerFooter alignWithMargins="0"/>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42"/>
  <sheetViews>
    <sheetView showGridLines="0" topLeftCell="A10" zoomScale="99" zoomScaleNormal="70" workbookViewId="0">
      <selection activeCell="E22" sqref="E22"/>
    </sheetView>
  </sheetViews>
  <sheetFormatPr baseColWidth="10" defaultColWidth="11.44140625" defaultRowHeight="14.4" x14ac:dyDescent="0.3"/>
  <cols>
    <col min="1" max="1" width="5.33203125" style="11" customWidth="1"/>
    <col min="2" max="2" width="17" style="11" customWidth="1"/>
    <col min="3" max="3" width="59.6640625" style="11" customWidth="1"/>
    <col min="4" max="4" width="13.33203125" style="11" customWidth="1"/>
    <col min="5" max="5" width="10.109375" style="11" customWidth="1"/>
    <col min="6" max="6" width="11.88671875" style="11" customWidth="1"/>
    <col min="7" max="7" width="46.109375" style="11" customWidth="1"/>
    <col min="8" max="8" width="6.6640625" style="11" bestFit="1" customWidth="1"/>
    <col min="9" max="16384" width="11.44140625" style="11"/>
  </cols>
  <sheetData>
    <row r="2" spans="2:11" ht="18" x14ac:dyDescent="0.35">
      <c r="B2" s="73" t="s">
        <v>82</v>
      </c>
    </row>
    <row r="3" spans="2:11" ht="33" customHeight="1" x14ac:dyDescent="0.3">
      <c r="B3" s="216" t="s">
        <v>114</v>
      </c>
      <c r="C3" s="216"/>
      <c r="D3" s="216"/>
      <c r="E3" s="216"/>
      <c r="F3" s="216"/>
      <c r="G3" s="216"/>
      <c r="H3" s="216"/>
    </row>
    <row r="4" spans="2:11" x14ac:dyDescent="0.3">
      <c r="B4" s="217" t="s">
        <v>115</v>
      </c>
      <c r="C4" s="217"/>
      <c r="D4" s="217"/>
      <c r="E4" s="217"/>
      <c r="F4" s="217"/>
      <c r="G4" s="217"/>
      <c r="H4" s="217"/>
    </row>
    <row r="5" spans="2:11" x14ac:dyDescent="0.3">
      <c r="B5" s="125"/>
    </row>
    <row r="8" spans="2:11" ht="23.4" x14ac:dyDescent="0.45">
      <c r="B8" s="211" t="s">
        <v>76</v>
      </c>
      <c r="C8" s="212"/>
      <c r="D8" s="212"/>
      <c r="E8" s="212"/>
      <c r="F8" s="212"/>
      <c r="G8" s="212"/>
      <c r="H8" s="213"/>
    </row>
    <row r="9" spans="2:11" ht="18" x14ac:dyDescent="0.35">
      <c r="B9" s="104"/>
      <c r="C9" s="105"/>
      <c r="D9" s="105"/>
      <c r="E9" s="105"/>
      <c r="F9" s="105"/>
      <c r="G9" s="105" t="s">
        <v>39</v>
      </c>
      <c r="H9" s="113">
        <f>0.6+(0.01*SUM(F11:F23))</f>
        <v>0.85499999999999998</v>
      </c>
    </row>
    <row r="10" spans="2:11" ht="28.8" x14ac:dyDescent="0.3">
      <c r="B10" s="106" t="s">
        <v>62</v>
      </c>
      <c r="C10" s="107" t="s">
        <v>3</v>
      </c>
      <c r="D10" s="108" t="s">
        <v>81</v>
      </c>
      <c r="E10" s="108" t="s">
        <v>2</v>
      </c>
      <c r="F10" s="106" t="s">
        <v>37</v>
      </c>
      <c r="G10" s="214" t="s">
        <v>38</v>
      </c>
      <c r="H10" s="215"/>
    </row>
    <row r="11" spans="2:11" x14ac:dyDescent="0.3">
      <c r="B11" s="16" t="s">
        <v>24</v>
      </c>
      <c r="C11" s="17" t="s">
        <v>12</v>
      </c>
      <c r="D11" s="101">
        <v>2</v>
      </c>
      <c r="E11" s="154">
        <v>1</v>
      </c>
      <c r="F11" s="101">
        <f t="shared" ref="F11:F23" si="0">E11*D11</f>
        <v>2</v>
      </c>
      <c r="G11" s="209" t="s">
        <v>144</v>
      </c>
      <c r="H11" s="210"/>
      <c r="K11" s="15"/>
    </row>
    <row r="12" spans="2:11" x14ac:dyDescent="0.3">
      <c r="B12" s="18" t="s">
        <v>25</v>
      </c>
      <c r="C12" s="15" t="s">
        <v>18</v>
      </c>
      <c r="D12" s="102">
        <v>2</v>
      </c>
      <c r="E12" s="155">
        <v>3</v>
      </c>
      <c r="F12" s="102">
        <f t="shared" si="0"/>
        <v>6</v>
      </c>
      <c r="G12" s="200" t="s">
        <v>145</v>
      </c>
      <c r="H12" s="201"/>
    </row>
    <row r="13" spans="2:11" x14ac:dyDescent="0.3">
      <c r="B13" s="18" t="s">
        <v>26</v>
      </c>
      <c r="C13" s="15" t="s">
        <v>19</v>
      </c>
      <c r="D13" s="102">
        <v>1</v>
      </c>
      <c r="E13" s="155">
        <v>3</v>
      </c>
      <c r="F13" s="102">
        <f t="shared" si="0"/>
        <v>3</v>
      </c>
      <c r="G13" s="200" t="s">
        <v>146</v>
      </c>
      <c r="H13" s="201"/>
    </row>
    <row r="14" spans="2:11" x14ac:dyDescent="0.3">
      <c r="B14" s="18" t="s">
        <v>27</v>
      </c>
      <c r="C14" s="15" t="s">
        <v>20</v>
      </c>
      <c r="D14" s="102">
        <v>1</v>
      </c>
      <c r="E14" s="155">
        <v>2</v>
      </c>
      <c r="F14" s="102">
        <f t="shared" si="0"/>
        <v>2</v>
      </c>
      <c r="G14" s="200" t="s">
        <v>147</v>
      </c>
      <c r="H14" s="201"/>
    </row>
    <row r="15" spans="2:11" x14ac:dyDescent="0.3">
      <c r="B15" s="18" t="s">
        <v>28</v>
      </c>
      <c r="C15" s="15" t="s">
        <v>21</v>
      </c>
      <c r="D15" s="102">
        <v>1</v>
      </c>
      <c r="E15" s="155">
        <v>2</v>
      </c>
      <c r="F15" s="102">
        <f t="shared" si="0"/>
        <v>2</v>
      </c>
      <c r="G15" s="200" t="s">
        <v>148</v>
      </c>
      <c r="H15" s="201"/>
    </row>
    <row r="16" spans="2:11" x14ac:dyDescent="0.3">
      <c r="B16" s="18" t="s">
        <v>29</v>
      </c>
      <c r="C16" s="15" t="s">
        <v>13</v>
      </c>
      <c r="D16" s="102">
        <v>0.5</v>
      </c>
      <c r="E16" s="155">
        <v>3</v>
      </c>
      <c r="F16" s="102">
        <f t="shared" si="0"/>
        <v>1.5</v>
      </c>
      <c r="G16" s="15" t="s">
        <v>149</v>
      </c>
      <c r="H16" s="21"/>
    </row>
    <row r="17" spans="2:8" x14ac:dyDescent="0.3">
      <c r="B17" s="18" t="s">
        <v>30</v>
      </c>
      <c r="C17" s="15" t="s">
        <v>14</v>
      </c>
      <c r="D17" s="102">
        <v>0.5</v>
      </c>
      <c r="E17" s="155">
        <v>4</v>
      </c>
      <c r="F17" s="102">
        <f t="shared" si="0"/>
        <v>2</v>
      </c>
      <c r="G17" s="200" t="s">
        <v>150</v>
      </c>
      <c r="H17" s="201"/>
    </row>
    <row r="18" spans="2:8" x14ac:dyDescent="0.3">
      <c r="B18" s="18" t="s">
        <v>31</v>
      </c>
      <c r="C18" s="15" t="s">
        <v>15</v>
      </c>
      <c r="D18" s="102">
        <v>2</v>
      </c>
      <c r="E18" s="155">
        <v>0</v>
      </c>
      <c r="F18" s="102">
        <f t="shared" si="0"/>
        <v>0</v>
      </c>
      <c r="G18" s="15" t="s">
        <v>151</v>
      </c>
      <c r="H18" s="21"/>
    </row>
    <row r="19" spans="2:8" x14ac:dyDescent="0.3">
      <c r="B19" s="18" t="s">
        <v>32</v>
      </c>
      <c r="C19" s="15" t="s">
        <v>71</v>
      </c>
      <c r="D19" s="102">
        <v>1</v>
      </c>
      <c r="E19" s="155">
        <v>2</v>
      </c>
      <c r="F19" s="102">
        <f t="shared" si="0"/>
        <v>2</v>
      </c>
      <c r="G19" s="200" t="s">
        <v>152</v>
      </c>
      <c r="H19" s="201"/>
    </row>
    <row r="20" spans="2:8" x14ac:dyDescent="0.3">
      <c r="B20" s="18" t="s">
        <v>33</v>
      </c>
      <c r="C20" s="15" t="s">
        <v>16</v>
      </c>
      <c r="D20" s="102">
        <v>1</v>
      </c>
      <c r="E20" s="155">
        <v>1</v>
      </c>
      <c r="F20" s="102">
        <f t="shared" si="0"/>
        <v>1</v>
      </c>
      <c r="G20" s="200" t="s">
        <v>153</v>
      </c>
      <c r="H20" s="201"/>
    </row>
    <row r="21" spans="2:8" x14ac:dyDescent="0.3">
      <c r="B21" s="18" t="s">
        <v>34</v>
      </c>
      <c r="C21" s="15" t="s">
        <v>22</v>
      </c>
      <c r="D21" s="102">
        <v>1</v>
      </c>
      <c r="E21" s="155">
        <v>3</v>
      </c>
      <c r="F21" s="102">
        <f t="shared" si="0"/>
        <v>3</v>
      </c>
      <c r="G21" s="200" t="s">
        <v>154</v>
      </c>
      <c r="H21" s="201"/>
    </row>
    <row r="22" spans="2:8" x14ac:dyDescent="0.3">
      <c r="B22" s="18" t="s">
        <v>35</v>
      </c>
      <c r="C22" s="15" t="s">
        <v>75</v>
      </c>
      <c r="D22" s="102">
        <v>1</v>
      </c>
      <c r="E22" s="155">
        <v>0</v>
      </c>
      <c r="F22" s="102">
        <f t="shared" si="0"/>
        <v>0</v>
      </c>
      <c r="G22" s="200" t="s">
        <v>155</v>
      </c>
      <c r="H22" s="201"/>
    </row>
    <row r="23" spans="2:8" x14ac:dyDescent="0.3">
      <c r="B23" s="19" t="s">
        <v>36</v>
      </c>
      <c r="C23" s="20" t="s">
        <v>23</v>
      </c>
      <c r="D23" s="103">
        <v>1</v>
      </c>
      <c r="E23" s="156">
        <v>1</v>
      </c>
      <c r="F23" s="103">
        <f t="shared" si="0"/>
        <v>1</v>
      </c>
      <c r="G23" s="200" t="s">
        <v>156</v>
      </c>
      <c r="H23" s="201"/>
    </row>
    <row r="24" spans="2:8" x14ac:dyDescent="0.3">
      <c r="B24" s="109"/>
      <c r="C24" s="110"/>
      <c r="D24" s="110"/>
      <c r="E24" s="110" t="s">
        <v>63</v>
      </c>
      <c r="F24" s="111">
        <f>SUM(F11:F23)</f>
        <v>25.5</v>
      </c>
      <c r="G24" s="110"/>
      <c r="H24" s="112"/>
    </row>
    <row r="27" spans="2:8" ht="23.4" x14ac:dyDescent="0.45">
      <c r="B27" s="211" t="s">
        <v>40</v>
      </c>
      <c r="C27" s="212"/>
      <c r="D27" s="212"/>
      <c r="E27" s="212"/>
      <c r="F27" s="212"/>
      <c r="G27" s="212"/>
      <c r="H27" s="213"/>
    </row>
    <row r="28" spans="2:8" ht="18" x14ac:dyDescent="0.35">
      <c r="B28" s="105"/>
      <c r="C28" s="105"/>
      <c r="D28" s="105"/>
      <c r="E28" s="105"/>
      <c r="F28" s="105"/>
      <c r="G28" s="105" t="s">
        <v>50</v>
      </c>
      <c r="H28" s="105">
        <f>1.4+(-0.03*SUM(F30:F37))</f>
        <v>0.78499999999999992</v>
      </c>
    </row>
    <row r="29" spans="2:8" ht="28.8" x14ac:dyDescent="0.3">
      <c r="B29" s="129" t="s">
        <v>61</v>
      </c>
      <c r="C29" s="130" t="s">
        <v>3</v>
      </c>
      <c r="D29" s="131" t="s">
        <v>81</v>
      </c>
      <c r="E29" s="131" t="s">
        <v>2</v>
      </c>
      <c r="F29" s="129" t="s">
        <v>37</v>
      </c>
      <c r="G29" s="218" t="s">
        <v>38</v>
      </c>
      <c r="H29" s="219"/>
    </row>
    <row r="30" spans="2:8" x14ac:dyDescent="0.3">
      <c r="B30" s="16" t="s">
        <v>41</v>
      </c>
      <c r="C30" s="126" t="s">
        <v>49</v>
      </c>
      <c r="D30" s="132">
        <v>1.5</v>
      </c>
      <c r="E30" s="154">
        <v>1</v>
      </c>
      <c r="F30" s="132">
        <f t="shared" ref="F30:F37" si="1">E30*D30</f>
        <v>1.5</v>
      </c>
      <c r="G30" s="209"/>
      <c r="H30" s="210"/>
    </row>
    <row r="31" spans="2:8" x14ac:dyDescent="0.3">
      <c r="B31" s="18" t="s">
        <v>42</v>
      </c>
      <c r="C31" s="15" t="s">
        <v>51</v>
      </c>
      <c r="D31" s="133">
        <v>0.5</v>
      </c>
      <c r="E31" s="155">
        <v>1</v>
      </c>
      <c r="F31" s="133">
        <f t="shared" si="1"/>
        <v>0.5</v>
      </c>
      <c r="G31" s="200"/>
      <c r="H31" s="201"/>
    </row>
    <row r="32" spans="2:8" x14ac:dyDescent="0.3">
      <c r="B32" s="18" t="s">
        <v>43</v>
      </c>
      <c r="C32" s="15" t="s">
        <v>52</v>
      </c>
      <c r="D32" s="133">
        <v>1</v>
      </c>
      <c r="E32" s="155">
        <v>4</v>
      </c>
      <c r="F32" s="133">
        <f t="shared" si="1"/>
        <v>4</v>
      </c>
      <c r="G32" s="200"/>
      <c r="H32" s="201"/>
    </row>
    <row r="33" spans="2:8" x14ac:dyDescent="0.3">
      <c r="B33" s="18" t="s">
        <v>44</v>
      </c>
      <c r="C33" s="15" t="s">
        <v>72</v>
      </c>
      <c r="D33" s="133">
        <v>0.5</v>
      </c>
      <c r="E33" s="155">
        <v>3</v>
      </c>
      <c r="F33" s="133">
        <f t="shared" si="1"/>
        <v>1.5</v>
      </c>
      <c r="G33" s="200"/>
      <c r="H33" s="201"/>
    </row>
    <row r="34" spans="2:8" x14ac:dyDescent="0.3">
      <c r="B34" s="18" t="s">
        <v>45</v>
      </c>
      <c r="C34" s="15" t="s">
        <v>53</v>
      </c>
      <c r="D34" s="133">
        <v>1</v>
      </c>
      <c r="E34" s="155">
        <v>5</v>
      </c>
      <c r="F34" s="133">
        <f t="shared" si="1"/>
        <v>5</v>
      </c>
      <c r="G34" s="200"/>
      <c r="H34" s="201"/>
    </row>
    <row r="35" spans="2:8" x14ac:dyDescent="0.3">
      <c r="B35" s="18" t="s">
        <v>46</v>
      </c>
      <c r="C35" s="15" t="s">
        <v>54</v>
      </c>
      <c r="D35" s="133">
        <v>2</v>
      </c>
      <c r="E35" s="155">
        <v>3</v>
      </c>
      <c r="F35" s="133">
        <f t="shared" si="1"/>
        <v>6</v>
      </c>
      <c r="G35" s="15"/>
      <c r="H35" s="21"/>
    </row>
    <row r="36" spans="2:8" x14ac:dyDescent="0.3">
      <c r="B36" s="18" t="s">
        <v>47</v>
      </c>
      <c r="C36" s="15" t="s">
        <v>55</v>
      </c>
      <c r="D36" s="133">
        <v>-1</v>
      </c>
      <c r="E36" s="155">
        <v>4</v>
      </c>
      <c r="F36" s="133">
        <f t="shared" si="1"/>
        <v>-4</v>
      </c>
      <c r="G36" s="200"/>
      <c r="H36" s="201"/>
    </row>
    <row r="37" spans="2:8" x14ac:dyDescent="0.3">
      <c r="B37" s="18" t="s">
        <v>48</v>
      </c>
      <c r="C37" s="15" t="s">
        <v>56</v>
      </c>
      <c r="D37" s="133">
        <v>2</v>
      </c>
      <c r="E37" s="155">
        <v>3</v>
      </c>
      <c r="F37" s="133">
        <f t="shared" si="1"/>
        <v>6</v>
      </c>
      <c r="G37" s="15"/>
      <c r="H37" s="21"/>
    </row>
    <row r="38" spans="2:8" x14ac:dyDescent="0.3">
      <c r="B38" s="134"/>
      <c r="C38" s="135"/>
      <c r="D38" s="136"/>
      <c r="E38" s="135" t="s">
        <v>64</v>
      </c>
      <c r="F38" s="137">
        <f>SUM(F30:F37)</f>
        <v>20.5</v>
      </c>
      <c r="G38" s="136"/>
      <c r="H38" s="138"/>
    </row>
    <row r="40" spans="2:8" x14ac:dyDescent="0.3">
      <c r="B40" s="202" t="s">
        <v>65</v>
      </c>
      <c r="C40" s="203"/>
      <c r="F40" s="206" t="s">
        <v>66</v>
      </c>
      <c r="G40" s="207"/>
      <c r="H40" s="207"/>
    </row>
    <row r="41" spans="2:8" ht="60" customHeight="1" x14ac:dyDescent="0.3">
      <c r="B41" s="204" t="s">
        <v>112</v>
      </c>
      <c r="C41" s="205"/>
      <c r="F41" s="204" t="s">
        <v>113</v>
      </c>
      <c r="G41" s="208"/>
      <c r="H41" s="208"/>
    </row>
    <row r="42" spans="2:8" ht="43.2" x14ac:dyDescent="0.3">
      <c r="B42" s="139" t="s">
        <v>107</v>
      </c>
      <c r="C42" s="159">
        <v>4</v>
      </c>
      <c r="F42" s="140" t="s">
        <v>67</v>
      </c>
      <c r="G42" s="198">
        <v>4</v>
      </c>
      <c r="H42" s="199"/>
    </row>
  </sheetData>
  <mergeCells count="28">
    <mergeCell ref="B3:H3"/>
    <mergeCell ref="B4:H4"/>
    <mergeCell ref="G14:H14"/>
    <mergeCell ref="B27:H27"/>
    <mergeCell ref="G29:H29"/>
    <mergeCell ref="G30:H30"/>
    <mergeCell ref="G31:H31"/>
    <mergeCell ref="B8:H8"/>
    <mergeCell ref="G11:H11"/>
    <mergeCell ref="G12:H12"/>
    <mergeCell ref="G13:H13"/>
    <mergeCell ref="G10:H10"/>
    <mergeCell ref="G42:H42"/>
    <mergeCell ref="G15:H15"/>
    <mergeCell ref="B40:C40"/>
    <mergeCell ref="B41:C41"/>
    <mergeCell ref="F40:H40"/>
    <mergeCell ref="F41:H41"/>
    <mergeCell ref="G21:H21"/>
    <mergeCell ref="G22:H22"/>
    <mergeCell ref="G23:H23"/>
    <mergeCell ref="G19:H19"/>
    <mergeCell ref="G17:H17"/>
    <mergeCell ref="G36:H36"/>
    <mergeCell ref="G32:H32"/>
    <mergeCell ref="G33:H33"/>
    <mergeCell ref="G34:H34"/>
    <mergeCell ref="G20:H20"/>
  </mergeCells>
  <phoneticPr fontId="4" type="noConversion"/>
  <dataValidations count="1">
    <dataValidation type="list" allowBlank="1" showInputMessage="1" showErrorMessage="1" sqref="E30:E37 E11:E23" xr:uid="{00000000-0002-0000-0200-000000000000}">
      <formula1>"0,1,2,3,4,5"</formula1>
    </dataValidation>
  </dataValidations>
  <pageMargins left="0.75" right="0.75" top="1" bottom="1" header="0"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52"/>
  <sheetViews>
    <sheetView showGridLines="0" tabSelected="1" topLeftCell="A4" zoomScale="122" zoomScaleNormal="100" workbookViewId="0">
      <selection activeCell="C21" sqref="C21"/>
    </sheetView>
  </sheetViews>
  <sheetFormatPr baseColWidth="10" defaultColWidth="11.44140625" defaultRowHeight="14.4" x14ac:dyDescent="0.3"/>
  <cols>
    <col min="1" max="1" width="2.44140625" style="11" customWidth="1"/>
    <col min="2" max="2" width="4.6640625" style="22" customWidth="1"/>
    <col min="3" max="3" width="70.5546875" style="11" bestFit="1" customWidth="1"/>
    <col min="4" max="4" width="11" style="11" customWidth="1"/>
    <col min="5" max="5" width="7.44140625" style="22" customWidth="1"/>
    <col min="6" max="6" width="10.6640625" style="22" customWidth="1"/>
    <col min="7" max="7" width="15.6640625" style="22" bestFit="1" customWidth="1"/>
    <col min="8" max="8" width="11.44140625" style="11"/>
    <col min="9" max="9" width="12.109375" style="11" bestFit="1" customWidth="1"/>
    <col min="10" max="16384" width="11.44140625" style="11"/>
  </cols>
  <sheetData>
    <row r="1" spans="2:7" ht="33.75" customHeight="1" x14ac:dyDescent="0.3"/>
    <row r="2" spans="2:7" ht="25.8" x14ac:dyDescent="0.5">
      <c r="B2" s="220" t="s">
        <v>7</v>
      </c>
      <c r="C2" s="220"/>
      <c r="D2" s="220"/>
      <c r="E2" s="220"/>
      <c r="F2" s="220"/>
      <c r="G2" s="220"/>
    </row>
    <row r="3" spans="2:7" ht="18" x14ac:dyDescent="0.35">
      <c r="B3" s="114"/>
      <c r="C3" s="115"/>
      <c r="D3" s="116"/>
      <c r="E3" s="116"/>
      <c r="F3" s="116" t="s">
        <v>60</v>
      </c>
      <c r="G3" s="117">
        <f>SUM(G5:G52)*'Factor de complejidad Téc y Amb'!H9*'Factor de complejidad Téc y Amb'!H28</f>
        <v>345.65512499999994</v>
      </c>
    </row>
    <row r="4" spans="2:7" x14ac:dyDescent="0.3">
      <c r="B4" s="114" t="s">
        <v>0</v>
      </c>
      <c r="C4" s="118" t="s">
        <v>8</v>
      </c>
      <c r="D4" s="114" t="s">
        <v>59</v>
      </c>
      <c r="E4" s="114" t="s">
        <v>57</v>
      </c>
      <c r="F4" s="114" t="s">
        <v>17</v>
      </c>
      <c r="G4" s="114" t="s">
        <v>58</v>
      </c>
    </row>
    <row r="5" spans="2:7" x14ac:dyDescent="0.3">
      <c r="B5" s="12">
        <v>1</v>
      </c>
      <c r="C5" s="227" t="s">
        <v>195</v>
      </c>
      <c r="D5" s="25" t="s">
        <v>10</v>
      </c>
      <c r="E5" s="26" t="s">
        <v>244</v>
      </c>
      <c r="F5" s="62">
        <f>IF(D5="Simple",10,IF(D5="Promedio",15,IF(D5="Complejo",20,0)))</f>
        <v>10</v>
      </c>
      <c r="G5" s="62">
        <f t="shared" ref="G5:G33" si="0">IF(E5="Si",IF(D5="Simple",5,IF(D5="Promedio",5,IF(D5="Complejo",10,5))),F5)</f>
        <v>10</v>
      </c>
    </row>
    <row r="6" spans="2:7" x14ac:dyDescent="0.3">
      <c r="B6" s="12">
        <v>2</v>
      </c>
      <c r="C6" s="227" t="s">
        <v>196</v>
      </c>
      <c r="D6" s="25" t="s">
        <v>10</v>
      </c>
      <c r="E6" s="26" t="s">
        <v>244</v>
      </c>
      <c r="F6" s="62">
        <f>IF(D6="Simple",10,IF(D6="Promedio",15,IF(D6="Complejo",20,0)))</f>
        <v>10</v>
      </c>
      <c r="G6" s="62">
        <f t="shared" si="0"/>
        <v>10</v>
      </c>
    </row>
    <row r="7" spans="2:7" x14ac:dyDescent="0.3">
      <c r="B7" s="12">
        <v>3</v>
      </c>
      <c r="C7" s="227" t="s">
        <v>197</v>
      </c>
      <c r="D7" s="25" t="s">
        <v>10</v>
      </c>
      <c r="E7" s="26" t="s">
        <v>244</v>
      </c>
      <c r="F7" s="62">
        <f t="shared" ref="F7:F33" si="1">IF(D7="Simple",10,IF(D7="Promedio",15,IF(D7="Complejo",20,0)))</f>
        <v>10</v>
      </c>
      <c r="G7" s="62">
        <f t="shared" si="0"/>
        <v>10</v>
      </c>
    </row>
    <row r="8" spans="2:7" x14ac:dyDescent="0.3">
      <c r="B8" s="12">
        <v>4</v>
      </c>
      <c r="C8" s="227" t="s">
        <v>198</v>
      </c>
      <c r="D8" s="25" t="s">
        <v>10</v>
      </c>
      <c r="E8" s="26" t="s">
        <v>244</v>
      </c>
      <c r="F8" s="62">
        <f t="shared" si="1"/>
        <v>10</v>
      </c>
      <c r="G8" s="62">
        <f t="shared" si="0"/>
        <v>10</v>
      </c>
    </row>
    <row r="9" spans="2:7" x14ac:dyDescent="0.3">
      <c r="B9" s="12">
        <v>5</v>
      </c>
      <c r="C9" s="229" t="s">
        <v>199</v>
      </c>
      <c r="D9" s="25" t="s">
        <v>10</v>
      </c>
      <c r="E9" s="26" t="s">
        <v>244</v>
      </c>
      <c r="F9" s="62">
        <f t="shared" si="1"/>
        <v>10</v>
      </c>
      <c r="G9" s="62">
        <f t="shared" si="0"/>
        <v>10</v>
      </c>
    </row>
    <row r="10" spans="2:7" x14ac:dyDescent="0.3">
      <c r="B10" s="12">
        <v>6</v>
      </c>
      <c r="C10" s="229" t="s">
        <v>200</v>
      </c>
      <c r="D10" s="25" t="s">
        <v>10</v>
      </c>
      <c r="E10" s="26" t="s">
        <v>244</v>
      </c>
      <c r="F10" s="62">
        <f t="shared" si="1"/>
        <v>10</v>
      </c>
      <c r="G10" s="62">
        <f t="shared" si="0"/>
        <v>10</v>
      </c>
    </row>
    <row r="11" spans="2:7" x14ac:dyDescent="0.3">
      <c r="B11" s="12">
        <v>7</v>
      </c>
      <c r="C11" s="229" t="s">
        <v>201</v>
      </c>
      <c r="D11" s="25" t="s">
        <v>10</v>
      </c>
      <c r="E11" s="26" t="s">
        <v>244</v>
      </c>
      <c r="F11" s="62">
        <f t="shared" si="1"/>
        <v>10</v>
      </c>
      <c r="G11" s="62">
        <f t="shared" si="0"/>
        <v>10</v>
      </c>
    </row>
    <row r="12" spans="2:7" x14ac:dyDescent="0.3">
      <c r="B12" s="12">
        <v>8</v>
      </c>
      <c r="C12" s="229" t="s">
        <v>202</v>
      </c>
      <c r="D12" s="25" t="s">
        <v>10</v>
      </c>
      <c r="E12" s="26" t="s">
        <v>244</v>
      </c>
      <c r="F12" s="62">
        <f t="shared" si="1"/>
        <v>10</v>
      </c>
      <c r="G12" s="62">
        <f t="shared" si="0"/>
        <v>10</v>
      </c>
    </row>
    <row r="13" spans="2:7" x14ac:dyDescent="0.3">
      <c r="B13" s="12">
        <v>9</v>
      </c>
      <c r="C13" s="227" t="s">
        <v>203</v>
      </c>
      <c r="D13" s="25" t="s">
        <v>10</v>
      </c>
      <c r="E13" s="26" t="s">
        <v>244</v>
      </c>
      <c r="F13" s="62">
        <f t="shared" si="1"/>
        <v>10</v>
      </c>
      <c r="G13" s="62">
        <f t="shared" si="0"/>
        <v>10</v>
      </c>
    </row>
    <row r="14" spans="2:7" x14ac:dyDescent="0.3">
      <c r="B14" s="12">
        <v>10</v>
      </c>
      <c r="C14" s="227" t="s">
        <v>204</v>
      </c>
      <c r="D14" s="25" t="s">
        <v>10</v>
      </c>
      <c r="E14" s="26" t="s">
        <v>244</v>
      </c>
      <c r="F14" s="62">
        <f t="shared" si="1"/>
        <v>10</v>
      </c>
      <c r="G14" s="62">
        <f t="shared" si="0"/>
        <v>10</v>
      </c>
    </row>
    <row r="15" spans="2:7" x14ac:dyDescent="0.3">
      <c r="B15" s="12">
        <v>11</v>
      </c>
      <c r="C15" s="24" t="s">
        <v>205</v>
      </c>
      <c r="D15" s="25" t="s">
        <v>68</v>
      </c>
      <c r="E15" s="26" t="s">
        <v>243</v>
      </c>
      <c r="F15" s="62">
        <f t="shared" si="1"/>
        <v>15</v>
      </c>
      <c r="G15" s="62">
        <f t="shared" si="0"/>
        <v>5</v>
      </c>
    </row>
    <row r="16" spans="2:7" x14ac:dyDescent="0.3">
      <c r="B16" s="12">
        <v>12</v>
      </c>
      <c r="C16" s="227" t="s">
        <v>206</v>
      </c>
      <c r="D16" s="25" t="s">
        <v>10</v>
      </c>
      <c r="E16" s="26" t="s">
        <v>244</v>
      </c>
      <c r="F16" s="62">
        <f t="shared" si="1"/>
        <v>10</v>
      </c>
      <c r="G16" s="62">
        <f t="shared" si="0"/>
        <v>10</v>
      </c>
    </row>
    <row r="17" spans="2:7" x14ac:dyDescent="0.3">
      <c r="B17" s="12">
        <v>13</v>
      </c>
      <c r="C17" s="229" t="s">
        <v>207</v>
      </c>
      <c r="D17" s="25" t="s">
        <v>10</v>
      </c>
      <c r="E17" s="26" t="s">
        <v>244</v>
      </c>
      <c r="F17" s="62">
        <f t="shared" si="1"/>
        <v>10</v>
      </c>
      <c r="G17" s="62">
        <f t="shared" si="0"/>
        <v>10</v>
      </c>
    </row>
    <row r="18" spans="2:7" x14ac:dyDescent="0.3">
      <c r="B18" s="12">
        <v>14</v>
      </c>
      <c r="C18" s="229" t="s">
        <v>208</v>
      </c>
      <c r="D18" s="25" t="s">
        <v>10</v>
      </c>
      <c r="E18" s="26" t="s">
        <v>244</v>
      </c>
      <c r="F18" s="62">
        <f t="shared" si="1"/>
        <v>10</v>
      </c>
      <c r="G18" s="62">
        <f t="shared" si="0"/>
        <v>10</v>
      </c>
    </row>
    <row r="19" spans="2:7" x14ac:dyDescent="0.3">
      <c r="B19" s="12">
        <v>15</v>
      </c>
      <c r="C19" s="24" t="s">
        <v>209</v>
      </c>
      <c r="D19" s="25" t="s">
        <v>10</v>
      </c>
      <c r="E19" s="26" t="s">
        <v>244</v>
      </c>
      <c r="F19" s="62">
        <f t="shared" si="1"/>
        <v>10</v>
      </c>
      <c r="G19" s="62">
        <f t="shared" si="0"/>
        <v>10</v>
      </c>
    </row>
    <row r="20" spans="2:7" x14ac:dyDescent="0.3">
      <c r="B20" s="12">
        <v>16</v>
      </c>
      <c r="C20" s="24" t="s">
        <v>210</v>
      </c>
      <c r="D20" s="25" t="s">
        <v>10</v>
      </c>
      <c r="E20" s="26" t="s">
        <v>244</v>
      </c>
      <c r="F20" s="62">
        <f t="shared" si="1"/>
        <v>10</v>
      </c>
      <c r="G20" s="62">
        <f t="shared" si="0"/>
        <v>10</v>
      </c>
    </row>
    <row r="21" spans="2:7" x14ac:dyDescent="0.3">
      <c r="B21" s="12">
        <v>17</v>
      </c>
      <c r="C21" s="24" t="s">
        <v>212</v>
      </c>
      <c r="D21" s="25" t="s">
        <v>10</v>
      </c>
      <c r="E21" s="26" t="s">
        <v>244</v>
      </c>
      <c r="F21" s="62">
        <f t="shared" si="1"/>
        <v>10</v>
      </c>
      <c r="G21" s="62">
        <f t="shared" si="0"/>
        <v>10</v>
      </c>
    </row>
    <row r="22" spans="2:7" x14ac:dyDescent="0.3">
      <c r="B22" s="12">
        <v>18</v>
      </c>
      <c r="C22" s="229" t="s">
        <v>211</v>
      </c>
      <c r="D22" s="25" t="s">
        <v>10</v>
      </c>
      <c r="E22" s="26" t="s">
        <v>244</v>
      </c>
      <c r="F22" s="62">
        <f t="shared" si="1"/>
        <v>10</v>
      </c>
      <c r="G22" s="62">
        <f t="shared" si="0"/>
        <v>10</v>
      </c>
    </row>
    <row r="23" spans="2:7" x14ac:dyDescent="0.3">
      <c r="B23" s="12">
        <v>19</v>
      </c>
      <c r="C23" s="24" t="s">
        <v>213</v>
      </c>
      <c r="D23" s="25" t="s">
        <v>10</v>
      </c>
      <c r="E23" s="26" t="s">
        <v>244</v>
      </c>
      <c r="F23" s="62">
        <f t="shared" si="1"/>
        <v>10</v>
      </c>
      <c r="G23" s="62">
        <f t="shared" si="0"/>
        <v>10</v>
      </c>
    </row>
    <row r="24" spans="2:7" x14ac:dyDescent="0.3">
      <c r="B24" s="12">
        <v>20</v>
      </c>
      <c r="C24" s="24" t="s">
        <v>214</v>
      </c>
      <c r="D24" s="25" t="s">
        <v>10</v>
      </c>
      <c r="E24" s="26" t="s">
        <v>244</v>
      </c>
      <c r="F24" s="62">
        <f t="shared" si="1"/>
        <v>10</v>
      </c>
      <c r="G24" s="62">
        <f t="shared" si="0"/>
        <v>10</v>
      </c>
    </row>
    <row r="25" spans="2:7" x14ac:dyDescent="0.3">
      <c r="B25" s="12">
        <v>21</v>
      </c>
      <c r="C25" s="228" t="s">
        <v>215</v>
      </c>
      <c r="D25" s="25" t="s">
        <v>10</v>
      </c>
      <c r="E25" s="26" t="s">
        <v>244</v>
      </c>
      <c r="F25" s="62">
        <f t="shared" si="1"/>
        <v>10</v>
      </c>
      <c r="G25" s="62">
        <f t="shared" si="0"/>
        <v>10</v>
      </c>
    </row>
    <row r="26" spans="2:7" x14ac:dyDescent="0.3">
      <c r="B26" s="12">
        <v>22</v>
      </c>
      <c r="C26" s="228" t="s">
        <v>216</v>
      </c>
      <c r="D26" s="25" t="s">
        <v>10</v>
      </c>
      <c r="E26" s="26" t="s">
        <v>244</v>
      </c>
      <c r="F26" s="62">
        <f t="shared" si="1"/>
        <v>10</v>
      </c>
      <c r="G26" s="62">
        <f t="shared" si="0"/>
        <v>10</v>
      </c>
    </row>
    <row r="27" spans="2:7" x14ac:dyDescent="0.3">
      <c r="B27" s="12">
        <v>23</v>
      </c>
      <c r="C27" s="228" t="s">
        <v>217</v>
      </c>
      <c r="D27" s="25" t="s">
        <v>10</v>
      </c>
      <c r="E27" s="26" t="s">
        <v>244</v>
      </c>
      <c r="F27" s="62">
        <f t="shared" si="1"/>
        <v>10</v>
      </c>
      <c r="G27" s="62">
        <f t="shared" si="0"/>
        <v>10</v>
      </c>
    </row>
    <row r="28" spans="2:7" x14ac:dyDescent="0.3">
      <c r="B28" s="12">
        <v>24</v>
      </c>
      <c r="C28" s="228" t="s">
        <v>218</v>
      </c>
      <c r="D28" s="25" t="s">
        <v>10</v>
      </c>
      <c r="E28" s="26" t="s">
        <v>244</v>
      </c>
      <c r="F28" s="62">
        <f t="shared" si="1"/>
        <v>10</v>
      </c>
      <c r="G28" s="62">
        <f t="shared" si="0"/>
        <v>10</v>
      </c>
    </row>
    <row r="29" spans="2:7" x14ac:dyDescent="0.3">
      <c r="B29" s="12">
        <v>25</v>
      </c>
      <c r="C29" s="228" t="s">
        <v>219</v>
      </c>
      <c r="D29" s="25" t="s">
        <v>10</v>
      </c>
      <c r="E29" s="26" t="s">
        <v>244</v>
      </c>
      <c r="F29" s="62">
        <f t="shared" si="1"/>
        <v>10</v>
      </c>
      <c r="G29" s="62">
        <f t="shared" si="0"/>
        <v>10</v>
      </c>
    </row>
    <row r="30" spans="2:7" x14ac:dyDescent="0.3">
      <c r="B30" s="12">
        <v>26</v>
      </c>
      <c r="C30" s="228" t="s">
        <v>220</v>
      </c>
      <c r="D30" s="25" t="s">
        <v>10</v>
      </c>
      <c r="E30" s="26" t="s">
        <v>244</v>
      </c>
      <c r="F30" s="62">
        <f t="shared" si="1"/>
        <v>10</v>
      </c>
      <c r="G30" s="62">
        <f t="shared" si="0"/>
        <v>10</v>
      </c>
    </row>
    <row r="31" spans="2:7" x14ac:dyDescent="0.3">
      <c r="B31" s="12">
        <v>27</v>
      </c>
      <c r="C31" s="228" t="s">
        <v>221</v>
      </c>
      <c r="D31" s="25" t="s">
        <v>10</v>
      </c>
      <c r="E31" s="26" t="s">
        <v>244</v>
      </c>
      <c r="F31" s="62">
        <f t="shared" si="1"/>
        <v>10</v>
      </c>
      <c r="G31" s="62">
        <f t="shared" si="0"/>
        <v>10</v>
      </c>
    </row>
    <row r="32" spans="2:7" x14ac:dyDescent="0.3">
      <c r="B32" s="12">
        <v>28</v>
      </c>
      <c r="C32" s="24" t="s">
        <v>222</v>
      </c>
      <c r="D32" s="25" t="s">
        <v>10</v>
      </c>
      <c r="E32" s="26" t="s">
        <v>244</v>
      </c>
      <c r="F32" s="62">
        <f t="shared" si="1"/>
        <v>10</v>
      </c>
      <c r="G32" s="62">
        <f t="shared" si="0"/>
        <v>10</v>
      </c>
    </row>
    <row r="33" spans="2:7" x14ac:dyDescent="0.3">
      <c r="B33" s="12">
        <v>29</v>
      </c>
      <c r="C33" s="24" t="s">
        <v>223</v>
      </c>
      <c r="D33" s="25" t="s">
        <v>10</v>
      </c>
      <c r="E33" s="26" t="s">
        <v>244</v>
      </c>
      <c r="F33" s="62">
        <f t="shared" si="1"/>
        <v>10</v>
      </c>
      <c r="G33" s="62">
        <f t="shared" si="0"/>
        <v>10</v>
      </c>
    </row>
    <row r="34" spans="2:7" x14ac:dyDescent="0.3">
      <c r="B34" s="12">
        <v>30</v>
      </c>
      <c r="C34" s="24" t="s">
        <v>224</v>
      </c>
      <c r="D34" s="25" t="s">
        <v>10</v>
      </c>
      <c r="E34" s="26" t="s">
        <v>244</v>
      </c>
      <c r="F34" s="62">
        <f t="shared" ref="F34:F36" si="2">IF(D34="Simple",10,IF(D34="Promedio",15,IF(D34="Complejo",20,0)))</f>
        <v>10</v>
      </c>
      <c r="G34" s="62">
        <f t="shared" ref="G34:G36" si="3">IF(E34="Si",IF(D34="Simple",5,IF(D34="Promedio",5,IF(D34="Complejo",10,5))),F34)</f>
        <v>10</v>
      </c>
    </row>
    <row r="35" spans="2:7" x14ac:dyDescent="0.3">
      <c r="B35" s="12">
        <v>31</v>
      </c>
      <c r="C35" s="24" t="s">
        <v>225</v>
      </c>
      <c r="D35" s="25" t="s">
        <v>10</v>
      </c>
      <c r="E35" s="26" t="s">
        <v>244</v>
      </c>
      <c r="F35" s="62">
        <f t="shared" si="2"/>
        <v>10</v>
      </c>
      <c r="G35" s="62">
        <f t="shared" si="3"/>
        <v>10</v>
      </c>
    </row>
    <row r="36" spans="2:7" x14ac:dyDescent="0.3">
      <c r="B36" s="12">
        <v>32</v>
      </c>
      <c r="C36" s="24" t="s">
        <v>226</v>
      </c>
      <c r="D36" s="25" t="s">
        <v>68</v>
      </c>
      <c r="E36" s="26" t="s">
        <v>244</v>
      </c>
      <c r="F36" s="62">
        <f t="shared" si="2"/>
        <v>15</v>
      </c>
      <c r="G36" s="62">
        <f t="shared" si="3"/>
        <v>15</v>
      </c>
    </row>
    <row r="37" spans="2:7" x14ac:dyDescent="0.3">
      <c r="B37" s="12">
        <v>33</v>
      </c>
      <c r="C37" s="24" t="s">
        <v>227</v>
      </c>
      <c r="D37" s="25" t="s">
        <v>68</v>
      </c>
      <c r="E37" s="26" t="s">
        <v>244</v>
      </c>
      <c r="F37" s="62">
        <f t="shared" ref="F37:F50" si="4">IF(D37="Simple",10,IF(D37="Promedio",15,IF(D37="Complejo",20,0)))</f>
        <v>15</v>
      </c>
      <c r="G37" s="62">
        <f t="shared" ref="G37:G50" si="5">IF(E37="Si",IF(D37="Simple",5,IF(D37="Promedio",5,IF(D37="Complejo",10,5))),F37)</f>
        <v>15</v>
      </c>
    </row>
    <row r="38" spans="2:7" x14ac:dyDescent="0.3">
      <c r="B38" s="12">
        <v>34</v>
      </c>
      <c r="C38" s="24" t="s">
        <v>228</v>
      </c>
      <c r="D38" s="25" t="s">
        <v>10</v>
      </c>
      <c r="E38" s="26" t="s">
        <v>244</v>
      </c>
      <c r="F38" s="62">
        <f t="shared" si="4"/>
        <v>10</v>
      </c>
      <c r="G38" s="62">
        <f t="shared" si="5"/>
        <v>10</v>
      </c>
    </row>
    <row r="39" spans="2:7" x14ac:dyDescent="0.3">
      <c r="B39" s="12">
        <v>35</v>
      </c>
      <c r="C39" s="24" t="s">
        <v>229</v>
      </c>
      <c r="D39" s="25" t="s">
        <v>10</v>
      </c>
      <c r="E39" s="26" t="s">
        <v>244</v>
      </c>
      <c r="F39" s="62">
        <f t="shared" si="4"/>
        <v>10</v>
      </c>
      <c r="G39" s="62">
        <f t="shared" si="5"/>
        <v>10</v>
      </c>
    </row>
    <row r="40" spans="2:7" x14ac:dyDescent="0.3">
      <c r="B40" s="12">
        <v>36</v>
      </c>
      <c r="C40" s="24" t="s">
        <v>230</v>
      </c>
      <c r="D40" s="25" t="s">
        <v>10</v>
      </c>
      <c r="E40" s="26" t="s">
        <v>244</v>
      </c>
      <c r="F40" s="62">
        <f t="shared" si="4"/>
        <v>10</v>
      </c>
      <c r="G40" s="62">
        <f t="shared" si="5"/>
        <v>10</v>
      </c>
    </row>
    <row r="41" spans="2:7" x14ac:dyDescent="0.3">
      <c r="B41" s="12">
        <v>37</v>
      </c>
      <c r="C41" s="24" t="s">
        <v>231</v>
      </c>
      <c r="D41" s="25" t="s">
        <v>10</v>
      </c>
      <c r="E41" s="26" t="s">
        <v>244</v>
      </c>
      <c r="F41" s="62">
        <f t="shared" si="4"/>
        <v>10</v>
      </c>
      <c r="G41" s="62">
        <f t="shared" si="5"/>
        <v>10</v>
      </c>
    </row>
    <row r="42" spans="2:7" x14ac:dyDescent="0.3">
      <c r="B42" s="12">
        <v>38</v>
      </c>
      <c r="C42" s="24" t="s">
        <v>232</v>
      </c>
      <c r="D42" s="25" t="s">
        <v>68</v>
      </c>
      <c r="E42" s="26" t="s">
        <v>244</v>
      </c>
      <c r="F42" s="62">
        <f t="shared" si="4"/>
        <v>15</v>
      </c>
      <c r="G42" s="62">
        <f t="shared" si="5"/>
        <v>15</v>
      </c>
    </row>
    <row r="43" spans="2:7" x14ac:dyDescent="0.3">
      <c r="B43" s="12">
        <v>39</v>
      </c>
      <c r="C43" s="24" t="s">
        <v>233</v>
      </c>
      <c r="D43" s="25" t="s">
        <v>10</v>
      </c>
      <c r="E43" s="26" t="s">
        <v>244</v>
      </c>
      <c r="F43" s="62">
        <f t="shared" si="4"/>
        <v>10</v>
      </c>
      <c r="G43" s="62">
        <f t="shared" si="5"/>
        <v>10</v>
      </c>
    </row>
    <row r="44" spans="2:7" x14ac:dyDescent="0.3">
      <c r="B44" s="12">
        <v>40</v>
      </c>
      <c r="C44" s="24" t="s">
        <v>234</v>
      </c>
      <c r="D44" s="25" t="s">
        <v>68</v>
      </c>
      <c r="E44" s="26" t="s">
        <v>244</v>
      </c>
      <c r="F44" s="62">
        <f t="shared" si="4"/>
        <v>15</v>
      </c>
      <c r="G44" s="62">
        <f t="shared" si="5"/>
        <v>15</v>
      </c>
    </row>
    <row r="45" spans="2:7" x14ac:dyDescent="0.3">
      <c r="B45" s="12">
        <v>41</v>
      </c>
      <c r="C45" s="24" t="s">
        <v>235</v>
      </c>
      <c r="D45" s="25" t="s">
        <v>10</v>
      </c>
      <c r="E45" s="26" t="s">
        <v>244</v>
      </c>
      <c r="F45" s="62">
        <f t="shared" si="4"/>
        <v>10</v>
      </c>
      <c r="G45" s="62">
        <f t="shared" si="5"/>
        <v>10</v>
      </c>
    </row>
    <row r="46" spans="2:7" x14ac:dyDescent="0.3">
      <c r="B46" s="12">
        <v>42</v>
      </c>
      <c r="C46" s="24" t="s">
        <v>236</v>
      </c>
      <c r="D46" s="25" t="s">
        <v>68</v>
      </c>
      <c r="E46" s="26" t="s">
        <v>244</v>
      </c>
      <c r="F46" s="62">
        <f t="shared" si="4"/>
        <v>15</v>
      </c>
      <c r="G46" s="62">
        <f t="shared" si="5"/>
        <v>15</v>
      </c>
    </row>
    <row r="47" spans="2:7" x14ac:dyDescent="0.3">
      <c r="B47" s="12">
        <v>43</v>
      </c>
      <c r="C47" s="24" t="s">
        <v>237</v>
      </c>
      <c r="D47" s="25" t="s">
        <v>10</v>
      </c>
      <c r="E47" s="26" t="s">
        <v>244</v>
      </c>
      <c r="F47" s="62">
        <f t="shared" si="4"/>
        <v>10</v>
      </c>
      <c r="G47" s="62">
        <f t="shared" si="5"/>
        <v>10</v>
      </c>
    </row>
    <row r="48" spans="2:7" x14ac:dyDescent="0.3">
      <c r="B48" s="12">
        <v>44</v>
      </c>
      <c r="C48" s="24" t="s">
        <v>238</v>
      </c>
      <c r="D48" s="25" t="s">
        <v>68</v>
      </c>
      <c r="E48" s="26" t="s">
        <v>244</v>
      </c>
      <c r="F48" s="62">
        <f t="shared" si="4"/>
        <v>15</v>
      </c>
      <c r="G48" s="62">
        <f t="shared" si="5"/>
        <v>15</v>
      </c>
    </row>
    <row r="49" spans="2:7" x14ac:dyDescent="0.3">
      <c r="B49" s="12">
        <v>45</v>
      </c>
      <c r="C49" s="24" t="s">
        <v>239</v>
      </c>
      <c r="D49" s="25" t="s">
        <v>10</v>
      </c>
      <c r="E49" s="26" t="s">
        <v>244</v>
      </c>
      <c r="F49" s="62">
        <f t="shared" si="4"/>
        <v>10</v>
      </c>
      <c r="G49" s="62">
        <f t="shared" si="5"/>
        <v>10</v>
      </c>
    </row>
    <row r="50" spans="2:7" x14ac:dyDescent="0.3">
      <c r="B50" s="12">
        <v>46</v>
      </c>
      <c r="C50" s="24" t="s">
        <v>240</v>
      </c>
      <c r="D50" s="25" t="s">
        <v>68</v>
      </c>
      <c r="E50" s="26" t="s">
        <v>244</v>
      </c>
      <c r="F50" s="62">
        <f t="shared" si="4"/>
        <v>15</v>
      </c>
      <c r="G50" s="62">
        <f t="shared" si="5"/>
        <v>15</v>
      </c>
    </row>
    <row r="51" spans="2:7" x14ac:dyDescent="0.3">
      <c r="B51" s="12">
        <v>47</v>
      </c>
      <c r="C51" s="24" t="s">
        <v>241</v>
      </c>
      <c r="D51" s="25" t="s">
        <v>10</v>
      </c>
      <c r="E51" s="26" t="s">
        <v>244</v>
      </c>
      <c r="F51" s="62">
        <f t="shared" ref="F51:F52" si="6">IF(D51="Simple",10,IF(D51="Promedio",15,IF(D51="Complejo",20,0)))</f>
        <v>10</v>
      </c>
      <c r="G51" s="62">
        <f t="shared" ref="G51:G52" si="7">IF(E51="Si",IF(D51="Simple",5,IF(D51="Promedio",5,IF(D51="Complejo",10,5))),F51)</f>
        <v>10</v>
      </c>
    </row>
    <row r="52" spans="2:7" x14ac:dyDescent="0.3">
      <c r="B52" s="12">
        <v>48</v>
      </c>
      <c r="C52" s="24" t="s">
        <v>242</v>
      </c>
      <c r="D52" s="25" t="s">
        <v>68</v>
      </c>
      <c r="E52" s="26" t="s">
        <v>244</v>
      </c>
      <c r="F52" s="62">
        <f t="shared" si="6"/>
        <v>15</v>
      </c>
      <c r="G52" s="62">
        <f t="shared" si="7"/>
        <v>15</v>
      </c>
    </row>
  </sheetData>
  <mergeCells count="1">
    <mergeCell ref="B2:G2"/>
  </mergeCells>
  <phoneticPr fontId="0" type="noConversion"/>
  <dataValidations count="2">
    <dataValidation type="list" allowBlank="1" showInputMessage="1" showErrorMessage="1" sqref="D5:D52" xr:uid="{00000000-0002-0000-0300-000000000000}">
      <formula1>"Simple,Promedio,Complejo"</formula1>
    </dataValidation>
    <dataValidation type="list" allowBlank="1" showInputMessage="1" showErrorMessage="1" sqref="E5:E52" xr:uid="{00000000-0002-0000-0300-000001000000}">
      <formula1>"Si,No"</formula1>
    </dataValidation>
  </dataValidations>
  <pageMargins left="0.78740157480314965" right="0.78740157480314965" top="0.39370078740157483" bottom="0.39370078740157483" header="0" footer="0"/>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53"/>
  <sheetViews>
    <sheetView showGridLines="0" topLeftCell="A17" zoomScale="85" zoomScaleNormal="85" workbookViewId="0">
      <selection activeCell="F5" sqref="F5"/>
    </sheetView>
  </sheetViews>
  <sheetFormatPr baseColWidth="10" defaultColWidth="11.44140625" defaultRowHeight="14.4" x14ac:dyDescent="0.3"/>
  <cols>
    <col min="1" max="1" width="3.109375" style="11" customWidth="1"/>
    <col min="2" max="2" width="7.33203125" style="22" bestFit="1" customWidth="1"/>
    <col min="3" max="3" width="60.5546875" style="11" customWidth="1"/>
    <col min="4" max="4" width="10.33203125" style="22" bestFit="1" customWidth="1"/>
    <col min="5" max="5" width="26.6640625" style="22" customWidth="1"/>
    <col min="6" max="6" width="22.44140625" style="22" bestFit="1" customWidth="1"/>
    <col min="7" max="7" width="42.6640625" style="11" bestFit="1" customWidth="1"/>
    <col min="8" max="8" width="19" style="11" customWidth="1"/>
    <col min="9" max="9" width="27.33203125" style="11" bestFit="1" customWidth="1"/>
    <col min="10" max="11" width="12" style="11" bestFit="1" customWidth="1"/>
    <col min="12" max="16384" width="11.44140625" style="11"/>
  </cols>
  <sheetData>
    <row r="1" spans="2:14" s="27" customFormat="1" ht="36" customHeight="1" x14ac:dyDescent="0.3">
      <c r="B1" s="28"/>
      <c r="C1" s="28"/>
      <c r="D1" s="28"/>
      <c r="G1" s="144"/>
      <c r="H1" s="144"/>
      <c r="I1" s="144"/>
      <c r="J1" s="28"/>
      <c r="K1" s="28"/>
      <c r="L1" s="28"/>
      <c r="M1" s="28"/>
      <c r="N1" s="29"/>
    </row>
    <row r="2" spans="2:14" s="27" customFormat="1" ht="15.6" x14ac:dyDescent="0.3">
      <c r="B2" s="28"/>
      <c r="C2" s="145" t="s">
        <v>163</v>
      </c>
      <c r="D2" s="157">
        <v>6</v>
      </c>
      <c r="E2" s="221" t="s">
        <v>164</v>
      </c>
      <c r="F2" s="221"/>
      <c r="G2" s="144"/>
      <c r="H2" s="144"/>
      <c r="I2" s="144"/>
      <c r="J2" s="28"/>
      <c r="K2" s="28"/>
      <c r="L2" s="28"/>
      <c r="M2" s="28"/>
      <c r="N2" s="29"/>
    </row>
    <row r="3" spans="2:14" s="27" customFormat="1" x14ac:dyDescent="0.3">
      <c r="B3" s="28"/>
      <c r="C3" s="145" t="s">
        <v>162</v>
      </c>
      <c r="D3" s="151" t="s">
        <v>245</v>
      </c>
      <c r="E3" s="145" t="s">
        <v>159</v>
      </c>
      <c r="F3" s="158">
        <f>ROUNDUP(E7/D2,0)</f>
        <v>346</v>
      </c>
      <c r="G3" s="144"/>
      <c r="H3" s="144"/>
      <c r="I3" s="144"/>
      <c r="J3" s="28"/>
      <c r="K3" s="28"/>
      <c r="L3" s="28"/>
      <c r="M3" s="28"/>
      <c r="N3" s="29"/>
    </row>
    <row r="4" spans="2:14" s="27" customFormat="1" ht="15" customHeight="1" x14ac:dyDescent="0.3">
      <c r="B4" s="28"/>
      <c r="C4" s="145" t="s">
        <v>157</v>
      </c>
      <c r="D4" s="151">
        <f>'Factor de complejidad Téc y Amb'!C42</f>
        <v>4</v>
      </c>
      <c r="E4" s="145" t="s">
        <v>160</v>
      </c>
      <c r="F4" s="157">
        <f>F3/D3</f>
        <v>69.2</v>
      </c>
      <c r="G4" s="144"/>
      <c r="H4" s="167"/>
      <c r="I4" s="144"/>
      <c r="J4" s="28"/>
      <c r="K4" s="28"/>
      <c r="L4" s="28"/>
      <c r="M4" s="28"/>
      <c r="N4" s="29"/>
    </row>
    <row r="5" spans="2:14" s="27" customFormat="1" ht="15" customHeight="1" x14ac:dyDescent="0.3">
      <c r="B5" s="28"/>
      <c r="C5" s="145" t="s">
        <v>158</v>
      </c>
      <c r="D5" s="152">
        <f>'Estimación de Tamaño UCP'!G3</f>
        <v>345.65512499999994</v>
      </c>
      <c r="E5" s="145" t="s">
        <v>161</v>
      </c>
      <c r="F5" s="157">
        <f>F4/4</f>
        <v>17.3</v>
      </c>
      <c r="G5" s="144"/>
      <c r="H5" s="144"/>
      <c r="I5" s="144"/>
      <c r="J5" s="28"/>
      <c r="K5" s="28"/>
      <c r="L5" s="28"/>
      <c r="M5" s="28"/>
      <c r="N5" s="29"/>
    </row>
    <row r="6" spans="2:14" ht="25.8" x14ac:dyDescent="0.5">
      <c r="B6" s="224" t="s">
        <v>70</v>
      </c>
      <c r="C6" s="225"/>
      <c r="D6" s="225"/>
      <c r="E6" s="225"/>
      <c r="F6" s="225"/>
      <c r="G6" s="225"/>
      <c r="H6" s="225"/>
      <c r="I6" s="225"/>
    </row>
    <row r="7" spans="2:14" ht="21" x14ac:dyDescent="0.4">
      <c r="B7" s="63"/>
      <c r="C7" s="64"/>
      <c r="D7" s="64"/>
      <c r="E7" s="119">
        <f>SUM(E9+E15+E27+E37+E43+E31)</f>
        <v>2073.9307499999995</v>
      </c>
      <c r="F7" s="177" t="s">
        <v>194</v>
      </c>
      <c r="G7" s="63"/>
      <c r="H7" s="63"/>
      <c r="I7" s="63"/>
    </row>
    <row r="8" spans="2:14" ht="15.6" x14ac:dyDescent="0.3">
      <c r="B8" s="65" t="s">
        <v>0</v>
      </c>
      <c r="C8" s="66" t="s">
        <v>119</v>
      </c>
      <c r="D8" s="65" t="s">
        <v>1</v>
      </c>
      <c r="E8" s="171" t="s">
        <v>108</v>
      </c>
      <c r="F8" s="65" t="s">
        <v>168</v>
      </c>
      <c r="G8" s="120" t="s">
        <v>101</v>
      </c>
      <c r="H8" s="121"/>
      <c r="I8" s="148" t="s">
        <v>88</v>
      </c>
    </row>
    <row r="9" spans="2:14" ht="15.6" x14ac:dyDescent="0.3">
      <c r="B9" s="79">
        <v>1</v>
      </c>
      <c r="C9" s="82" t="s">
        <v>169</v>
      </c>
      <c r="D9" s="161">
        <v>0.05</v>
      </c>
      <c r="E9" s="172">
        <f>$E$31*D9</f>
        <v>69.131024999999994</v>
      </c>
      <c r="F9" s="93">
        <v>1</v>
      </c>
      <c r="G9" s="153" t="s">
        <v>189</v>
      </c>
      <c r="H9" s="180"/>
      <c r="I9" s="180">
        <f>SUM(I10:I14)</f>
        <v>5910.1359897540988</v>
      </c>
    </row>
    <row r="10" spans="2:14" ht="15.6" x14ac:dyDescent="0.3">
      <c r="B10" s="67">
        <v>1.1000000000000001</v>
      </c>
      <c r="C10" s="149" t="s">
        <v>174</v>
      </c>
      <c r="D10" s="168">
        <v>0.1</v>
      </c>
      <c r="E10" s="173">
        <f>$E$9*D10</f>
        <v>6.9131024999999999</v>
      </c>
      <c r="F10" s="74">
        <v>1</v>
      </c>
      <c r="G10" s="128" t="s">
        <v>138</v>
      </c>
      <c r="H10" s="178">
        <f>VLOOKUP(G10,Recursos!$B$3:$E$10,4,0)</f>
        <v>57.991803278688522</v>
      </c>
      <c r="I10" s="179">
        <f t="shared" ref="I10:I14" si="0">E10*H10*F10</f>
        <v>400.90328022540979</v>
      </c>
    </row>
    <row r="11" spans="2:14" ht="15.6" x14ac:dyDescent="0.3">
      <c r="B11" s="67">
        <v>1.2</v>
      </c>
      <c r="C11" s="149" t="s">
        <v>175</v>
      </c>
      <c r="D11" s="168">
        <v>0.3</v>
      </c>
      <c r="E11" s="173">
        <f t="shared" ref="E11" si="1">$E$9*D11</f>
        <v>20.739307499999999</v>
      </c>
      <c r="F11" s="74">
        <v>1</v>
      </c>
      <c r="G11" s="128" t="s">
        <v>139</v>
      </c>
      <c r="H11" s="178">
        <f>VLOOKUP(G11,Recursos!$B$3:$E$10,4,0)</f>
        <v>82.991803278688522</v>
      </c>
      <c r="I11" s="179">
        <f t="shared" si="0"/>
        <v>1721.1925281762294</v>
      </c>
    </row>
    <row r="12" spans="2:14" ht="15.6" x14ac:dyDescent="0.3">
      <c r="B12" s="67">
        <v>1.3</v>
      </c>
      <c r="C12" s="149" t="s">
        <v>176</v>
      </c>
      <c r="D12" s="168">
        <v>0.4</v>
      </c>
      <c r="E12" s="173">
        <f t="shared" ref="E12:E14" si="2">$E$9*D12</f>
        <v>27.65241</v>
      </c>
      <c r="F12" s="74">
        <v>1</v>
      </c>
      <c r="G12" s="128" t="s">
        <v>139</v>
      </c>
      <c r="H12" s="178">
        <f>VLOOKUP(G12,Recursos!$B$3:$E$10,4,0)</f>
        <v>82.991803278688522</v>
      </c>
      <c r="I12" s="179">
        <f t="shared" si="0"/>
        <v>2294.9233709016394</v>
      </c>
    </row>
    <row r="13" spans="2:14" ht="15.6" x14ac:dyDescent="0.3">
      <c r="B13" s="160">
        <v>1.4</v>
      </c>
      <c r="C13" s="149" t="s">
        <v>121</v>
      </c>
      <c r="D13" s="168">
        <v>0.1</v>
      </c>
      <c r="E13" s="173">
        <f t="shared" si="2"/>
        <v>6.9131024999999999</v>
      </c>
      <c r="F13" s="74">
        <v>1</v>
      </c>
      <c r="G13" s="128" t="s">
        <v>139</v>
      </c>
      <c r="H13" s="178">
        <f>VLOOKUP(G13,Recursos!$B$3:$E$10,4,0)</f>
        <v>82.991803278688522</v>
      </c>
      <c r="I13" s="179">
        <f t="shared" si="0"/>
        <v>573.73084272540984</v>
      </c>
    </row>
    <row r="14" spans="2:14" ht="15.6" x14ac:dyDescent="0.3">
      <c r="B14" s="160">
        <v>1.5</v>
      </c>
      <c r="C14" s="149" t="s">
        <v>177</v>
      </c>
      <c r="D14" s="168">
        <v>0.1</v>
      </c>
      <c r="E14" s="173">
        <f t="shared" si="2"/>
        <v>6.9131024999999999</v>
      </c>
      <c r="F14" s="74">
        <v>1</v>
      </c>
      <c r="G14" s="128" t="s">
        <v>89</v>
      </c>
      <c r="H14" s="178">
        <f>VLOOKUP(G14,Recursos!$B$3:$E$10,4,0)</f>
        <v>132.99180327868854</v>
      </c>
      <c r="I14" s="179">
        <f t="shared" si="0"/>
        <v>919.38596772540996</v>
      </c>
    </row>
    <row r="15" spans="2:14" ht="15.6" x14ac:dyDescent="0.3">
      <c r="B15" s="79">
        <v>2</v>
      </c>
      <c r="C15" s="82" t="s">
        <v>170</v>
      </c>
      <c r="D15" s="161">
        <v>0.15</v>
      </c>
      <c r="E15" s="172">
        <f>$E$31*D15</f>
        <v>207.39307499999995</v>
      </c>
      <c r="F15" s="93">
        <v>1</v>
      </c>
      <c r="G15" s="153" t="s">
        <v>190</v>
      </c>
      <c r="H15" s="180"/>
      <c r="I15" s="180">
        <f>SUM(I16:I26)</f>
        <v>29385.643792776638</v>
      </c>
    </row>
    <row r="16" spans="2:14" ht="15.6" x14ac:dyDescent="0.3">
      <c r="B16" s="67">
        <v>2.1</v>
      </c>
      <c r="C16" s="149" t="s">
        <v>178</v>
      </c>
      <c r="D16" s="169">
        <v>0.15</v>
      </c>
      <c r="E16" s="173">
        <f>$E$15*D16</f>
        <v>31.108961249999993</v>
      </c>
      <c r="F16" s="74">
        <v>1</v>
      </c>
      <c r="G16" s="122" t="s">
        <v>89</v>
      </c>
      <c r="H16" s="178">
        <f>VLOOKUP(G16,Recursos!$B$3:$E$10,4,0)</f>
        <v>132.99180327868854</v>
      </c>
      <c r="I16" s="179">
        <f t="shared" ref="I16:I26" si="3">E16*H16*F16</f>
        <v>4137.2368547643437</v>
      </c>
    </row>
    <row r="17" spans="2:9" ht="15.6" x14ac:dyDescent="0.3">
      <c r="B17" s="67">
        <v>2.2000000000000002</v>
      </c>
      <c r="C17" s="149" t="s">
        <v>123</v>
      </c>
      <c r="D17" s="169">
        <v>0.15</v>
      </c>
      <c r="E17" s="173">
        <f>$E$15*D17</f>
        <v>31.108961249999993</v>
      </c>
      <c r="F17" s="74">
        <v>1</v>
      </c>
      <c r="G17" s="122" t="s">
        <v>89</v>
      </c>
      <c r="H17" s="178">
        <f>VLOOKUP(G17,Recursos!$B$3:$E$10,4,0)</f>
        <v>132.99180327868854</v>
      </c>
      <c r="I17" s="179">
        <f t="shared" si="3"/>
        <v>4137.2368547643437</v>
      </c>
    </row>
    <row r="18" spans="2:9" ht="15.6" x14ac:dyDescent="0.3">
      <c r="B18" s="67">
        <v>2.2999999999999998</v>
      </c>
      <c r="C18" s="149" t="s">
        <v>179</v>
      </c>
      <c r="D18" s="169">
        <v>0.15</v>
      </c>
      <c r="E18" s="173">
        <f t="shared" ref="E18:E22" si="4">$E$15*D18</f>
        <v>31.108961249999993</v>
      </c>
      <c r="F18" s="74">
        <v>1</v>
      </c>
      <c r="G18" s="122" t="s">
        <v>89</v>
      </c>
      <c r="H18" s="178">
        <f>VLOOKUP(G18,Recursos!$B$3:$E$10,4,0)</f>
        <v>132.99180327868854</v>
      </c>
      <c r="I18" s="179">
        <f t="shared" si="3"/>
        <v>4137.2368547643437</v>
      </c>
    </row>
    <row r="19" spans="2:9" ht="15.6" x14ac:dyDescent="0.3">
      <c r="B19" s="67">
        <v>2.4</v>
      </c>
      <c r="C19" s="149" t="s">
        <v>124</v>
      </c>
      <c r="D19" s="169">
        <v>0.05</v>
      </c>
      <c r="E19" s="173">
        <f t="shared" si="4"/>
        <v>10.369653749999998</v>
      </c>
      <c r="F19" s="74">
        <v>1</v>
      </c>
      <c r="G19" s="122" t="s">
        <v>89</v>
      </c>
      <c r="H19" s="178">
        <f>VLOOKUP(G19,Recursos!$B$3:$E$10,4,0)</f>
        <v>132.99180327868854</v>
      </c>
      <c r="I19" s="179">
        <f t="shared" ref="I19:I20" si="5">E19*H19*F19</f>
        <v>1379.0789515881145</v>
      </c>
    </row>
    <row r="20" spans="2:9" ht="15.6" x14ac:dyDescent="0.3">
      <c r="B20" s="67">
        <v>2.5</v>
      </c>
      <c r="C20" s="149" t="s">
        <v>125</v>
      </c>
      <c r="D20" s="169">
        <v>0.1</v>
      </c>
      <c r="E20" s="173">
        <f t="shared" si="4"/>
        <v>20.739307499999995</v>
      </c>
      <c r="F20" s="74">
        <v>1</v>
      </c>
      <c r="G20" s="122" t="s">
        <v>89</v>
      </c>
      <c r="H20" s="178">
        <f>VLOOKUP(G20,Recursos!$B$3:$E$10,4,0)</f>
        <v>132.99180327868854</v>
      </c>
      <c r="I20" s="179">
        <f t="shared" si="5"/>
        <v>2758.157903176229</v>
      </c>
    </row>
    <row r="21" spans="2:9" ht="15.6" x14ac:dyDescent="0.3">
      <c r="B21" s="67">
        <v>2.6</v>
      </c>
      <c r="C21" s="149" t="s">
        <v>180</v>
      </c>
      <c r="D21" s="169">
        <v>0.05</v>
      </c>
      <c r="E21" s="173">
        <f t="shared" si="4"/>
        <v>10.369653749999998</v>
      </c>
      <c r="F21" s="74">
        <v>1</v>
      </c>
      <c r="G21" s="122" t="s">
        <v>89</v>
      </c>
      <c r="H21" s="178">
        <f>VLOOKUP(G21,Recursos!$B$3:$E$10,4,0)</f>
        <v>132.99180327868854</v>
      </c>
      <c r="I21" s="179">
        <f t="shared" si="3"/>
        <v>1379.0789515881145</v>
      </c>
    </row>
    <row r="22" spans="2:9" ht="15.6" x14ac:dyDescent="0.3">
      <c r="B22" s="67">
        <v>2.7</v>
      </c>
      <c r="C22" s="149" t="s">
        <v>122</v>
      </c>
      <c r="D22" s="169">
        <v>0.1</v>
      </c>
      <c r="E22" s="173">
        <f t="shared" si="4"/>
        <v>20.739307499999995</v>
      </c>
      <c r="F22" s="74">
        <v>1</v>
      </c>
      <c r="G22" s="122" t="s">
        <v>139</v>
      </c>
      <c r="H22" s="178">
        <f>VLOOKUP(G22,Recursos!$B$3:$E$10,4,0)</f>
        <v>82.991803278688522</v>
      </c>
      <c r="I22" s="179">
        <f t="shared" si="3"/>
        <v>1721.192528176229</v>
      </c>
    </row>
    <row r="23" spans="2:9" ht="15.6" x14ac:dyDescent="0.3">
      <c r="B23" s="67">
        <v>2.8</v>
      </c>
      <c r="C23" s="149" t="s">
        <v>126</v>
      </c>
      <c r="D23" s="169">
        <v>0.1</v>
      </c>
      <c r="E23" s="173">
        <f t="shared" ref="E23:E26" si="6">$E$15*D23</f>
        <v>20.739307499999995</v>
      </c>
      <c r="F23" s="74">
        <v>1</v>
      </c>
      <c r="G23" s="122" t="s">
        <v>89</v>
      </c>
      <c r="H23" s="178">
        <f>VLOOKUP(G23,Recursos!$B$3:$E$10,4,0)</f>
        <v>132.99180327868854</v>
      </c>
      <c r="I23" s="179">
        <f t="shared" si="3"/>
        <v>2758.157903176229</v>
      </c>
    </row>
    <row r="24" spans="2:9" ht="15.6" x14ac:dyDescent="0.3">
      <c r="B24" s="67">
        <v>2.9</v>
      </c>
      <c r="C24" s="149" t="s">
        <v>127</v>
      </c>
      <c r="D24" s="169">
        <v>0.05</v>
      </c>
      <c r="E24" s="173">
        <f t="shared" si="6"/>
        <v>10.369653749999998</v>
      </c>
      <c r="F24" s="74">
        <v>1</v>
      </c>
      <c r="G24" s="122" t="s">
        <v>89</v>
      </c>
      <c r="H24" s="178">
        <f>VLOOKUP(G24,Recursos!$B$3:$E$10,4,0)</f>
        <v>132.99180327868854</v>
      </c>
      <c r="I24" s="179">
        <f t="shared" si="3"/>
        <v>1379.0789515881145</v>
      </c>
    </row>
    <row r="25" spans="2:9" ht="15.6" x14ac:dyDescent="0.3">
      <c r="B25" s="69">
        <v>2.1</v>
      </c>
      <c r="C25" s="149" t="s">
        <v>128</v>
      </c>
      <c r="D25" s="169">
        <v>0.05</v>
      </c>
      <c r="E25" s="173">
        <f t="shared" si="6"/>
        <v>10.369653749999998</v>
      </c>
      <c r="F25" s="74">
        <v>1</v>
      </c>
      <c r="G25" s="122" t="s">
        <v>89</v>
      </c>
      <c r="H25" s="178">
        <f>VLOOKUP(G25,Recursos!$B$3:$E$10,4,0)</f>
        <v>132.99180327868854</v>
      </c>
      <c r="I25" s="179">
        <f t="shared" si="3"/>
        <v>1379.0789515881145</v>
      </c>
    </row>
    <row r="26" spans="2:9" ht="15.6" x14ac:dyDescent="0.3">
      <c r="B26" s="69">
        <v>2.11</v>
      </c>
      <c r="C26" s="149" t="s">
        <v>129</v>
      </c>
      <c r="D26" s="169">
        <v>0.05</v>
      </c>
      <c r="E26" s="173">
        <f t="shared" si="6"/>
        <v>10.369653749999998</v>
      </c>
      <c r="F26" s="74">
        <v>4</v>
      </c>
      <c r="G26" s="122" t="s">
        <v>141</v>
      </c>
      <c r="H26" s="178">
        <f>VLOOKUP(G26,Recursos!$B$3:$E$10,4,0)</f>
        <v>101.74180327868852</v>
      </c>
      <c r="I26" s="179">
        <f t="shared" si="3"/>
        <v>4220.1090876024582</v>
      </c>
    </row>
    <row r="27" spans="2:9" ht="15.6" x14ac:dyDescent="0.3">
      <c r="B27" s="79">
        <v>3</v>
      </c>
      <c r="C27" s="82" t="s">
        <v>171</v>
      </c>
      <c r="D27" s="161">
        <v>0.1</v>
      </c>
      <c r="E27" s="172">
        <f>$E$31*D27</f>
        <v>138.26204999999999</v>
      </c>
      <c r="F27" s="93">
        <v>1</v>
      </c>
      <c r="G27" s="153" t="s">
        <v>191</v>
      </c>
      <c r="H27" s="180"/>
      <c r="I27" s="180">
        <f>SUM(I28:I36)</f>
        <v>589324.98869262286</v>
      </c>
    </row>
    <row r="28" spans="2:9" ht="15.6" x14ac:dyDescent="0.3">
      <c r="B28" s="67">
        <v>3.1</v>
      </c>
      <c r="C28" s="149" t="s">
        <v>173</v>
      </c>
      <c r="D28" s="169">
        <v>0.1</v>
      </c>
      <c r="E28" s="173">
        <f>$E$27*D28</f>
        <v>13.826205</v>
      </c>
      <c r="F28" s="81">
        <v>1</v>
      </c>
      <c r="G28" s="122" t="s">
        <v>139</v>
      </c>
      <c r="H28" s="178">
        <f>VLOOKUP(G28,Recursos!$B$3:$E$10,4,0)</f>
        <v>82.991803278688522</v>
      </c>
      <c r="I28" s="179">
        <f t="shared" ref="I28:I36" si="7">E28*H28*F28</f>
        <v>1147.4616854508197</v>
      </c>
    </row>
    <row r="29" spans="2:9" ht="15.6" x14ac:dyDescent="0.3">
      <c r="B29" s="67">
        <v>3.2</v>
      </c>
      <c r="C29" s="149" t="s">
        <v>130</v>
      </c>
      <c r="D29" s="169">
        <v>0.1</v>
      </c>
      <c r="E29" s="173">
        <f>$E$27*D29</f>
        <v>13.826205</v>
      </c>
      <c r="F29" s="81">
        <v>1</v>
      </c>
      <c r="G29" s="122" t="s">
        <v>90</v>
      </c>
      <c r="H29" s="178">
        <f>VLOOKUP(G29,Recursos!$B$3:$E$10,4,0)</f>
        <v>39.241803278688522</v>
      </c>
      <c r="I29" s="179">
        <f t="shared" si="7"/>
        <v>542.56521670081963</v>
      </c>
    </row>
    <row r="30" spans="2:9" ht="15.6" x14ac:dyDescent="0.3">
      <c r="B30" s="67">
        <v>3.5</v>
      </c>
      <c r="C30" s="149" t="s">
        <v>131</v>
      </c>
      <c r="D30" s="169">
        <v>0.05</v>
      </c>
      <c r="E30" s="173">
        <f>$E$27*D30</f>
        <v>6.9131024999999999</v>
      </c>
      <c r="F30" s="81">
        <v>1</v>
      </c>
      <c r="G30" s="122" t="s">
        <v>89</v>
      </c>
      <c r="H30" s="178">
        <f>VLOOKUP(G30,Recursos!$B$3:$E$10,4,0)</f>
        <v>132.99180327868854</v>
      </c>
      <c r="I30" s="179">
        <f t="shared" si="7"/>
        <v>919.38596772540996</v>
      </c>
    </row>
    <row r="31" spans="2:9" s="143" customFormat="1" ht="15.6" x14ac:dyDescent="0.3">
      <c r="B31" s="67">
        <v>3.6</v>
      </c>
      <c r="C31" s="150" t="s">
        <v>132</v>
      </c>
      <c r="D31" s="169"/>
      <c r="E31" s="176">
        <f>D4*D5</f>
        <v>1382.6204999999998</v>
      </c>
      <c r="F31" s="81">
        <v>4</v>
      </c>
      <c r="G31" s="122" t="s">
        <v>141</v>
      </c>
      <c r="H31" s="178">
        <f>VLOOKUP(G31,Recursos!$B$3:$E$10,4,0)</f>
        <v>101.74180327868852</v>
      </c>
      <c r="I31" s="179">
        <f t="shared" si="7"/>
        <v>562681.21168032777</v>
      </c>
    </row>
    <row r="32" spans="2:9" ht="15.6" x14ac:dyDescent="0.3">
      <c r="B32" s="67">
        <v>3.7</v>
      </c>
      <c r="C32" s="149" t="s">
        <v>133</v>
      </c>
      <c r="D32" s="169">
        <v>0.15</v>
      </c>
      <c r="E32" s="173">
        <f>$E$27*D32</f>
        <v>20.739307499999999</v>
      </c>
      <c r="F32" s="81">
        <v>4</v>
      </c>
      <c r="G32" s="122" t="s">
        <v>141</v>
      </c>
      <c r="H32" s="178">
        <f>VLOOKUP(G32,Recursos!$B$3:$E$10,4,0)</f>
        <v>101.74180327868852</v>
      </c>
      <c r="I32" s="179">
        <f t="shared" si="7"/>
        <v>8440.2181752049182</v>
      </c>
    </row>
    <row r="33" spans="2:11" ht="15.6" x14ac:dyDescent="0.3">
      <c r="B33" s="67">
        <v>3.9</v>
      </c>
      <c r="C33" s="149" t="s">
        <v>134</v>
      </c>
      <c r="D33" s="169">
        <v>0.15</v>
      </c>
      <c r="E33" s="173">
        <f>$E$27*D33</f>
        <v>20.739307499999999</v>
      </c>
      <c r="F33" s="81">
        <v>4</v>
      </c>
      <c r="G33" s="122" t="s">
        <v>141</v>
      </c>
      <c r="H33" s="178">
        <f>VLOOKUP(G33,Recursos!$B$3:$E$10,4,0)</f>
        <v>101.74180327868852</v>
      </c>
      <c r="I33" s="179">
        <f t="shared" si="7"/>
        <v>8440.2181752049182</v>
      </c>
    </row>
    <row r="34" spans="2:11" ht="15.6" x14ac:dyDescent="0.3">
      <c r="B34" s="69">
        <v>3.1</v>
      </c>
      <c r="C34" s="149" t="s">
        <v>135</v>
      </c>
      <c r="D34" s="169">
        <v>0.2</v>
      </c>
      <c r="E34" s="173">
        <f>$E$27*D34</f>
        <v>27.65241</v>
      </c>
      <c r="F34" s="81">
        <v>2</v>
      </c>
      <c r="G34" s="122" t="s">
        <v>90</v>
      </c>
      <c r="H34" s="178">
        <f>VLOOKUP(G34,Recursos!$B$3:$E$10,4,0)</f>
        <v>39.241803278688522</v>
      </c>
      <c r="I34" s="179">
        <f t="shared" si="7"/>
        <v>2170.2608668032785</v>
      </c>
    </row>
    <row r="35" spans="2:11" ht="15.6" x14ac:dyDescent="0.3">
      <c r="B35" s="69">
        <v>3.11</v>
      </c>
      <c r="C35" s="149" t="s">
        <v>136</v>
      </c>
      <c r="D35" s="169">
        <v>0.2</v>
      </c>
      <c r="E35" s="173">
        <f>$E$27*D35</f>
        <v>27.65241</v>
      </c>
      <c r="F35" s="81">
        <v>2</v>
      </c>
      <c r="G35" s="122" t="s">
        <v>90</v>
      </c>
      <c r="H35" s="178">
        <f>VLOOKUP(G35,Recursos!$B$3:$E$10,4,0)</f>
        <v>39.241803278688522</v>
      </c>
      <c r="I35" s="179">
        <f t="shared" si="7"/>
        <v>2170.2608668032785</v>
      </c>
    </row>
    <row r="36" spans="2:11" ht="15.6" x14ac:dyDescent="0.3">
      <c r="B36" s="69">
        <v>3.12</v>
      </c>
      <c r="C36" s="149" t="s">
        <v>181</v>
      </c>
      <c r="D36" s="169">
        <v>0.05</v>
      </c>
      <c r="E36" s="173">
        <f>$E$27*D36</f>
        <v>6.9131024999999999</v>
      </c>
      <c r="F36" s="81">
        <v>4</v>
      </c>
      <c r="G36" s="122" t="s">
        <v>141</v>
      </c>
      <c r="H36" s="178">
        <f>VLOOKUP(G36,Recursos!$B$3:$E$10,4,0)</f>
        <v>101.74180327868852</v>
      </c>
      <c r="I36" s="179">
        <f t="shared" si="7"/>
        <v>2813.4060584016393</v>
      </c>
    </row>
    <row r="37" spans="2:11" ht="15.6" x14ac:dyDescent="0.3">
      <c r="B37" s="79">
        <v>4</v>
      </c>
      <c r="C37" s="82" t="s">
        <v>172</v>
      </c>
      <c r="D37" s="161">
        <v>0.1</v>
      </c>
      <c r="E37" s="172">
        <f>$E$31*D37</f>
        <v>138.26204999999999</v>
      </c>
      <c r="F37" s="93">
        <v>1</v>
      </c>
      <c r="G37" s="153" t="s">
        <v>192</v>
      </c>
      <c r="H37" s="180"/>
      <c r="I37" s="180">
        <f>SUM(I38:I42)</f>
        <v>20336.987600409837</v>
      </c>
    </row>
    <row r="38" spans="2:11" ht="15.6" x14ac:dyDescent="0.3">
      <c r="B38" s="67">
        <v>4.0999999999999996</v>
      </c>
      <c r="C38" s="68" t="s">
        <v>137</v>
      </c>
      <c r="D38" s="169">
        <v>0.03</v>
      </c>
      <c r="E38" s="173">
        <f>$E$37*D38</f>
        <v>4.1478614999999994</v>
      </c>
      <c r="F38" s="81">
        <v>1</v>
      </c>
      <c r="G38" s="122" t="s">
        <v>89</v>
      </c>
      <c r="H38" s="178">
        <f>VLOOKUP(G38,Recursos!$B$3:$E$10,4,0)</f>
        <v>132.99180327868854</v>
      </c>
      <c r="I38" s="179">
        <f>E38*H38*F38</f>
        <v>551.63158063524588</v>
      </c>
    </row>
    <row r="39" spans="2:11" ht="15.6" x14ac:dyDescent="0.3">
      <c r="B39" s="67">
        <v>4.2</v>
      </c>
      <c r="C39" s="68" t="s">
        <v>185</v>
      </c>
      <c r="D39" s="169">
        <v>0.15</v>
      </c>
      <c r="E39" s="173">
        <f t="shared" ref="E39:E42" si="8">$E$37*D39</f>
        <v>20.739307499999999</v>
      </c>
      <c r="F39" s="81">
        <v>1</v>
      </c>
      <c r="G39" s="122" t="s">
        <v>89</v>
      </c>
      <c r="H39" s="178">
        <f>VLOOKUP(G39,Recursos!$B$3:$E$10,4,0)</f>
        <v>132.99180327868854</v>
      </c>
      <c r="I39" s="179">
        <f>E39*H39*F39</f>
        <v>2758.1579031762294</v>
      </c>
    </row>
    <row r="40" spans="2:11" ht="15.6" x14ac:dyDescent="0.3">
      <c r="B40" s="67">
        <v>4.3</v>
      </c>
      <c r="C40" s="68" t="s">
        <v>186</v>
      </c>
      <c r="D40" s="169">
        <v>0.2</v>
      </c>
      <c r="E40" s="173">
        <f t="shared" si="8"/>
        <v>27.65241</v>
      </c>
      <c r="F40" s="81">
        <v>2</v>
      </c>
      <c r="G40" s="122" t="s">
        <v>141</v>
      </c>
      <c r="H40" s="178">
        <f>VLOOKUP(G40,Recursos!$B$3:$E$10,4,0)</f>
        <v>101.74180327868852</v>
      </c>
      <c r="I40" s="179">
        <f>E40*H40*F40</f>
        <v>5626.8121168032785</v>
      </c>
    </row>
    <row r="41" spans="2:11" ht="15.6" x14ac:dyDescent="0.3">
      <c r="B41" s="67">
        <v>4.4000000000000004</v>
      </c>
      <c r="C41" s="68" t="s">
        <v>188</v>
      </c>
      <c r="D41" s="169">
        <v>0.02</v>
      </c>
      <c r="E41" s="173">
        <f t="shared" si="8"/>
        <v>2.7652409999999996</v>
      </c>
      <c r="F41" s="81">
        <v>1</v>
      </c>
      <c r="G41" s="122" t="s">
        <v>89</v>
      </c>
      <c r="H41" s="178">
        <f>VLOOKUP(G41,Recursos!$B$3:$E$10,4,0)</f>
        <v>132.99180327868854</v>
      </c>
      <c r="I41" s="179">
        <f t="shared" ref="I41:I42" si="9">E41*H41*F41</f>
        <v>367.7543870901639</v>
      </c>
    </row>
    <row r="42" spans="2:11" ht="15.6" x14ac:dyDescent="0.3">
      <c r="B42" s="67">
        <v>4.5</v>
      </c>
      <c r="C42" s="68" t="s">
        <v>187</v>
      </c>
      <c r="D42" s="169">
        <v>0.6</v>
      </c>
      <c r="E42" s="173">
        <f t="shared" si="8"/>
        <v>82.957229999999996</v>
      </c>
      <c r="F42" s="81">
        <v>1</v>
      </c>
      <c r="G42" s="122" t="s">
        <v>89</v>
      </c>
      <c r="H42" s="178">
        <f>VLOOKUP(G42,Recursos!$B$3:$E$10,4,0)</f>
        <v>132.99180327868854</v>
      </c>
      <c r="I42" s="179">
        <f t="shared" si="9"/>
        <v>11032.631612704918</v>
      </c>
    </row>
    <row r="43" spans="2:11" ht="15.6" x14ac:dyDescent="0.3">
      <c r="B43" s="79">
        <v>5</v>
      </c>
      <c r="C43" s="82" t="s">
        <v>182</v>
      </c>
      <c r="D43" s="161">
        <v>0.1</v>
      </c>
      <c r="E43" s="172">
        <f>$E$31*D43</f>
        <v>138.26204999999999</v>
      </c>
      <c r="F43" s="93">
        <v>1</v>
      </c>
      <c r="G43" s="222" t="s">
        <v>193</v>
      </c>
      <c r="H43" s="223" t="s">
        <v>82</v>
      </c>
      <c r="I43" s="180">
        <f>SUM(I44:I47)</f>
        <v>10999.341057633195</v>
      </c>
    </row>
    <row r="44" spans="2:11" ht="15.6" x14ac:dyDescent="0.3">
      <c r="B44" s="147">
        <v>5.0999999999999996</v>
      </c>
      <c r="C44" s="149" t="s">
        <v>102</v>
      </c>
      <c r="D44" s="169">
        <v>0.15</v>
      </c>
      <c r="E44" s="174">
        <f>$E$43*D44</f>
        <v>20.739307499999999</v>
      </c>
      <c r="F44" s="162">
        <v>1</v>
      </c>
      <c r="G44" s="163" t="s">
        <v>142</v>
      </c>
      <c r="H44" s="181">
        <f>VLOOKUP(G44,Recursos!$B$3:$E$10,4,0)</f>
        <v>51.741803278688522</v>
      </c>
      <c r="I44" s="182">
        <f>E44*H44*F44</f>
        <v>1073.0891688012293</v>
      </c>
    </row>
    <row r="45" spans="2:11" ht="15.6" x14ac:dyDescent="0.3">
      <c r="B45" s="67">
        <v>5.2</v>
      </c>
      <c r="C45" s="149" t="s">
        <v>104</v>
      </c>
      <c r="D45" s="169">
        <v>0.25</v>
      </c>
      <c r="E45" s="174">
        <f t="shared" ref="E45:E47" si="10">$E$43*D45</f>
        <v>34.565512499999997</v>
      </c>
      <c r="F45" s="162">
        <v>1</v>
      </c>
      <c r="G45" s="163" t="s">
        <v>140</v>
      </c>
      <c r="H45" s="181">
        <f>VLOOKUP(G45,Recursos!$B$3:$E$10,4,0)</f>
        <v>57.991803278688522</v>
      </c>
      <c r="I45" s="182">
        <f>E45*H45*F45</f>
        <v>2004.516401127049</v>
      </c>
    </row>
    <row r="46" spans="2:11" ht="15.6" x14ac:dyDescent="0.3">
      <c r="B46" s="67">
        <v>5.3</v>
      </c>
      <c r="C46" s="149" t="s">
        <v>184</v>
      </c>
      <c r="D46" s="169">
        <v>0.3</v>
      </c>
      <c r="E46" s="174">
        <f t="shared" si="10"/>
        <v>41.478614999999998</v>
      </c>
      <c r="F46" s="162">
        <v>1</v>
      </c>
      <c r="G46" s="163" t="s">
        <v>143</v>
      </c>
      <c r="H46" s="181">
        <f>VLOOKUP(G46,Recursos!$B$3:$E$10,4,0)</f>
        <v>57.991803278688522</v>
      </c>
      <c r="I46" s="182">
        <f>E46*H46*F46</f>
        <v>2405.4196813524586</v>
      </c>
    </row>
    <row r="47" spans="2:11" ht="15.6" x14ac:dyDescent="0.3">
      <c r="B47" s="146">
        <v>5.4</v>
      </c>
      <c r="C47" s="166" t="s">
        <v>183</v>
      </c>
      <c r="D47" s="170">
        <v>0.3</v>
      </c>
      <c r="E47" s="175">
        <f t="shared" si="10"/>
        <v>41.478614999999998</v>
      </c>
      <c r="F47" s="164">
        <v>1</v>
      </c>
      <c r="G47" s="165" t="s">
        <v>89</v>
      </c>
      <c r="H47" s="183">
        <f>VLOOKUP(G47,Recursos!$B$3:$E$10,4,0)</f>
        <v>132.99180327868854</v>
      </c>
      <c r="I47" s="184">
        <f>E47*H47*F47</f>
        <v>5516.3158063524588</v>
      </c>
    </row>
    <row r="48" spans="2:11" ht="63" customHeight="1" x14ac:dyDescent="0.3">
      <c r="B48" s="14"/>
      <c r="C48" s="15"/>
      <c r="D48" s="14"/>
      <c r="E48" s="14"/>
      <c r="F48" s="14"/>
      <c r="G48" s="226" t="s">
        <v>103</v>
      </c>
      <c r="H48" s="226"/>
      <c r="I48" s="185">
        <f>SUM(I43+I37+I27+I15+I9)</f>
        <v>655957.09713319666</v>
      </c>
      <c r="J48" s="94"/>
      <c r="K48" s="94"/>
    </row>
    <row r="49" spans="3:9" ht="18" x14ac:dyDescent="0.35">
      <c r="C49" s="80"/>
      <c r="G49" s="187">
        <v>0.5</v>
      </c>
      <c r="H49" s="188" t="s">
        <v>109</v>
      </c>
      <c r="I49" s="189">
        <f>I48*G49</f>
        <v>327978.54856659833</v>
      </c>
    </row>
    <row r="50" spans="3:9" ht="18" x14ac:dyDescent="0.35">
      <c r="C50" s="141"/>
      <c r="G50" s="190">
        <v>0.16</v>
      </c>
      <c r="H50" s="191" t="s">
        <v>110</v>
      </c>
      <c r="I50" s="192">
        <f>(SUM(I48:I49))*G50</f>
        <v>157429.7033119672</v>
      </c>
    </row>
    <row r="51" spans="3:9" ht="21" customHeight="1" x14ac:dyDescent="0.4">
      <c r="G51" s="123" t="s">
        <v>82</v>
      </c>
      <c r="H51" s="193" t="s">
        <v>111</v>
      </c>
      <c r="I51" s="186">
        <f>SUM(I48:I50)</f>
        <v>1141365.3490117621</v>
      </c>
    </row>
    <row r="52" spans="3:9" x14ac:dyDescent="0.3">
      <c r="C52" s="23"/>
      <c r="G52" s="75" t="s">
        <v>82</v>
      </c>
    </row>
    <row r="53" spans="3:9" x14ac:dyDescent="0.3">
      <c r="G53" s="75" t="s">
        <v>82</v>
      </c>
    </row>
  </sheetData>
  <mergeCells count="4">
    <mergeCell ref="E2:F2"/>
    <mergeCell ref="G43:H43"/>
    <mergeCell ref="B6:I6"/>
    <mergeCell ref="G48:H48"/>
  </mergeCells>
  <phoneticPr fontId="0" type="noConversion"/>
  <dataValidations count="1">
    <dataValidation type="whole" allowBlank="1" showInputMessage="1" showErrorMessage="1" sqref="F44:F47 F38:F42 F10:F14 F28:F36 F16:F26" xr:uid="{00000000-0002-0000-0400-000000000000}">
      <formula1>1</formula1>
      <formula2>10</formula2>
    </dataValidation>
  </dataValidations>
  <pageMargins left="0.78740157480314965" right="0.78740157480314965" top="0.39370078740157483" bottom="0.39370078740157483" header="0" footer="0"/>
  <pageSetup paperSize="9" orientation="landscape" r:id="rId1"/>
  <headerFooter alignWithMargins="0"/>
  <ignoredErrors>
    <ignoredError sqref="I27 I37 I43 I15" formula="1"/>
  </ignoredError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Recursos!$B$3:$B$10</xm:f>
          </x14:formula1>
          <xm:sqref>G44:G47 G38:G42 G10:G14 G28:G36 G16:G26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E22"/>
  <sheetViews>
    <sheetView zoomScaleNormal="100" workbookViewId="0">
      <selection activeCell="C3" sqref="C3"/>
    </sheetView>
  </sheetViews>
  <sheetFormatPr baseColWidth="10" defaultColWidth="11.44140625" defaultRowHeight="13.2" x14ac:dyDescent="0.25"/>
  <cols>
    <col min="2" max="2" width="28.88671875" bestFit="1" customWidth="1"/>
    <col min="3" max="3" width="22.6640625" bestFit="1" customWidth="1"/>
    <col min="4" max="4" width="18" bestFit="1" customWidth="1"/>
    <col min="5" max="5" width="22.44140625" bestFit="1" customWidth="1"/>
  </cols>
  <sheetData>
    <row r="1" spans="2:5" ht="36.75" customHeight="1" thickBot="1" x14ac:dyDescent="0.3"/>
    <row r="2" spans="2:5" x14ac:dyDescent="0.25">
      <c r="B2" s="85" t="s">
        <v>166</v>
      </c>
      <c r="C2" s="89" t="s">
        <v>167</v>
      </c>
      <c r="D2" s="86" t="s">
        <v>91</v>
      </c>
      <c r="E2" s="89" t="s">
        <v>92</v>
      </c>
    </row>
    <row r="3" spans="2:5" x14ac:dyDescent="0.25">
      <c r="B3" s="87" t="s">
        <v>89</v>
      </c>
      <c r="C3" s="95">
        <v>20000</v>
      </c>
      <c r="D3" s="96">
        <f>C3/20/8</f>
        <v>125</v>
      </c>
      <c r="E3" s="95">
        <f>SUM(D3+E$22)</f>
        <v>132.99180327868854</v>
      </c>
    </row>
    <row r="4" spans="2:5" x14ac:dyDescent="0.25">
      <c r="B4" s="87" t="s">
        <v>139</v>
      </c>
      <c r="C4" s="95">
        <v>12000</v>
      </c>
      <c r="D4" s="96">
        <f t="shared" ref="D4:D9" si="0">C4/20/8</f>
        <v>75</v>
      </c>
      <c r="E4" s="95">
        <f t="shared" ref="E4:E8" si="1">SUM(D4+E$22)</f>
        <v>82.991803278688522</v>
      </c>
    </row>
    <row r="5" spans="2:5" x14ac:dyDescent="0.25">
      <c r="B5" s="87" t="s">
        <v>138</v>
      </c>
      <c r="C5" s="95">
        <v>8000</v>
      </c>
      <c r="D5" s="96">
        <f t="shared" si="0"/>
        <v>50</v>
      </c>
      <c r="E5" s="95">
        <f t="shared" si="1"/>
        <v>57.991803278688522</v>
      </c>
    </row>
    <row r="6" spans="2:5" x14ac:dyDescent="0.25">
      <c r="B6" s="87" t="s">
        <v>90</v>
      </c>
      <c r="C6" s="95">
        <v>5000</v>
      </c>
      <c r="D6" s="96">
        <f t="shared" si="0"/>
        <v>31.25</v>
      </c>
      <c r="E6" s="95">
        <f t="shared" si="1"/>
        <v>39.241803278688522</v>
      </c>
    </row>
    <row r="7" spans="2:5" x14ac:dyDescent="0.25">
      <c r="B7" s="87" t="s">
        <v>141</v>
      </c>
      <c r="C7" s="95">
        <v>15000</v>
      </c>
      <c r="D7" s="96">
        <f t="shared" si="0"/>
        <v>93.75</v>
      </c>
      <c r="E7" s="95">
        <f t="shared" si="1"/>
        <v>101.74180327868852</v>
      </c>
    </row>
    <row r="8" spans="2:5" x14ac:dyDescent="0.25">
      <c r="B8" s="87" t="s">
        <v>140</v>
      </c>
      <c r="C8" s="95">
        <v>8000</v>
      </c>
      <c r="D8" s="96">
        <f t="shared" si="0"/>
        <v>50</v>
      </c>
      <c r="E8" s="95">
        <f t="shared" si="1"/>
        <v>57.991803278688522</v>
      </c>
    </row>
    <row r="9" spans="2:5" x14ac:dyDescent="0.25">
      <c r="B9" s="87" t="s">
        <v>142</v>
      </c>
      <c r="C9" s="95">
        <v>7000</v>
      </c>
      <c r="D9" s="96">
        <f t="shared" si="0"/>
        <v>43.75</v>
      </c>
      <c r="E9" s="95">
        <f t="shared" ref="E9:E10" si="2">SUM(D9+E$22)</f>
        <v>51.741803278688522</v>
      </c>
    </row>
    <row r="10" spans="2:5" ht="13.8" thickBot="1" x14ac:dyDescent="0.3">
      <c r="B10" s="88" t="s">
        <v>143</v>
      </c>
      <c r="C10" s="97">
        <v>8000</v>
      </c>
      <c r="D10" s="142">
        <f>C10/20/8</f>
        <v>50</v>
      </c>
      <c r="E10" s="97">
        <f t="shared" si="2"/>
        <v>57.991803278688522</v>
      </c>
    </row>
    <row r="11" spans="2:5" ht="13.8" thickBot="1" x14ac:dyDescent="0.3"/>
    <row r="12" spans="2:5" ht="13.8" thickBot="1" x14ac:dyDescent="0.3">
      <c r="B12" s="90" t="s">
        <v>165</v>
      </c>
      <c r="C12" s="91" t="s">
        <v>88</v>
      </c>
    </row>
    <row r="13" spans="2:5" x14ac:dyDescent="0.25">
      <c r="B13" s="87" t="s">
        <v>93</v>
      </c>
      <c r="C13" s="98">
        <v>1800</v>
      </c>
    </row>
    <row r="14" spans="2:5" x14ac:dyDescent="0.25">
      <c r="B14" s="87" t="s">
        <v>94</v>
      </c>
      <c r="C14" s="98">
        <v>500</v>
      </c>
    </row>
    <row r="15" spans="2:5" x14ac:dyDescent="0.25">
      <c r="B15" s="87" t="s">
        <v>105</v>
      </c>
      <c r="C15" s="98">
        <v>500</v>
      </c>
    </row>
    <row r="16" spans="2:5" x14ac:dyDescent="0.25">
      <c r="B16" s="87" t="s">
        <v>95</v>
      </c>
      <c r="C16" s="98">
        <v>12000</v>
      </c>
    </row>
    <row r="17" spans="2:5" x14ac:dyDescent="0.25">
      <c r="B17" s="87" t="s">
        <v>96</v>
      </c>
      <c r="C17" s="98">
        <v>1800</v>
      </c>
    </row>
    <row r="18" spans="2:5" x14ac:dyDescent="0.25">
      <c r="B18" s="87" t="s">
        <v>97</v>
      </c>
      <c r="C18" s="98">
        <v>450</v>
      </c>
    </row>
    <row r="19" spans="2:5" ht="13.8" thickBot="1" x14ac:dyDescent="0.3">
      <c r="B19" s="87" t="s">
        <v>106</v>
      </c>
      <c r="C19" s="98">
        <v>500</v>
      </c>
    </row>
    <row r="20" spans="2:5" ht="13.8" thickBot="1" x14ac:dyDescent="0.3">
      <c r="B20" s="92" t="s">
        <v>98</v>
      </c>
      <c r="C20" s="99">
        <f>SUM(C13:C19)</f>
        <v>17550</v>
      </c>
    </row>
    <row r="21" spans="2:5" ht="13.8" thickBot="1" x14ac:dyDescent="0.3"/>
    <row r="22" spans="2:5" ht="13.8" thickBot="1" x14ac:dyDescent="0.3">
      <c r="B22" s="83" t="s">
        <v>99</v>
      </c>
      <c r="C22" s="84">
        <v>9</v>
      </c>
      <c r="D22" s="83" t="s">
        <v>100</v>
      </c>
      <c r="E22" s="100">
        <f>((C20/C22)/30.5/8)</f>
        <v>7.9918032786885247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tatus xmlns="035E5738-9077-49AA-867C-265905AEBD06">Final</Status>
    <Owner xmlns="035E5738-9077-49AA-867C-265905AEBD06">
      <UserInfo>
        <DisplayName/>
        <AccountId xsi:nil="true"/>
        <AccountType/>
      </UserInfo>
    </Owner>
  </documentManagement>
</p:properties>
</file>

<file path=customXml/item4.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31A9657-F60B-4F85-99EC-12093FFD5B62}">
  <ds:schemaRefs>
    <ds:schemaRef ds:uri="http://schemas.microsoft.com/office/2006/metadata/longProperties"/>
  </ds:schemaRefs>
</ds:datastoreItem>
</file>

<file path=customXml/itemProps2.xml><?xml version="1.0" encoding="utf-8"?>
<ds:datastoreItem xmlns:ds="http://schemas.openxmlformats.org/officeDocument/2006/customXml" ds:itemID="{A2CCC30F-9541-4791-B45A-F1653D3E0DD1}">
  <ds:schemaRefs>
    <ds:schemaRef ds:uri="http://schemas.microsoft.com/sharepoint/v3/contenttype/forms"/>
  </ds:schemaRefs>
</ds:datastoreItem>
</file>

<file path=customXml/itemProps3.xml><?xml version="1.0" encoding="utf-8"?>
<ds:datastoreItem xmlns:ds="http://schemas.openxmlformats.org/officeDocument/2006/customXml" ds:itemID="{41BF059D-5B27-49EC-990E-9B2C61BF22F9}">
  <ds:schemaRefs>
    <ds:schemaRef ds:uri="035E5738-9077-49AA-867C-265905AEBD06"/>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 ds:uri="http://purl.org/dc/terms/"/>
    <ds:schemaRef ds:uri="http://purl.org/dc/elements/1.1/"/>
    <ds:schemaRef ds:uri="http://schemas.microsoft.com/office/infopath/2007/PartnerControls"/>
  </ds:schemaRefs>
</ds:datastoreItem>
</file>

<file path=customXml/itemProps4.xml><?xml version="1.0" encoding="utf-8"?>
<ds:datastoreItem xmlns:ds="http://schemas.openxmlformats.org/officeDocument/2006/customXml" ds:itemID="{F8B212FF-E148-4D8E-AE09-6003AD42D4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Inf.Gral</vt:lpstr>
      <vt:lpstr>Instrucciones</vt:lpstr>
      <vt:lpstr>Factor de complejidad Téc y Amb</vt:lpstr>
      <vt:lpstr>Estimación de Tamaño UCP</vt:lpstr>
      <vt:lpstr>Estimación de Esfuerzo</vt:lpstr>
      <vt:lpstr>Recursos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dc:creator>
  <cp:lastModifiedBy>INSPIRON 5577</cp:lastModifiedBy>
  <cp:lastPrinted>2007-09-19T15:25:33Z</cp:lastPrinted>
  <dcterms:created xsi:type="dcterms:W3CDTF">2001-07-30T17:19:04Z</dcterms:created>
  <dcterms:modified xsi:type="dcterms:W3CDTF">2019-03-01T00:52:01Z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05099eef-2cc9-44f2-a8eb-cad65db9572a</vt:lpwstr>
  </property>
  <property fmtid="{D5CDD505-2E9C-101B-9397-08002B2CF9AE}" pid="3" name="ContentType">
    <vt:lpwstr>$Resources:CType_PWS_Document(1)</vt:lpwstr>
  </property>
</Properties>
</file>