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125E4702-FD6A-407B-9388-859C4C782F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D Canada" sheetId="1" r:id="rId1"/>
  </sheets>
  <externalReferences>
    <externalReference r:id="rId2"/>
  </externalReferences>
  <definedNames>
    <definedName name="_xlchart.v5.0" hidden="1">'BDD Canada'!#REF!</definedName>
    <definedName name="_xlchart.v5.1" hidden="1">'BDD Canada'!#REF!</definedName>
    <definedName name="_xlchart.v5.2" hidden="1">'BDD Canada'!#REF!</definedName>
    <definedName name="_xlchart.v5.3" hidden="1">'BDD Canada'!#REF!</definedName>
    <definedName name="_xlcn.WorksheetConnection_Feuil1A1C4011" hidden="1">[1]Feuil1!$A$1:$C$401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1:$C$4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G2" i="1"/>
  <c r="B3" i="1"/>
  <c r="G3" i="1"/>
  <c r="B4" i="1"/>
  <c r="G4" i="1"/>
  <c r="B5" i="1"/>
  <c r="G5" i="1"/>
  <c r="B6" i="1"/>
  <c r="G6" i="1"/>
  <c r="B7" i="1"/>
  <c r="G7" i="1"/>
  <c r="B8" i="1"/>
  <c r="G8" i="1"/>
  <c r="B9" i="1"/>
  <c r="G9" i="1"/>
  <c r="B10" i="1"/>
  <c r="G10" i="1"/>
  <c r="B11" i="1"/>
  <c r="G11" i="1"/>
  <c r="B12" i="1"/>
  <c r="G12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6" i="1"/>
  <c r="G26" i="1"/>
  <c r="B27" i="1"/>
  <c r="G27" i="1"/>
  <c r="B28" i="1"/>
  <c r="G28" i="1"/>
  <c r="B29" i="1"/>
  <c r="G29" i="1"/>
  <c r="B30" i="1"/>
  <c r="G30" i="1"/>
  <c r="B31" i="1"/>
  <c r="G31" i="1"/>
  <c r="B32" i="1"/>
  <c r="G32" i="1"/>
  <c r="B33" i="1"/>
  <c r="G33" i="1"/>
  <c r="B34" i="1"/>
  <c r="G34" i="1"/>
  <c r="B35" i="1"/>
  <c r="G35" i="1"/>
  <c r="B36" i="1"/>
  <c r="G36" i="1"/>
  <c r="B37" i="1"/>
  <c r="G37" i="1"/>
  <c r="B38" i="1"/>
  <c r="G38" i="1"/>
  <c r="B39" i="1"/>
  <c r="G39" i="1"/>
  <c r="B40" i="1"/>
  <c r="G40" i="1"/>
  <c r="B41" i="1"/>
  <c r="G41" i="1"/>
  <c r="B42" i="1"/>
  <c r="G42" i="1"/>
  <c r="B43" i="1"/>
  <c r="G43" i="1"/>
  <c r="B44" i="1"/>
  <c r="G44" i="1"/>
  <c r="B45" i="1"/>
  <c r="G45" i="1"/>
  <c r="B46" i="1"/>
  <c r="G46" i="1"/>
  <c r="B47" i="1"/>
  <c r="G47" i="1"/>
  <c r="B48" i="1"/>
  <c r="G48" i="1"/>
  <c r="B49" i="1"/>
  <c r="G49" i="1"/>
  <c r="B50" i="1"/>
  <c r="G50" i="1"/>
  <c r="B51" i="1"/>
  <c r="G51" i="1"/>
  <c r="B52" i="1"/>
  <c r="G52" i="1"/>
  <c r="B53" i="1"/>
  <c r="G53" i="1"/>
  <c r="B54" i="1"/>
  <c r="G54" i="1"/>
  <c r="B55" i="1"/>
  <c r="G55" i="1"/>
  <c r="B56" i="1"/>
  <c r="G56" i="1"/>
  <c r="B57" i="1"/>
  <c r="G57" i="1"/>
  <c r="B58" i="1"/>
  <c r="G58" i="1"/>
  <c r="B59" i="1"/>
  <c r="G59" i="1"/>
  <c r="B60" i="1"/>
  <c r="G60" i="1"/>
  <c r="B61" i="1"/>
  <c r="G61" i="1"/>
  <c r="B62" i="1"/>
  <c r="G62" i="1"/>
  <c r="B63" i="1"/>
  <c r="G63" i="1"/>
  <c r="B64" i="1"/>
  <c r="G64" i="1"/>
  <c r="B65" i="1"/>
  <c r="G65" i="1"/>
  <c r="B66" i="1"/>
  <c r="G66" i="1"/>
  <c r="B67" i="1"/>
  <c r="G67" i="1"/>
  <c r="B68" i="1"/>
  <c r="G68" i="1"/>
  <c r="B69" i="1"/>
  <c r="G69" i="1"/>
  <c r="B70" i="1"/>
  <c r="G70" i="1"/>
  <c r="B71" i="1"/>
  <c r="G71" i="1"/>
  <c r="B72" i="1"/>
  <c r="G72" i="1"/>
  <c r="B73" i="1"/>
  <c r="G73" i="1"/>
  <c r="B74" i="1"/>
  <c r="G74" i="1"/>
  <c r="B75" i="1"/>
  <c r="G75" i="1"/>
  <c r="B76" i="1"/>
  <c r="G76" i="1"/>
  <c r="B77" i="1"/>
  <c r="G77" i="1"/>
  <c r="B78" i="1"/>
  <c r="G78" i="1"/>
  <c r="B79" i="1"/>
  <c r="G79" i="1"/>
  <c r="B80" i="1"/>
  <c r="G80" i="1"/>
  <c r="B81" i="1"/>
  <c r="G81" i="1"/>
  <c r="B82" i="1"/>
  <c r="G82" i="1"/>
  <c r="B83" i="1"/>
  <c r="G83" i="1"/>
  <c r="B84" i="1"/>
  <c r="G84" i="1"/>
  <c r="B85" i="1"/>
  <c r="G85" i="1"/>
  <c r="B86" i="1"/>
  <c r="G86" i="1"/>
  <c r="B87" i="1"/>
  <c r="G87" i="1"/>
  <c r="B88" i="1"/>
  <c r="G88" i="1"/>
  <c r="B89" i="1"/>
  <c r="G89" i="1"/>
  <c r="B90" i="1"/>
  <c r="G90" i="1"/>
  <c r="B91" i="1"/>
  <c r="G91" i="1"/>
  <c r="B92" i="1"/>
  <c r="G92" i="1"/>
  <c r="B93" i="1"/>
  <c r="G93" i="1"/>
  <c r="B94" i="1"/>
  <c r="G94" i="1"/>
  <c r="B95" i="1"/>
  <c r="G95" i="1"/>
  <c r="B96" i="1"/>
  <c r="G96" i="1"/>
  <c r="B97" i="1"/>
  <c r="G97" i="1"/>
  <c r="B98" i="1"/>
  <c r="G98" i="1"/>
  <c r="B99" i="1"/>
  <c r="G99" i="1"/>
  <c r="B100" i="1"/>
  <c r="G100" i="1"/>
  <c r="B101" i="1"/>
  <c r="G101" i="1"/>
  <c r="B102" i="1"/>
  <c r="G102" i="1"/>
  <c r="B103" i="1"/>
  <c r="G103" i="1"/>
  <c r="B104" i="1"/>
  <c r="G104" i="1"/>
  <c r="B105" i="1"/>
  <c r="G105" i="1"/>
  <c r="B106" i="1"/>
  <c r="G106" i="1"/>
  <c r="B107" i="1"/>
  <c r="G107" i="1"/>
  <c r="B108" i="1"/>
  <c r="G108" i="1"/>
  <c r="B109" i="1"/>
  <c r="G109" i="1"/>
  <c r="B110" i="1"/>
  <c r="G110" i="1"/>
  <c r="B111" i="1"/>
  <c r="G111" i="1"/>
  <c r="B112" i="1"/>
  <c r="G112" i="1"/>
  <c r="B113" i="1"/>
  <c r="G113" i="1"/>
  <c r="B114" i="1"/>
  <c r="G114" i="1"/>
  <c r="B115" i="1"/>
  <c r="G115" i="1"/>
  <c r="B116" i="1"/>
  <c r="G116" i="1"/>
  <c r="B117" i="1"/>
  <c r="G117" i="1"/>
  <c r="B118" i="1"/>
  <c r="G118" i="1"/>
  <c r="B119" i="1"/>
  <c r="G119" i="1"/>
  <c r="B120" i="1"/>
  <c r="G120" i="1"/>
  <c r="B121" i="1"/>
  <c r="G121" i="1"/>
  <c r="B122" i="1"/>
  <c r="G122" i="1"/>
  <c r="B123" i="1"/>
  <c r="G123" i="1"/>
  <c r="B124" i="1"/>
  <c r="G124" i="1"/>
  <c r="B125" i="1"/>
  <c r="G125" i="1"/>
  <c r="B126" i="1"/>
  <c r="G126" i="1"/>
  <c r="B127" i="1"/>
  <c r="G127" i="1"/>
  <c r="B128" i="1"/>
  <c r="G128" i="1"/>
  <c r="B129" i="1"/>
  <c r="G129" i="1"/>
  <c r="B130" i="1"/>
  <c r="G130" i="1"/>
  <c r="B131" i="1"/>
  <c r="G131" i="1"/>
  <c r="B132" i="1"/>
  <c r="G132" i="1"/>
  <c r="B133" i="1"/>
  <c r="G133" i="1"/>
  <c r="B134" i="1"/>
  <c r="G134" i="1"/>
  <c r="B135" i="1"/>
  <c r="G135" i="1"/>
  <c r="B136" i="1"/>
  <c r="G136" i="1"/>
  <c r="B137" i="1"/>
  <c r="G137" i="1"/>
  <c r="B138" i="1"/>
  <c r="G138" i="1"/>
  <c r="B139" i="1"/>
  <c r="G139" i="1"/>
  <c r="B140" i="1"/>
  <c r="G140" i="1"/>
  <c r="B141" i="1"/>
  <c r="G141" i="1"/>
  <c r="B142" i="1"/>
  <c r="G142" i="1"/>
  <c r="B143" i="1"/>
  <c r="G143" i="1"/>
  <c r="B144" i="1"/>
  <c r="G144" i="1"/>
  <c r="B145" i="1"/>
  <c r="G145" i="1"/>
  <c r="B146" i="1"/>
  <c r="G146" i="1"/>
  <c r="B147" i="1"/>
  <c r="G147" i="1"/>
  <c r="B148" i="1"/>
  <c r="G148" i="1"/>
  <c r="B149" i="1"/>
  <c r="G149" i="1"/>
  <c r="B150" i="1"/>
  <c r="G150" i="1"/>
  <c r="B151" i="1"/>
  <c r="G151" i="1"/>
  <c r="B152" i="1"/>
  <c r="G152" i="1"/>
  <c r="B153" i="1"/>
  <c r="G153" i="1"/>
  <c r="B154" i="1"/>
  <c r="G154" i="1"/>
  <c r="B155" i="1"/>
  <c r="G155" i="1"/>
  <c r="B156" i="1"/>
  <c r="G156" i="1"/>
  <c r="B157" i="1"/>
  <c r="G157" i="1"/>
  <c r="B158" i="1"/>
  <c r="G158" i="1"/>
  <c r="B159" i="1"/>
  <c r="G159" i="1"/>
  <c r="B160" i="1"/>
  <c r="G160" i="1"/>
  <c r="B161" i="1"/>
  <c r="G161" i="1"/>
  <c r="B162" i="1"/>
  <c r="G162" i="1"/>
  <c r="B163" i="1"/>
  <c r="G163" i="1"/>
  <c r="B164" i="1"/>
  <c r="G164" i="1"/>
  <c r="B165" i="1"/>
  <c r="G165" i="1"/>
  <c r="B166" i="1"/>
  <c r="G166" i="1"/>
  <c r="B167" i="1"/>
  <c r="G167" i="1"/>
  <c r="B168" i="1"/>
  <c r="G168" i="1"/>
  <c r="B169" i="1"/>
  <c r="G169" i="1"/>
  <c r="B170" i="1"/>
  <c r="G170" i="1"/>
  <c r="B171" i="1"/>
  <c r="G171" i="1"/>
  <c r="B172" i="1"/>
  <c r="G172" i="1"/>
  <c r="B173" i="1"/>
  <c r="G173" i="1"/>
  <c r="B174" i="1"/>
  <c r="G174" i="1"/>
  <c r="B175" i="1"/>
  <c r="G175" i="1"/>
  <c r="B176" i="1"/>
  <c r="G176" i="1"/>
  <c r="B177" i="1"/>
  <c r="G177" i="1"/>
  <c r="B178" i="1"/>
  <c r="G178" i="1"/>
  <c r="B179" i="1"/>
  <c r="G179" i="1"/>
  <c r="B180" i="1"/>
  <c r="G180" i="1"/>
  <c r="B181" i="1"/>
  <c r="G181" i="1"/>
  <c r="B182" i="1"/>
  <c r="G182" i="1"/>
  <c r="B183" i="1"/>
  <c r="G183" i="1"/>
  <c r="B184" i="1"/>
  <c r="G184" i="1"/>
  <c r="B185" i="1"/>
  <c r="G185" i="1"/>
  <c r="B186" i="1"/>
  <c r="G186" i="1"/>
  <c r="B187" i="1"/>
  <c r="G187" i="1"/>
  <c r="B188" i="1"/>
  <c r="G188" i="1"/>
  <c r="B189" i="1"/>
  <c r="G189" i="1"/>
  <c r="B190" i="1"/>
  <c r="G190" i="1"/>
  <c r="B191" i="1"/>
  <c r="G191" i="1"/>
  <c r="B192" i="1"/>
  <c r="G192" i="1"/>
  <c r="B193" i="1"/>
  <c r="G193" i="1"/>
  <c r="B194" i="1"/>
  <c r="G194" i="1"/>
  <c r="B195" i="1"/>
  <c r="G195" i="1"/>
  <c r="B196" i="1"/>
  <c r="G196" i="1"/>
  <c r="B197" i="1"/>
  <c r="G197" i="1"/>
  <c r="B198" i="1"/>
  <c r="G198" i="1"/>
  <c r="B199" i="1"/>
  <c r="G199" i="1"/>
  <c r="B200" i="1"/>
  <c r="G200" i="1"/>
  <c r="B201" i="1"/>
  <c r="G201" i="1"/>
  <c r="B202" i="1"/>
  <c r="G202" i="1"/>
  <c r="B203" i="1"/>
  <c r="G203" i="1"/>
  <c r="B204" i="1"/>
  <c r="G204" i="1"/>
  <c r="B205" i="1"/>
  <c r="G205" i="1"/>
  <c r="B206" i="1"/>
  <c r="G206" i="1"/>
  <c r="B207" i="1"/>
  <c r="G207" i="1"/>
  <c r="B208" i="1"/>
  <c r="G208" i="1"/>
  <c r="B209" i="1"/>
  <c r="G209" i="1"/>
  <c r="B210" i="1"/>
  <c r="G210" i="1"/>
  <c r="B211" i="1"/>
  <c r="G211" i="1"/>
  <c r="B212" i="1"/>
  <c r="G212" i="1"/>
  <c r="B213" i="1"/>
  <c r="G213" i="1"/>
  <c r="B214" i="1"/>
  <c r="G214" i="1"/>
  <c r="B215" i="1"/>
  <c r="G215" i="1"/>
  <c r="B216" i="1"/>
  <c r="G216" i="1"/>
  <c r="B217" i="1"/>
  <c r="G217" i="1"/>
  <c r="B218" i="1"/>
  <c r="G218" i="1"/>
  <c r="B219" i="1"/>
  <c r="G219" i="1"/>
  <c r="B220" i="1"/>
  <c r="G220" i="1"/>
  <c r="B221" i="1"/>
  <c r="G221" i="1"/>
  <c r="B222" i="1"/>
  <c r="G222" i="1"/>
  <c r="B223" i="1"/>
  <c r="G223" i="1"/>
  <c r="B224" i="1"/>
  <c r="G224" i="1"/>
  <c r="B225" i="1"/>
  <c r="G225" i="1"/>
  <c r="B226" i="1"/>
  <c r="G226" i="1"/>
  <c r="B227" i="1"/>
  <c r="G227" i="1"/>
  <c r="B228" i="1"/>
  <c r="G228" i="1"/>
  <c r="B229" i="1"/>
  <c r="G229" i="1"/>
  <c r="B230" i="1"/>
  <c r="G230" i="1"/>
  <c r="B231" i="1"/>
  <c r="G231" i="1"/>
  <c r="B232" i="1"/>
  <c r="G232" i="1"/>
  <c r="B233" i="1"/>
  <c r="G233" i="1"/>
  <c r="B234" i="1"/>
  <c r="G234" i="1"/>
  <c r="B235" i="1"/>
  <c r="G235" i="1"/>
  <c r="B236" i="1"/>
  <c r="G236" i="1"/>
  <c r="B237" i="1"/>
  <c r="G237" i="1"/>
  <c r="B238" i="1"/>
  <c r="G238" i="1"/>
  <c r="B239" i="1"/>
  <c r="G239" i="1"/>
  <c r="B240" i="1"/>
  <c r="G240" i="1"/>
  <c r="B241" i="1"/>
  <c r="G241" i="1"/>
  <c r="B242" i="1"/>
  <c r="G242" i="1"/>
  <c r="B243" i="1"/>
  <c r="G243" i="1"/>
  <c r="B244" i="1"/>
  <c r="G244" i="1"/>
  <c r="B245" i="1"/>
  <c r="G245" i="1"/>
  <c r="B246" i="1"/>
  <c r="G246" i="1"/>
  <c r="B247" i="1"/>
  <c r="G247" i="1"/>
  <c r="B248" i="1"/>
  <c r="G248" i="1"/>
  <c r="B249" i="1"/>
  <c r="G249" i="1"/>
  <c r="B250" i="1"/>
  <c r="G250" i="1"/>
  <c r="B251" i="1"/>
  <c r="G251" i="1"/>
  <c r="B252" i="1"/>
  <c r="G252" i="1"/>
  <c r="B253" i="1"/>
  <c r="G253" i="1"/>
  <c r="B254" i="1"/>
  <c r="G254" i="1"/>
  <c r="B255" i="1"/>
  <c r="G255" i="1"/>
  <c r="B256" i="1"/>
  <c r="G256" i="1"/>
  <c r="B257" i="1"/>
  <c r="G257" i="1"/>
  <c r="B258" i="1"/>
  <c r="G258" i="1"/>
  <c r="B259" i="1"/>
  <c r="G259" i="1"/>
  <c r="B260" i="1"/>
  <c r="G260" i="1"/>
  <c r="B261" i="1"/>
  <c r="G261" i="1"/>
  <c r="B262" i="1"/>
  <c r="G262" i="1"/>
  <c r="B263" i="1"/>
  <c r="G263" i="1"/>
  <c r="B264" i="1"/>
  <c r="G264" i="1"/>
  <c r="B265" i="1"/>
  <c r="G265" i="1"/>
  <c r="B266" i="1"/>
  <c r="G266" i="1"/>
  <c r="B267" i="1"/>
  <c r="G267" i="1"/>
  <c r="B268" i="1"/>
  <c r="G268" i="1"/>
  <c r="B269" i="1"/>
  <c r="G269" i="1"/>
  <c r="B270" i="1"/>
  <c r="G270" i="1"/>
  <c r="B271" i="1"/>
  <c r="G271" i="1"/>
  <c r="B272" i="1"/>
  <c r="G272" i="1"/>
  <c r="B273" i="1"/>
  <c r="G273" i="1"/>
  <c r="B274" i="1"/>
  <c r="G274" i="1"/>
  <c r="B275" i="1"/>
  <c r="G275" i="1"/>
  <c r="B276" i="1"/>
  <c r="G276" i="1"/>
  <c r="B277" i="1"/>
  <c r="G277" i="1"/>
  <c r="B278" i="1"/>
  <c r="G278" i="1"/>
  <c r="B279" i="1"/>
  <c r="G279" i="1"/>
  <c r="B280" i="1"/>
  <c r="G280" i="1"/>
  <c r="B281" i="1"/>
  <c r="G281" i="1"/>
  <c r="B282" i="1"/>
  <c r="G282" i="1"/>
  <c r="B283" i="1"/>
  <c r="G283" i="1"/>
  <c r="B284" i="1"/>
  <c r="G284" i="1"/>
  <c r="B285" i="1"/>
  <c r="G285" i="1"/>
  <c r="B286" i="1"/>
  <c r="G286" i="1"/>
  <c r="B287" i="1"/>
  <c r="G287" i="1"/>
  <c r="B288" i="1"/>
  <c r="G288" i="1"/>
  <c r="B289" i="1"/>
  <c r="G289" i="1"/>
  <c r="B290" i="1"/>
  <c r="G290" i="1"/>
  <c r="B291" i="1"/>
  <c r="G291" i="1"/>
  <c r="B292" i="1"/>
  <c r="G292" i="1"/>
  <c r="B293" i="1"/>
  <c r="G293" i="1"/>
  <c r="B294" i="1"/>
  <c r="G294" i="1"/>
  <c r="B295" i="1"/>
  <c r="G295" i="1"/>
  <c r="B296" i="1"/>
  <c r="G296" i="1"/>
  <c r="B297" i="1"/>
  <c r="G297" i="1"/>
  <c r="B298" i="1"/>
  <c r="G298" i="1"/>
  <c r="B299" i="1"/>
  <c r="G299" i="1"/>
  <c r="B300" i="1"/>
  <c r="G300" i="1"/>
  <c r="B301" i="1"/>
  <c r="G301" i="1"/>
  <c r="B302" i="1"/>
  <c r="G302" i="1"/>
  <c r="B303" i="1"/>
  <c r="G303" i="1"/>
  <c r="B304" i="1"/>
  <c r="G304" i="1"/>
  <c r="B305" i="1"/>
  <c r="G305" i="1"/>
  <c r="B306" i="1"/>
  <c r="G306" i="1"/>
  <c r="B307" i="1"/>
  <c r="G307" i="1"/>
  <c r="B308" i="1"/>
  <c r="G308" i="1"/>
  <c r="B309" i="1"/>
  <c r="G309" i="1"/>
  <c r="B310" i="1"/>
  <c r="G310" i="1"/>
  <c r="B311" i="1"/>
  <c r="G311" i="1"/>
  <c r="B312" i="1"/>
  <c r="G312" i="1"/>
  <c r="B313" i="1"/>
  <c r="G313" i="1"/>
  <c r="B314" i="1"/>
  <c r="G314" i="1"/>
  <c r="B315" i="1"/>
  <c r="G315" i="1"/>
  <c r="B316" i="1"/>
  <c r="G316" i="1"/>
  <c r="B317" i="1"/>
  <c r="G317" i="1"/>
  <c r="B318" i="1"/>
  <c r="G318" i="1"/>
  <c r="B319" i="1"/>
  <c r="G319" i="1"/>
  <c r="B320" i="1"/>
  <c r="G320" i="1"/>
  <c r="B321" i="1"/>
  <c r="G321" i="1"/>
  <c r="B322" i="1"/>
  <c r="G322" i="1"/>
  <c r="B323" i="1"/>
  <c r="G323" i="1"/>
  <c r="B324" i="1"/>
  <c r="G324" i="1"/>
  <c r="B325" i="1"/>
  <c r="G325" i="1"/>
  <c r="B326" i="1"/>
  <c r="G326" i="1"/>
  <c r="B327" i="1"/>
  <c r="G327" i="1"/>
  <c r="B328" i="1"/>
  <c r="G328" i="1"/>
  <c r="B329" i="1"/>
  <c r="G329" i="1"/>
  <c r="B330" i="1"/>
  <c r="G330" i="1"/>
  <c r="B331" i="1"/>
  <c r="G331" i="1"/>
  <c r="B332" i="1"/>
  <c r="G332" i="1"/>
  <c r="B333" i="1"/>
  <c r="G333" i="1"/>
  <c r="B334" i="1"/>
  <c r="G334" i="1"/>
  <c r="B335" i="1"/>
  <c r="G335" i="1"/>
  <c r="B336" i="1"/>
  <c r="G336" i="1"/>
  <c r="B337" i="1"/>
  <c r="G337" i="1"/>
  <c r="B338" i="1"/>
  <c r="G338" i="1"/>
  <c r="B339" i="1"/>
  <c r="G339" i="1"/>
  <c r="B340" i="1"/>
  <c r="G340" i="1"/>
  <c r="B341" i="1"/>
  <c r="G341" i="1"/>
  <c r="B342" i="1"/>
  <c r="G342" i="1"/>
  <c r="B343" i="1"/>
  <c r="G343" i="1"/>
  <c r="B344" i="1"/>
  <c r="G344" i="1"/>
  <c r="B345" i="1"/>
  <c r="G345" i="1"/>
  <c r="B346" i="1"/>
  <c r="G346" i="1"/>
  <c r="B347" i="1"/>
  <c r="G347" i="1"/>
  <c r="B348" i="1"/>
  <c r="G348" i="1"/>
  <c r="B349" i="1"/>
  <c r="G349" i="1"/>
  <c r="B350" i="1"/>
  <c r="G350" i="1"/>
  <c r="B351" i="1"/>
  <c r="G351" i="1"/>
  <c r="B352" i="1"/>
  <c r="G352" i="1"/>
  <c r="B353" i="1"/>
  <c r="G353" i="1"/>
  <c r="B354" i="1"/>
  <c r="G354" i="1"/>
  <c r="B355" i="1"/>
  <c r="G355" i="1"/>
  <c r="B356" i="1"/>
  <c r="G356" i="1"/>
  <c r="B357" i="1"/>
  <c r="G357" i="1"/>
  <c r="B358" i="1"/>
  <c r="G358" i="1"/>
  <c r="B359" i="1"/>
  <c r="G359" i="1"/>
  <c r="B360" i="1"/>
  <c r="G360" i="1"/>
  <c r="B361" i="1"/>
  <c r="G361" i="1"/>
  <c r="B362" i="1"/>
  <c r="G362" i="1"/>
  <c r="B363" i="1"/>
  <c r="G363" i="1"/>
  <c r="B364" i="1"/>
  <c r="G364" i="1"/>
  <c r="B365" i="1"/>
  <c r="G365" i="1"/>
  <c r="B366" i="1"/>
  <c r="G366" i="1"/>
  <c r="B367" i="1"/>
  <c r="G367" i="1"/>
  <c r="B368" i="1"/>
  <c r="G368" i="1"/>
  <c r="B369" i="1"/>
  <c r="G369" i="1"/>
  <c r="B370" i="1"/>
  <c r="G370" i="1"/>
  <c r="B371" i="1"/>
  <c r="G371" i="1"/>
  <c r="B372" i="1"/>
  <c r="G372" i="1"/>
  <c r="B373" i="1"/>
  <c r="G373" i="1"/>
  <c r="B374" i="1"/>
  <c r="G374" i="1"/>
  <c r="B375" i="1"/>
  <c r="G375" i="1"/>
  <c r="B376" i="1"/>
  <c r="G376" i="1"/>
  <c r="B377" i="1"/>
  <c r="G377" i="1"/>
  <c r="B378" i="1"/>
  <c r="G378" i="1"/>
  <c r="B379" i="1"/>
  <c r="G379" i="1"/>
  <c r="B380" i="1"/>
  <c r="G380" i="1"/>
  <c r="B381" i="1"/>
  <c r="G381" i="1"/>
  <c r="B382" i="1"/>
  <c r="G382" i="1"/>
  <c r="B383" i="1"/>
  <c r="G383" i="1"/>
  <c r="B384" i="1"/>
  <c r="G384" i="1"/>
  <c r="B385" i="1"/>
  <c r="G385" i="1"/>
  <c r="B386" i="1"/>
  <c r="G386" i="1"/>
  <c r="B387" i="1"/>
  <c r="G387" i="1"/>
  <c r="B388" i="1"/>
  <c r="G388" i="1"/>
  <c r="B389" i="1"/>
  <c r="G389" i="1"/>
  <c r="B390" i="1"/>
  <c r="G390" i="1"/>
  <c r="B391" i="1"/>
  <c r="G391" i="1"/>
  <c r="B392" i="1"/>
  <c r="G392" i="1"/>
  <c r="B393" i="1"/>
  <c r="G393" i="1"/>
  <c r="B394" i="1"/>
  <c r="G394" i="1"/>
  <c r="B395" i="1"/>
  <c r="G395" i="1"/>
  <c r="B396" i="1"/>
  <c r="G396" i="1"/>
  <c r="B397" i="1"/>
  <c r="G397" i="1"/>
  <c r="B398" i="1"/>
  <c r="G398" i="1"/>
  <c r="B399" i="1"/>
  <c r="G399" i="1"/>
  <c r="B400" i="1"/>
  <c r="G400" i="1"/>
  <c r="B401" i="1"/>
  <c r="G401" i="1"/>
  <c r="B402" i="1"/>
  <c r="G4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1BA860-6944-4706-BF48-71AD54398B5A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3072FC-2789-46AD-9E63-EAA924A7FB6C}" name="WorksheetConnection_Feuil1!$A$1:$C$401" type="102" refreshedVersion="6" minRefreshableVersion="5">
    <extLst>
      <ext xmlns:x15="http://schemas.microsoft.com/office/spreadsheetml/2010/11/main" uri="{DE250136-89BD-433C-8126-D09CA5730AF9}">
        <x15:connection id="Plage">
          <x15:rangePr sourceName="_xlcn.WorksheetConnection_Feuil1A1C4011"/>
        </x15:connection>
      </ext>
    </extLst>
  </connection>
</connections>
</file>

<file path=xl/sharedStrings.xml><?xml version="1.0" encoding="utf-8"?>
<sst xmlns="http://schemas.openxmlformats.org/spreadsheetml/2006/main" count="810" uniqueCount="413">
  <si>
    <t>#2400</t>
  </si>
  <si>
    <t>#2402</t>
  </si>
  <si>
    <t>#2408</t>
  </si>
  <si>
    <t>#2409</t>
  </si>
  <si>
    <t>#2410</t>
  </si>
  <si>
    <t>#2411</t>
  </si>
  <si>
    <t>#2412</t>
  </si>
  <si>
    <t>#2416</t>
  </si>
  <si>
    <t>#2417</t>
  </si>
  <si>
    <t>#2418</t>
  </si>
  <si>
    <t>NB</t>
  </si>
  <si>
    <t>#3007</t>
  </si>
  <si>
    <t>#2087</t>
  </si>
  <si>
    <t>#2100</t>
  </si>
  <si>
    <t>#2101</t>
  </si>
  <si>
    <t>#2102</t>
  </si>
  <si>
    <t>#2096</t>
  </si>
  <si>
    <t>#2108</t>
  </si>
  <si>
    <t>#2109</t>
  </si>
  <si>
    <t>#2103</t>
  </si>
  <si>
    <t>#2104</t>
  </si>
  <si>
    <t>#2107</t>
  </si>
  <si>
    <t>#2117</t>
  </si>
  <si>
    <t>MB</t>
  </si>
  <si>
    <t>#2423</t>
  </si>
  <si>
    <t>#2013</t>
  </si>
  <si>
    <t>#2014</t>
  </si>
  <si>
    <t>#2015</t>
  </si>
  <si>
    <t>#2012</t>
  </si>
  <si>
    <t>#2011</t>
  </si>
  <si>
    <t>#2419</t>
  </si>
  <si>
    <t>#2420</t>
  </si>
  <si>
    <t>#2421</t>
  </si>
  <si>
    <t>#2422</t>
  </si>
  <si>
    <t>#2403</t>
  </si>
  <si>
    <t>#2404</t>
  </si>
  <si>
    <t>#2405</t>
  </si>
  <si>
    <t>#2406</t>
  </si>
  <si>
    <t>#2407</t>
  </si>
  <si>
    <t>NS</t>
  </si>
  <si>
    <t>#2097</t>
  </si>
  <si>
    <t>#2098</t>
  </si>
  <si>
    <t>#2365</t>
  </si>
  <si>
    <t>NU</t>
  </si>
  <si>
    <t>#3006</t>
  </si>
  <si>
    <t>#2110</t>
  </si>
  <si>
    <t>#2106</t>
  </si>
  <si>
    <t>#2111</t>
  </si>
  <si>
    <t>#2112</t>
  </si>
  <si>
    <t>#2113</t>
  </si>
  <si>
    <t>#2114</t>
  </si>
  <si>
    <t>#2115</t>
  </si>
  <si>
    <t>#2116</t>
  </si>
  <si>
    <t>#2118</t>
  </si>
  <si>
    <t>#2119</t>
  </si>
  <si>
    <t>#3005</t>
  </si>
  <si>
    <t>#2120</t>
  </si>
  <si>
    <t>#2121</t>
  </si>
  <si>
    <t>#2122</t>
  </si>
  <si>
    <t>#2123</t>
  </si>
  <si>
    <t>#3004</t>
  </si>
  <si>
    <t>#2124</t>
  </si>
  <si>
    <t>#2125</t>
  </si>
  <si>
    <t>#2130</t>
  </si>
  <si>
    <t>#2126</t>
  </si>
  <si>
    <t>#2105</t>
  </si>
  <si>
    <t>#2127</t>
  </si>
  <si>
    <t>#2128</t>
  </si>
  <si>
    <t>#2129</t>
  </si>
  <si>
    <t>#3002</t>
  </si>
  <si>
    <t>#2099</t>
  </si>
  <si>
    <t>#3003</t>
  </si>
  <si>
    <t>SK</t>
  </si>
  <si>
    <t>#2002</t>
  </si>
  <si>
    <t>#2003</t>
  </si>
  <si>
    <t>#2004</t>
  </si>
  <si>
    <t>#2005</t>
  </si>
  <si>
    <t>#2006</t>
  </si>
  <si>
    <t>#2007</t>
  </si>
  <si>
    <t>#2008</t>
  </si>
  <si>
    <t>#2009</t>
  </si>
  <si>
    <t>#2000</t>
  </si>
  <si>
    <t>#2001</t>
  </si>
  <si>
    <t>#2414</t>
  </si>
  <si>
    <t>#2010</t>
  </si>
  <si>
    <t>NL</t>
  </si>
  <si>
    <t>#2360</t>
  </si>
  <si>
    <t>#2361</t>
  </si>
  <si>
    <t>#2362</t>
  </si>
  <si>
    <t>#2363</t>
  </si>
  <si>
    <t>#3001</t>
  </si>
  <si>
    <t>#2364</t>
  </si>
  <si>
    <t>#2359</t>
  </si>
  <si>
    <t>NT</t>
  </si>
  <si>
    <t>#2367</t>
  </si>
  <si>
    <t>#2369</t>
  </si>
  <si>
    <t>#2370</t>
  </si>
  <si>
    <t>#2371</t>
  </si>
  <si>
    <t>#2372</t>
  </si>
  <si>
    <t>#2373</t>
  </si>
  <si>
    <t>PROV</t>
  </si>
  <si>
    <t>QC</t>
  </si>
  <si>
    <t>ON</t>
  </si>
  <si>
    <t>AB</t>
  </si>
  <si>
    <t>BC</t>
  </si>
  <si>
    <t>#2131</t>
  </si>
  <si>
    <t>#2132</t>
  </si>
  <si>
    <t>#2133</t>
  </si>
  <si>
    <t>#2134</t>
  </si>
  <si>
    <t>#2135</t>
  </si>
  <si>
    <t>#2136</t>
  </si>
  <si>
    <t>#2137</t>
  </si>
  <si>
    <t>#2138</t>
  </si>
  <si>
    <t>#2139</t>
  </si>
  <si>
    <t>#2140</t>
  </si>
  <si>
    <t>#2141</t>
  </si>
  <si>
    <t>#2142</t>
  </si>
  <si>
    <t>#2144</t>
  </si>
  <si>
    <t>#2145</t>
  </si>
  <si>
    <t>#2146</t>
  </si>
  <si>
    <t>#2350</t>
  </si>
  <si>
    <t>#2351</t>
  </si>
  <si>
    <t>#2352</t>
  </si>
  <si>
    <t>#2147</t>
  </si>
  <si>
    <t>#2149</t>
  </si>
  <si>
    <t>#4000</t>
  </si>
  <si>
    <t>#4001</t>
  </si>
  <si>
    <t>#4002</t>
  </si>
  <si>
    <t>#4003</t>
  </si>
  <si>
    <t>#4004</t>
  </si>
  <si>
    <t>#4005</t>
  </si>
  <si>
    <t>#4006</t>
  </si>
  <si>
    <t>#4007</t>
  </si>
  <si>
    <t>#4008</t>
  </si>
  <si>
    <t>#2143</t>
  </si>
  <si>
    <t>#2357</t>
  </si>
  <si>
    <t>#2358</t>
  </si>
  <si>
    <t>#2377</t>
  </si>
  <si>
    <t>#2378</t>
  </si>
  <si>
    <t>#2379</t>
  </si>
  <si>
    <t>#2380</t>
  </si>
  <si>
    <t>#2381</t>
  </si>
  <si>
    <t>#2382</t>
  </si>
  <si>
    <t>#2383</t>
  </si>
  <si>
    <t>#2384</t>
  </si>
  <si>
    <t>#2385</t>
  </si>
  <si>
    <t>#2386</t>
  </si>
  <si>
    <t>#2387</t>
  </si>
  <si>
    <t>#2388</t>
  </si>
  <si>
    <t>#2389</t>
  </si>
  <si>
    <t>#2390</t>
  </si>
  <si>
    <t>#2391</t>
  </si>
  <si>
    <t>#2392</t>
  </si>
  <si>
    <t>#2393</t>
  </si>
  <si>
    <t>#2394</t>
  </si>
  <si>
    <t>#2395</t>
  </si>
  <si>
    <t>#2396</t>
  </si>
  <si>
    <t>#2397</t>
  </si>
  <si>
    <t>#2148</t>
  </si>
  <si>
    <t>#2398</t>
  </si>
  <si>
    <t>#2399</t>
  </si>
  <si>
    <t>#2353</t>
  </si>
  <si>
    <t>#2354</t>
  </si>
  <si>
    <t>#2355</t>
  </si>
  <si>
    <t>#2356</t>
  </si>
  <si>
    <t>#2366</t>
  </si>
  <si>
    <t>#2368</t>
  </si>
  <si>
    <t>#5000</t>
  </si>
  <si>
    <t>#5001</t>
  </si>
  <si>
    <t>#5002</t>
  </si>
  <si>
    <t>#5003</t>
  </si>
  <si>
    <t>#5004</t>
  </si>
  <si>
    <t>#5005</t>
  </si>
  <si>
    <t>#5006</t>
  </si>
  <si>
    <t>#5007</t>
  </si>
  <si>
    <t>#6000</t>
  </si>
  <si>
    <t>#6001</t>
  </si>
  <si>
    <t>#6002</t>
  </si>
  <si>
    <t>#6003</t>
  </si>
  <si>
    <t>#6004</t>
  </si>
  <si>
    <t>#6005</t>
  </si>
  <si>
    <t>#6006</t>
  </si>
  <si>
    <t>#2415</t>
  </si>
  <si>
    <t>#0001</t>
  </si>
  <si>
    <t>#0002</t>
  </si>
  <si>
    <t>#0004</t>
  </si>
  <si>
    <t>#0005</t>
  </si>
  <si>
    <t>#0006</t>
  </si>
  <si>
    <t>#0007</t>
  </si>
  <si>
    <t>#0008</t>
  </si>
  <si>
    <t>#0009</t>
  </si>
  <si>
    <t>#0010</t>
  </si>
  <si>
    <t>#0011</t>
  </si>
  <si>
    <t>#0012</t>
  </si>
  <si>
    <t>#0013</t>
  </si>
  <si>
    <t>#0014</t>
  </si>
  <si>
    <t>#0015</t>
  </si>
  <si>
    <t>#0016</t>
  </si>
  <si>
    <t>#0017</t>
  </si>
  <si>
    <t>#0018</t>
  </si>
  <si>
    <t>#0019</t>
  </si>
  <si>
    <t>#0021</t>
  </si>
  <si>
    <t>#0022</t>
  </si>
  <si>
    <t>#0025</t>
  </si>
  <si>
    <t>#0026</t>
  </si>
  <si>
    <t>#0028</t>
  </si>
  <si>
    <t>#0030</t>
  </si>
  <si>
    <t>#0031</t>
  </si>
  <si>
    <t>#0035</t>
  </si>
  <si>
    <t>#0037</t>
  </si>
  <si>
    <t>#0038</t>
  </si>
  <si>
    <t>#0042</t>
  </si>
  <si>
    <t>#0044</t>
  </si>
  <si>
    <t>#0045</t>
  </si>
  <si>
    <t>#0046</t>
  </si>
  <si>
    <t>#0047</t>
  </si>
  <si>
    <t>#0048</t>
  </si>
  <si>
    <t>#0049</t>
  </si>
  <si>
    <t>#0050</t>
  </si>
  <si>
    <t>#0051</t>
  </si>
  <si>
    <t>#0053</t>
  </si>
  <si>
    <t>#0054</t>
  </si>
  <si>
    <t>#0056</t>
  </si>
  <si>
    <t>#0057</t>
  </si>
  <si>
    <t>#0058</t>
  </si>
  <si>
    <t>#0059</t>
  </si>
  <si>
    <t>#0055</t>
  </si>
  <si>
    <t>#0060</t>
  </si>
  <si>
    <t>#0061</t>
  </si>
  <si>
    <t>#0062</t>
  </si>
  <si>
    <t>#0063</t>
  </si>
  <si>
    <t>#0065</t>
  </si>
  <si>
    <t>#0067</t>
  </si>
  <si>
    <t>#0070</t>
  </si>
  <si>
    <t>#0074</t>
  </si>
  <si>
    <t>#0075</t>
  </si>
  <si>
    <t>#0076</t>
  </si>
  <si>
    <t>#0077</t>
  </si>
  <si>
    <t>#0078</t>
  </si>
  <si>
    <t>#0079</t>
  </si>
  <si>
    <t>#0080</t>
  </si>
  <si>
    <t>#0081</t>
  </si>
  <si>
    <t>#0082</t>
  </si>
  <si>
    <t>#0083</t>
  </si>
  <si>
    <t>#0084</t>
  </si>
  <si>
    <t>#0085</t>
  </si>
  <si>
    <t>#0086</t>
  </si>
  <si>
    <t>#0087</t>
  </si>
  <si>
    <t>#0088</t>
  </si>
  <si>
    <t>#0089</t>
  </si>
  <si>
    <t>#0090</t>
  </si>
  <si>
    <t>#0091</t>
  </si>
  <si>
    <t>#0092</t>
  </si>
  <si>
    <t>#0093</t>
  </si>
  <si>
    <t>#0094</t>
  </si>
  <si>
    <t>#0095</t>
  </si>
  <si>
    <t>#0096</t>
  </si>
  <si>
    <t>#0097</t>
  </si>
  <si>
    <t>#0098</t>
  </si>
  <si>
    <t>#0099</t>
  </si>
  <si>
    <t>#0100</t>
  </si>
  <si>
    <t>#0101</t>
  </si>
  <si>
    <t>#0102</t>
  </si>
  <si>
    <t>#0103</t>
  </si>
  <si>
    <t>#0104</t>
  </si>
  <si>
    <t>#0105</t>
  </si>
  <si>
    <t>#0106</t>
  </si>
  <si>
    <t>#0107</t>
  </si>
  <si>
    <t>#0108</t>
  </si>
  <si>
    <t>#0109</t>
  </si>
  <si>
    <t>#0110</t>
  </si>
  <si>
    <t>#0111</t>
  </si>
  <si>
    <t>#0112</t>
  </si>
  <si>
    <t>#0113</t>
  </si>
  <si>
    <t>#0114</t>
  </si>
  <si>
    <t>#0115</t>
  </si>
  <si>
    <t>#0116</t>
  </si>
  <si>
    <t>#0117</t>
  </si>
  <si>
    <t>#0118</t>
  </si>
  <si>
    <t>#0119</t>
  </si>
  <si>
    <t>#0120</t>
  </si>
  <si>
    <t>#0121</t>
  </si>
  <si>
    <t>#0122</t>
  </si>
  <si>
    <t>#0123</t>
  </si>
  <si>
    <t>#0124</t>
  </si>
  <si>
    <t>#0125</t>
  </si>
  <si>
    <t>#6010</t>
  </si>
  <si>
    <t>#7000</t>
  </si>
  <si>
    <t>#7001</t>
  </si>
  <si>
    <t>#7002</t>
  </si>
  <si>
    <t>#7003</t>
  </si>
  <si>
    <t>#7004</t>
  </si>
  <si>
    <t>#7005</t>
  </si>
  <si>
    <t>#7006</t>
  </si>
  <si>
    <t>#7007</t>
  </si>
  <si>
    <t>#7008</t>
  </si>
  <si>
    <t>#7009</t>
  </si>
  <si>
    <t>#7010</t>
  </si>
  <si>
    <t>#7011</t>
  </si>
  <si>
    <t>#7012</t>
  </si>
  <si>
    <t>#7013</t>
  </si>
  <si>
    <t>#7014</t>
  </si>
  <si>
    <t>#7015</t>
  </si>
  <si>
    <t>#7016</t>
  </si>
  <si>
    <t>#7017</t>
  </si>
  <si>
    <t>#7018</t>
  </si>
  <si>
    <t>#7019</t>
  </si>
  <si>
    <t>#7020</t>
  </si>
  <si>
    <t>#7021</t>
  </si>
  <si>
    <t>#7022</t>
  </si>
  <si>
    <t>#7023</t>
  </si>
  <si>
    <t>#7024</t>
  </si>
  <si>
    <t>#7025</t>
  </si>
  <si>
    <t>#5008</t>
  </si>
  <si>
    <t>#2093</t>
  </si>
  <si>
    <t>#2094</t>
  </si>
  <si>
    <t>#2095</t>
  </si>
  <si>
    <t>#2019</t>
  </si>
  <si>
    <t>#3011</t>
  </si>
  <si>
    <t>#2020</t>
  </si>
  <si>
    <t>#2021</t>
  </si>
  <si>
    <t>#2022</t>
  </si>
  <si>
    <t>#2023</t>
  </si>
  <si>
    <t>#2024</t>
  </si>
  <si>
    <t>#2025</t>
  </si>
  <si>
    <t>#2026</t>
  </si>
  <si>
    <t>#2027</t>
  </si>
  <si>
    <t>#2028</t>
  </si>
  <si>
    <t>#2029</t>
  </si>
  <si>
    <t>#2030</t>
  </si>
  <si>
    <t>#2031</t>
  </si>
  <si>
    <t>#2032</t>
  </si>
  <si>
    <t>#2033</t>
  </si>
  <si>
    <t>#2035</t>
  </si>
  <si>
    <t>#2036</t>
  </si>
  <si>
    <t>#2037</t>
  </si>
  <si>
    <t>#2038</t>
  </si>
  <si>
    <t>#2039</t>
  </si>
  <si>
    <t>#2040</t>
  </si>
  <si>
    <t>#2041</t>
  </si>
  <si>
    <t>#2042</t>
  </si>
  <si>
    <t>#2043</t>
  </si>
  <si>
    <t>#2044</t>
  </si>
  <si>
    <t>#2045</t>
  </si>
  <si>
    <t>#2046</t>
  </si>
  <si>
    <t>#2047</t>
  </si>
  <si>
    <t>#2048</t>
  </si>
  <si>
    <t>#2049</t>
  </si>
  <si>
    <t>#2050</t>
  </si>
  <si>
    <t>#2051</t>
  </si>
  <si>
    <t>#2052</t>
  </si>
  <si>
    <t>#2053</t>
  </si>
  <si>
    <t>#2054</t>
  </si>
  <si>
    <t>#2055</t>
  </si>
  <si>
    <t>#2056</t>
  </si>
  <si>
    <t>#2057</t>
  </si>
  <si>
    <t>#2058</t>
  </si>
  <si>
    <t>#2059</t>
  </si>
  <si>
    <t>#2060</t>
  </si>
  <si>
    <t>#2061</t>
  </si>
  <si>
    <t>#2062</t>
  </si>
  <si>
    <t>#2063</t>
  </si>
  <si>
    <t>#2064</t>
  </si>
  <si>
    <t>#2065</t>
  </si>
  <si>
    <t>#2066</t>
  </si>
  <si>
    <t>#2067</t>
  </si>
  <si>
    <t>#2068</t>
  </si>
  <si>
    <t>#2069</t>
  </si>
  <si>
    <t>#2071</t>
  </si>
  <si>
    <t>#2072</t>
  </si>
  <si>
    <t>#2073</t>
  </si>
  <si>
    <t>#2074</t>
  </si>
  <si>
    <t>#2075</t>
  </si>
  <si>
    <t>#2076</t>
  </si>
  <si>
    <t>#2077</t>
  </si>
  <si>
    <t>#2078</t>
  </si>
  <si>
    <t>#2079</t>
  </si>
  <si>
    <t>#2080</t>
  </si>
  <si>
    <t>#2081</t>
  </si>
  <si>
    <t>#2082</t>
  </si>
  <si>
    <t>#2083</t>
  </si>
  <si>
    <t>#2084</t>
  </si>
  <si>
    <t>#2085</t>
  </si>
  <si>
    <t>#3008</t>
  </si>
  <si>
    <t>#2086</t>
  </si>
  <si>
    <t>#2088</t>
  </si>
  <si>
    <t>#2089</t>
  </si>
  <si>
    <t>#2090</t>
  </si>
  <si>
    <t>#2091</t>
  </si>
  <si>
    <t>#2092</t>
  </si>
  <si>
    <t>#2413</t>
  </si>
  <si>
    <t>#3010</t>
  </si>
  <si>
    <t>#3013</t>
  </si>
  <si>
    <t>#3014</t>
  </si>
  <si>
    <t>#3015</t>
  </si>
  <si>
    <t>#3012</t>
  </si>
  <si>
    <t>#3016</t>
  </si>
  <si>
    <t>#3009</t>
  </si>
  <si>
    <t>#3017</t>
  </si>
  <si>
    <t>#3018</t>
  </si>
  <si>
    <t>#3019</t>
  </si>
  <si>
    <t>#3020</t>
  </si>
  <si>
    <t>#3021</t>
  </si>
  <si>
    <t>#3022</t>
  </si>
  <si>
    <t>#3023</t>
  </si>
  <si>
    <t>YT</t>
  </si>
  <si>
    <t>latitude</t>
  </si>
  <si>
    <t>longitude</t>
  </si>
  <si>
    <t>id</t>
  </si>
  <si>
    <t>TSF(ha)</t>
  </si>
  <si>
    <t>WRP(ha)</t>
  </si>
  <si>
    <t>PIT(ha)</t>
  </si>
  <si>
    <t>TOT(ha)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</si>
</sst>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30</xdr:row>
      <xdr:rowOff>15240</xdr:rowOff>
    </xdr:from>
    <xdr:to>
      <xdr:col>8</xdr:col>
      <xdr:colOff>0</xdr:colOff>
      <xdr:row>45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46C53749-7DF0-4C96-BFA5-2274B41D4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" y="5897880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workbookViewId="0">
      <selection activeCell="E18" sqref="E18"/>
    </sheetView>
  </sheetViews>
  <sheetFormatPr baseColWidth="10" defaultColWidth="8.88671875" defaultRowHeight="14.4" x14ac:dyDescent="0.3"/>
  <sheetData>
    <row r="1" spans="1:8" x14ac:dyDescent="0.3">
      <c r="A1" s="1" t="s">
        <v>408</v>
      </c>
      <c r="B1" s="1" t="s">
        <v>406</v>
      </c>
      <c r="C1" s="1" t="s">
        <v>407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100</v>
      </c>
    </row>
    <row r="2" spans="1:8" x14ac:dyDescent="0.3">
      <c r="A2" s="2" t="s">
        <v>0</v>
      </c>
      <c r="B2" s="2">
        <f>-67.1369997564393</f>
        <v>-67.136999756439295</v>
      </c>
      <c r="C2" s="2">
        <v>45.161396212260598</v>
      </c>
      <c r="D2" s="2">
        <v>0</v>
      </c>
      <c r="E2" s="1">
        <v>0</v>
      </c>
      <c r="F2" s="1">
        <v>41</v>
      </c>
      <c r="G2" s="1">
        <f>SUM(D2:F2)</f>
        <v>41</v>
      </c>
      <c r="H2" s="1" t="s">
        <v>10</v>
      </c>
    </row>
    <row r="3" spans="1:8" x14ac:dyDescent="0.3">
      <c r="A3" s="2" t="s">
        <v>1</v>
      </c>
      <c r="B3" s="2">
        <f>-67.0413037866988</f>
        <v>-67.041303786698805</v>
      </c>
      <c r="C3" s="2">
        <v>45.848846502438199</v>
      </c>
      <c r="D3" s="2">
        <v>20</v>
      </c>
      <c r="E3" s="1">
        <v>0</v>
      </c>
      <c r="F3" s="1">
        <v>0</v>
      </c>
      <c r="G3" s="1">
        <f t="shared" ref="G3:G66" si="0">SUM(D3:F3)</f>
        <v>20</v>
      </c>
      <c r="H3" s="1" t="s">
        <v>10</v>
      </c>
    </row>
    <row r="4" spans="1:8" x14ac:dyDescent="0.3">
      <c r="A4" s="2" t="s">
        <v>2</v>
      </c>
      <c r="B4" s="2">
        <f>-65.8776821537277</f>
        <v>-65.877682153727704</v>
      </c>
      <c r="C4" s="2">
        <v>47.085893629419303</v>
      </c>
      <c r="D4" s="2">
        <v>0</v>
      </c>
      <c r="E4" s="1">
        <v>151</v>
      </c>
      <c r="F4" s="1">
        <v>0</v>
      </c>
      <c r="G4" s="1">
        <f t="shared" si="0"/>
        <v>151</v>
      </c>
      <c r="H4" s="1" t="s">
        <v>10</v>
      </c>
    </row>
    <row r="5" spans="1:8" x14ac:dyDescent="0.3">
      <c r="A5" s="2" t="s">
        <v>3</v>
      </c>
      <c r="B5" s="2">
        <f>-66.0711400157512</f>
        <v>-66.071140015751197</v>
      </c>
      <c r="C5" s="2">
        <v>47.2761107479567</v>
      </c>
      <c r="D5" s="2">
        <v>334</v>
      </c>
      <c r="E5" s="1">
        <v>0</v>
      </c>
      <c r="F5" s="1">
        <v>0</v>
      </c>
      <c r="G5" s="1">
        <f t="shared" si="0"/>
        <v>334</v>
      </c>
      <c r="H5" s="1" t="s">
        <v>10</v>
      </c>
    </row>
    <row r="6" spans="1:8" x14ac:dyDescent="0.3">
      <c r="A6" s="2" t="s">
        <v>4</v>
      </c>
      <c r="B6" s="2">
        <f>-65.8704042308422</f>
        <v>-65.870404230842198</v>
      </c>
      <c r="C6" s="2">
        <v>47.478378903421202</v>
      </c>
      <c r="D6" s="2">
        <v>704</v>
      </c>
      <c r="E6" s="1">
        <v>0</v>
      </c>
      <c r="F6" s="1">
        <v>0</v>
      </c>
      <c r="G6" s="1">
        <f t="shared" si="0"/>
        <v>704</v>
      </c>
      <c r="H6" s="1" t="s">
        <v>10</v>
      </c>
    </row>
    <row r="7" spans="1:8" x14ac:dyDescent="0.3">
      <c r="A7" s="2" t="s">
        <v>5</v>
      </c>
      <c r="B7" s="2">
        <f>-66.2905575877907</f>
        <v>-66.290557587790701</v>
      </c>
      <c r="C7" s="2">
        <v>47.564664395128297</v>
      </c>
      <c r="D7" s="2">
        <v>0</v>
      </c>
      <c r="E7" s="1">
        <v>72</v>
      </c>
      <c r="F7" s="1">
        <v>0</v>
      </c>
      <c r="G7" s="1">
        <f t="shared" si="0"/>
        <v>72</v>
      </c>
      <c r="H7" s="1" t="s">
        <v>10</v>
      </c>
    </row>
    <row r="8" spans="1:8" x14ac:dyDescent="0.3">
      <c r="A8" s="2" t="s">
        <v>6</v>
      </c>
      <c r="B8" s="2">
        <f>-66.0393557601134</f>
        <v>-66.039355760113395</v>
      </c>
      <c r="C8" s="2">
        <v>47.651732799310601</v>
      </c>
      <c r="D8" s="2">
        <v>0</v>
      </c>
      <c r="E8" s="1">
        <v>0</v>
      </c>
      <c r="F8" s="1">
        <v>28</v>
      </c>
      <c r="G8" s="1">
        <f t="shared" si="0"/>
        <v>28</v>
      </c>
      <c r="H8" s="1" t="s">
        <v>10</v>
      </c>
    </row>
    <row r="9" spans="1:8" x14ac:dyDescent="0.3">
      <c r="A9" s="2" t="s">
        <v>7</v>
      </c>
      <c r="B9" s="2">
        <f>-66.7381934402244</f>
        <v>-66.738193440224407</v>
      </c>
      <c r="C9" s="2">
        <v>45.958608373879798</v>
      </c>
      <c r="D9" s="1">
        <v>0</v>
      </c>
      <c r="E9" s="1">
        <v>0</v>
      </c>
      <c r="F9" s="1">
        <v>52</v>
      </c>
      <c r="G9" s="1">
        <f t="shared" si="0"/>
        <v>52</v>
      </c>
      <c r="H9" s="1" t="s">
        <v>10</v>
      </c>
    </row>
    <row r="10" spans="1:8" x14ac:dyDescent="0.3">
      <c r="A10" s="2" t="s">
        <v>8</v>
      </c>
      <c r="B10" s="2">
        <f>-64.8718158929021</f>
        <v>-64.871815892902106</v>
      </c>
      <c r="C10" s="2">
        <v>46.166373605311499</v>
      </c>
      <c r="D10" s="2">
        <v>0</v>
      </c>
      <c r="E10" s="1">
        <v>126</v>
      </c>
      <c r="F10" s="1">
        <v>45</v>
      </c>
      <c r="G10" s="1">
        <f t="shared" si="0"/>
        <v>171</v>
      </c>
      <c r="H10" s="1" t="s">
        <v>10</v>
      </c>
    </row>
    <row r="11" spans="1:8" x14ac:dyDescent="0.3">
      <c r="A11" s="2" t="s">
        <v>9</v>
      </c>
      <c r="B11" s="2">
        <f>-64.5662780987359</f>
        <v>-64.566278098735907</v>
      </c>
      <c r="C11" s="2">
        <v>46.052156641393601</v>
      </c>
      <c r="D11" s="2">
        <v>0</v>
      </c>
      <c r="E11" s="1">
        <v>0</v>
      </c>
      <c r="F11" s="1">
        <v>66</v>
      </c>
      <c r="G11" s="1">
        <f t="shared" si="0"/>
        <v>66</v>
      </c>
      <c r="H11" s="1" t="s">
        <v>10</v>
      </c>
    </row>
    <row r="12" spans="1:8" x14ac:dyDescent="0.3">
      <c r="A12" s="1" t="s">
        <v>11</v>
      </c>
      <c r="B12" s="1">
        <f>-95.6535343447514</f>
        <v>-95.653534344751407</v>
      </c>
      <c r="C12" s="1">
        <v>51.030621560029601</v>
      </c>
      <c r="D12" s="1">
        <v>135</v>
      </c>
      <c r="E12" s="1">
        <v>0</v>
      </c>
      <c r="F12" s="1">
        <v>0</v>
      </c>
      <c r="G12" s="1">
        <f t="shared" si="0"/>
        <v>135</v>
      </c>
      <c r="H12" s="1" t="s">
        <v>23</v>
      </c>
    </row>
    <row r="13" spans="1:8" x14ac:dyDescent="0.3">
      <c r="A13" s="1" t="s">
        <v>12</v>
      </c>
      <c r="B13" s="1">
        <f>-95.4473837673475</f>
        <v>-95.447383767347503</v>
      </c>
      <c r="C13" s="1">
        <v>50.433154919074298</v>
      </c>
      <c r="D13" s="1">
        <v>0</v>
      </c>
      <c r="E13" s="1">
        <v>76</v>
      </c>
      <c r="F13" s="1">
        <v>0</v>
      </c>
      <c r="G13" s="1">
        <f t="shared" si="0"/>
        <v>76</v>
      </c>
      <c r="H13" s="1" t="s">
        <v>23</v>
      </c>
    </row>
    <row r="14" spans="1:8" x14ac:dyDescent="0.3">
      <c r="A14" s="1" t="s">
        <v>13</v>
      </c>
      <c r="B14" s="1">
        <f>-101.650458652558</f>
        <v>-101.650458652558</v>
      </c>
      <c r="C14" s="1">
        <v>56.618451903264301</v>
      </c>
      <c r="D14" s="1">
        <v>367</v>
      </c>
      <c r="E14" s="1">
        <v>0</v>
      </c>
      <c r="F14" s="1">
        <v>0</v>
      </c>
      <c r="G14" s="1">
        <f t="shared" si="0"/>
        <v>367</v>
      </c>
      <c r="H14" s="1" t="s">
        <v>23</v>
      </c>
    </row>
    <row r="15" spans="1:8" x14ac:dyDescent="0.3">
      <c r="A15" s="1" t="s">
        <v>14</v>
      </c>
      <c r="B15" s="1">
        <f>-101.022223636225</f>
        <v>-101.02222363622499</v>
      </c>
      <c r="C15" s="1">
        <v>56.849188418217103</v>
      </c>
      <c r="D15" s="1">
        <v>4332</v>
      </c>
      <c r="E15" s="1">
        <v>0</v>
      </c>
      <c r="F15" s="1">
        <v>0</v>
      </c>
      <c r="G15" s="1">
        <f t="shared" si="0"/>
        <v>4332</v>
      </c>
      <c r="H15" s="1" t="s">
        <v>23</v>
      </c>
    </row>
    <row r="16" spans="1:8" x14ac:dyDescent="0.3">
      <c r="A16" s="1" t="s">
        <v>15</v>
      </c>
      <c r="B16" s="1">
        <f>-99.6370300027965</f>
        <v>-99.637030002796493</v>
      </c>
      <c r="C16" s="1">
        <v>56.4732416820776</v>
      </c>
      <c r="D16" s="1">
        <v>466</v>
      </c>
      <c r="E16" s="1">
        <v>338</v>
      </c>
      <c r="F16" s="1">
        <v>0</v>
      </c>
      <c r="G16" s="1">
        <f t="shared" si="0"/>
        <v>804</v>
      </c>
      <c r="H16" s="1" t="s">
        <v>23</v>
      </c>
    </row>
    <row r="17" spans="1:8" x14ac:dyDescent="0.3">
      <c r="A17" s="1" t="s">
        <v>16</v>
      </c>
      <c r="B17" s="1">
        <f>-95.2060895262335</f>
        <v>-95.206089526233498</v>
      </c>
      <c r="C17" s="1">
        <v>56.351950199636804</v>
      </c>
      <c r="D17" s="1">
        <v>26</v>
      </c>
      <c r="E17" s="1">
        <v>670</v>
      </c>
      <c r="F17" s="1">
        <v>0</v>
      </c>
      <c r="G17" s="1">
        <f t="shared" si="0"/>
        <v>696</v>
      </c>
      <c r="H17" s="1" t="s">
        <v>23</v>
      </c>
    </row>
    <row r="18" spans="1:8" x14ac:dyDescent="0.3">
      <c r="A18" s="1" t="s">
        <v>17</v>
      </c>
      <c r="B18" s="1">
        <f>-96.8922093121801</f>
        <v>-96.8922093121801</v>
      </c>
      <c r="C18" s="1">
        <v>49.974889468073599</v>
      </c>
      <c r="D18" s="1">
        <v>788</v>
      </c>
      <c r="E18" s="1">
        <v>0</v>
      </c>
      <c r="F18" s="1">
        <v>0</v>
      </c>
      <c r="G18" s="1">
        <f t="shared" si="0"/>
        <v>788</v>
      </c>
      <c r="H18" s="1" t="s">
        <v>23</v>
      </c>
    </row>
    <row r="19" spans="1:8" x14ac:dyDescent="0.3">
      <c r="A19" s="1" t="s">
        <v>18</v>
      </c>
      <c r="B19" s="1">
        <f>-97.2803710214478</f>
        <v>-97.280371021447806</v>
      </c>
      <c r="C19" s="1">
        <v>50.161952040483101</v>
      </c>
      <c r="D19" s="1">
        <v>893</v>
      </c>
      <c r="E19" s="1">
        <v>0</v>
      </c>
      <c r="F19" s="1">
        <v>0</v>
      </c>
      <c r="G19" s="1">
        <f t="shared" si="0"/>
        <v>893</v>
      </c>
      <c r="H19" s="1" t="s">
        <v>23</v>
      </c>
    </row>
    <row r="20" spans="1:8" x14ac:dyDescent="0.3">
      <c r="A20" s="1" t="s">
        <v>19</v>
      </c>
      <c r="B20" s="1">
        <f>-97.829370267332</f>
        <v>-97.829370267331996</v>
      </c>
      <c r="C20" s="1">
        <v>55.714529183853003</v>
      </c>
      <c r="D20" s="1">
        <v>1054</v>
      </c>
      <c r="E20" s="1">
        <v>605</v>
      </c>
      <c r="F20" s="1">
        <v>0</v>
      </c>
      <c r="G20" s="1">
        <f t="shared" si="0"/>
        <v>1659</v>
      </c>
      <c r="H20" s="1" t="s">
        <v>23</v>
      </c>
    </row>
    <row r="21" spans="1:8" x14ac:dyDescent="0.3">
      <c r="A21" s="1" t="s">
        <v>20</v>
      </c>
      <c r="B21" s="1">
        <f>-100.011168969001</f>
        <v>-100.01116896900101</v>
      </c>
      <c r="C21" s="1">
        <v>54.899768481847502</v>
      </c>
      <c r="D21" s="1">
        <v>160</v>
      </c>
      <c r="E21" s="1">
        <v>0</v>
      </c>
      <c r="F21" s="1">
        <v>0</v>
      </c>
      <c r="G21" s="1">
        <f t="shared" si="0"/>
        <v>160</v>
      </c>
      <c r="H21" s="1" t="s">
        <v>23</v>
      </c>
    </row>
    <row r="22" spans="1:8" x14ac:dyDescent="0.3">
      <c r="A22" s="1" t="s">
        <v>21</v>
      </c>
      <c r="B22" s="1">
        <f>-101.224423964961</f>
        <v>-101.22442396496101</v>
      </c>
      <c r="C22" s="1">
        <v>53.863900409797097</v>
      </c>
      <c r="D22" s="1">
        <v>0</v>
      </c>
      <c r="E22" s="1">
        <v>142</v>
      </c>
      <c r="F22" s="1">
        <v>0</v>
      </c>
      <c r="G22" s="1">
        <f t="shared" si="0"/>
        <v>142</v>
      </c>
      <c r="H22" s="1" t="s">
        <v>23</v>
      </c>
    </row>
    <row r="23" spans="1:8" x14ac:dyDescent="0.3">
      <c r="A23" s="1" t="s">
        <v>22</v>
      </c>
      <c r="B23" s="1">
        <f>-98.7671537795756</f>
        <v>-98.767153779575594</v>
      </c>
      <c r="C23" s="1">
        <v>50.731030429750199</v>
      </c>
      <c r="D23" s="1">
        <v>66</v>
      </c>
      <c r="E23" s="1">
        <v>0</v>
      </c>
      <c r="F23" s="1">
        <v>0</v>
      </c>
      <c r="G23" s="1">
        <f t="shared" si="0"/>
        <v>66</v>
      </c>
      <c r="H23" s="1" t="s">
        <v>23</v>
      </c>
    </row>
    <row r="24" spans="1:8" x14ac:dyDescent="0.3">
      <c r="A24" s="1" t="s">
        <v>24</v>
      </c>
      <c r="B24" s="1">
        <f>-63.5608197535794</f>
        <v>-63.560819753579402</v>
      </c>
      <c r="C24" s="1">
        <v>44.713377209221697</v>
      </c>
      <c r="D24" s="1">
        <v>0</v>
      </c>
      <c r="E24" s="1">
        <v>107</v>
      </c>
      <c r="F24" s="1">
        <v>0</v>
      </c>
      <c r="G24" s="1">
        <f t="shared" si="0"/>
        <v>107</v>
      </c>
      <c r="H24" s="1" t="s">
        <v>39</v>
      </c>
    </row>
    <row r="25" spans="1:8" x14ac:dyDescent="0.3">
      <c r="A25" s="1" t="s">
        <v>25</v>
      </c>
      <c r="B25" s="1">
        <f>-64.0496107338671</f>
        <v>-64.049610733867098</v>
      </c>
      <c r="C25" s="1">
        <v>45.019027999756297</v>
      </c>
      <c r="D25" s="1">
        <v>0</v>
      </c>
      <c r="E25" s="1">
        <v>235</v>
      </c>
      <c r="F25" s="1">
        <v>76</v>
      </c>
      <c r="G25" s="1">
        <f t="shared" si="0"/>
        <v>311</v>
      </c>
      <c r="H25" s="1" t="s">
        <v>39</v>
      </c>
    </row>
    <row r="26" spans="1:8" x14ac:dyDescent="0.3">
      <c r="A26" s="1" t="s">
        <v>26</v>
      </c>
      <c r="B26" s="1">
        <f>-63.416357889474</f>
        <v>-63.416357889474</v>
      </c>
      <c r="C26" s="1">
        <v>45.012911354038899</v>
      </c>
      <c r="D26" s="1">
        <v>0</v>
      </c>
      <c r="E26" s="1">
        <v>0</v>
      </c>
      <c r="F26" s="1">
        <v>206</v>
      </c>
      <c r="G26" s="1">
        <f t="shared" si="0"/>
        <v>206</v>
      </c>
      <c r="H26" s="1" t="s">
        <v>39</v>
      </c>
    </row>
    <row r="27" spans="1:8" x14ac:dyDescent="0.3">
      <c r="A27" s="1" t="s">
        <v>27</v>
      </c>
      <c r="B27" s="1">
        <f>-63.3441514938762</f>
        <v>-63.344151493876197</v>
      </c>
      <c r="C27" s="1">
        <v>45.024161091134502</v>
      </c>
      <c r="D27" s="1">
        <v>75</v>
      </c>
      <c r="E27" s="1">
        <v>35</v>
      </c>
      <c r="F27" s="1">
        <v>25</v>
      </c>
      <c r="G27" s="1">
        <f t="shared" si="0"/>
        <v>135</v>
      </c>
      <c r="H27" s="1" t="s">
        <v>39</v>
      </c>
    </row>
    <row r="28" spans="1:8" x14ac:dyDescent="0.3">
      <c r="A28" s="1" t="s">
        <v>28</v>
      </c>
      <c r="B28" s="1">
        <f>-64.2610733285634</f>
        <v>-64.261073328563398</v>
      </c>
      <c r="C28" s="1">
        <v>44.6082153547746</v>
      </c>
      <c r="D28" s="1">
        <v>0</v>
      </c>
      <c r="E28" s="1">
        <v>31</v>
      </c>
      <c r="F28" s="1">
        <v>0</v>
      </c>
      <c r="G28" s="1">
        <f t="shared" si="0"/>
        <v>31</v>
      </c>
      <c r="H28" s="1" t="s">
        <v>39</v>
      </c>
    </row>
    <row r="29" spans="1:8" x14ac:dyDescent="0.3">
      <c r="A29" s="1" t="s">
        <v>29</v>
      </c>
      <c r="B29" s="1">
        <f>-65.6924268646218</f>
        <v>-65.692426864621794</v>
      </c>
      <c r="C29" s="1">
        <v>44.105404134394398</v>
      </c>
      <c r="D29" s="1">
        <v>342</v>
      </c>
      <c r="E29" s="1">
        <v>0</v>
      </c>
      <c r="F29" s="1">
        <v>63</v>
      </c>
      <c r="G29" s="1">
        <f t="shared" si="0"/>
        <v>405</v>
      </c>
      <c r="H29" s="1" t="s">
        <v>39</v>
      </c>
    </row>
    <row r="30" spans="1:8" x14ac:dyDescent="0.3">
      <c r="A30" s="1" t="s">
        <v>30</v>
      </c>
      <c r="B30" s="1">
        <f>-63.6535269272328</f>
        <v>-63.653526927232797</v>
      </c>
      <c r="C30" s="1">
        <v>45.8419055548299</v>
      </c>
      <c r="D30" s="1">
        <v>0</v>
      </c>
      <c r="E30" s="1">
        <v>24</v>
      </c>
      <c r="F30" s="1">
        <v>0</v>
      </c>
      <c r="G30" s="1">
        <f t="shared" si="0"/>
        <v>24</v>
      </c>
      <c r="H30" s="1" t="s">
        <v>39</v>
      </c>
    </row>
    <row r="31" spans="1:8" x14ac:dyDescent="0.3">
      <c r="A31" s="1" t="s">
        <v>31</v>
      </c>
      <c r="B31" s="1">
        <f>-64.0819802005942</f>
        <v>-64.081980200594202</v>
      </c>
      <c r="C31" s="1">
        <v>44.978829350490102</v>
      </c>
      <c r="D31" s="1">
        <v>0</v>
      </c>
      <c r="E31" s="1">
        <v>0</v>
      </c>
      <c r="F31" s="1">
        <v>141</v>
      </c>
      <c r="G31" s="1">
        <f t="shared" si="0"/>
        <v>141</v>
      </c>
      <c r="H31" s="1" t="s">
        <v>39</v>
      </c>
    </row>
    <row r="32" spans="1:8" x14ac:dyDescent="0.3">
      <c r="A32" s="1" t="s">
        <v>32</v>
      </c>
      <c r="B32" s="1">
        <f>-63.5343210294335</f>
        <v>-63.534321029433499</v>
      </c>
      <c r="C32" s="1">
        <v>44.734101660024301</v>
      </c>
      <c r="D32" s="1">
        <v>0</v>
      </c>
      <c r="E32" s="1">
        <v>0</v>
      </c>
      <c r="F32" s="1">
        <v>120</v>
      </c>
      <c r="G32" s="1">
        <f t="shared" si="0"/>
        <v>120</v>
      </c>
      <c r="H32" s="1" t="s">
        <v>39</v>
      </c>
    </row>
    <row r="33" spans="1:8" x14ac:dyDescent="0.3">
      <c r="A33" s="1" t="s">
        <v>33</v>
      </c>
      <c r="B33" s="1">
        <f>-63.6117908961307</f>
        <v>-63.611790896130699</v>
      </c>
      <c r="C33" s="1">
        <v>44.743669513119499</v>
      </c>
      <c r="D33" s="1">
        <v>0</v>
      </c>
      <c r="E33" s="1">
        <v>0</v>
      </c>
      <c r="F33" s="1">
        <v>160</v>
      </c>
      <c r="G33" s="1">
        <f t="shared" si="0"/>
        <v>160</v>
      </c>
      <c r="H33" s="1" t="s">
        <v>39</v>
      </c>
    </row>
    <row r="34" spans="1:8" x14ac:dyDescent="0.3">
      <c r="A34" s="1" t="s">
        <v>34</v>
      </c>
      <c r="B34" s="1">
        <f>-61.4184252790661</f>
        <v>-61.418425279066099</v>
      </c>
      <c r="C34" s="1">
        <v>45.630173526867303</v>
      </c>
      <c r="D34" s="1">
        <v>0</v>
      </c>
      <c r="E34" s="1">
        <v>155</v>
      </c>
      <c r="F34" s="1">
        <v>0</v>
      </c>
      <c r="G34" s="1">
        <f t="shared" si="0"/>
        <v>155</v>
      </c>
      <c r="H34" s="1" t="s">
        <v>39</v>
      </c>
    </row>
    <row r="35" spans="1:8" x14ac:dyDescent="0.3">
      <c r="A35" s="1" t="s">
        <v>35</v>
      </c>
      <c r="B35" s="1">
        <f>-61.5172020615636</f>
        <v>-61.517202061563601</v>
      </c>
      <c r="C35" s="1">
        <v>45.492224700577502</v>
      </c>
      <c r="D35" s="1">
        <v>0</v>
      </c>
      <c r="E35" s="1">
        <v>20</v>
      </c>
      <c r="F35" s="1">
        <v>0</v>
      </c>
      <c r="G35" s="1">
        <f t="shared" si="0"/>
        <v>20</v>
      </c>
      <c r="H35" s="1" t="s">
        <v>39</v>
      </c>
    </row>
    <row r="36" spans="1:8" x14ac:dyDescent="0.3">
      <c r="A36" s="1" t="s">
        <v>36</v>
      </c>
      <c r="B36" s="1">
        <f>-61.2538635067027</f>
        <v>-61.2538635067027</v>
      </c>
      <c r="C36" s="1">
        <v>45.888539239748901</v>
      </c>
      <c r="D36" s="1">
        <v>0</v>
      </c>
      <c r="E36" s="1">
        <v>127</v>
      </c>
      <c r="F36" s="1">
        <v>0</v>
      </c>
      <c r="G36" s="1">
        <f t="shared" si="0"/>
        <v>127</v>
      </c>
      <c r="H36" s="1" t="s">
        <v>39</v>
      </c>
    </row>
    <row r="37" spans="1:8" x14ac:dyDescent="0.3">
      <c r="A37" s="1" t="s">
        <v>37</v>
      </c>
      <c r="B37" s="1">
        <f>-60.9119754865853</f>
        <v>-60.911975486585298</v>
      </c>
      <c r="C37" s="1">
        <v>46.002185742971299</v>
      </c>
      <c r="D37" s="1">
        <v>0</v>
      </c>
      <c r="E37" s="1">
        <v>0</v>
      </c>
      <c r="F37" s="1">
        <v>177</v>
      </c>
      <c r="G37" s="1">
        <f t="shared" si="0"/>
        <v>177</v>
      </c>
      <c r="H37" s="1" t="s">
        <v>39</v>
      </c>
    </row>
    <row r="38" spans="1:8" x14ac:dyDescent="0.3">
      <c r="A38" s="1" t="s">
        <v>38</v>
      </c>
      <c r="B38" s="1">
        <f>-63.5387919784898</f>
        <v>-63.538791978489797</v>
      </c>
      <c r="C38" s="1">
        <v>45.552425354163603</v>
      </c>
      <c r="D38" s="1">
        <v>91</v>
      </c>
      <c r="E38" s="1">
        <v>0</v>
      </c>
      <c r="F38" s="1">
        <v>0</v>
      </c>
      <c r="G38" s="1">
        <f t="shared" si="0"/>
        <v>91</v>
      </c>
      <c r="H38" s="1" t="s">
        <v>39</v>
      </c>
    </row>
    <row r="39" spans="1:8" x14ac:dyDescent="0.3">
      <c r="A39" s="3" t="s">
        <v>40</v>
      </c>
      <c r="B39" s="3">
        <f>-95.9986873115985</f>
        <v>-95.998687311598502</v>
      </c>
      <c r="C39" s="3">
        <v>65.074994235925303</v>
      </c>
      <c r="D39" s="3">
        <v>148</v>
      </c>
      <c r="E39" s="1">
        <v>98</v>
      </c>
      <c r="F39" s="1">
        <v>59</v>
      </c>
      <c r="G39" s="1">
        <f t="shared" si="0"/>
        <v>305</v>
      </c>
      <c r="H39" s="1" t="s">
        <v>43</v>
      </c>
    </row>
    <row r="40" spans="1:8" x14ac:dyDescent="0.3">
      <c r="A40" s="3" t="s">
        <v>41</v>
      </c>
      <c r="B40" s="3">
        <f>-96.0640115808202</f>
        <v>-96.064011580820207</v>
      </c>
      <c r="C40" s="3">
        <v>65.025588757783694</v>
      </c>
      <c r="D40" s="3">
        <v>320</v>
      </c>
      <c r="E40" s="1">
        <v>386</v>
      </c>
      <c r="F40" s="1">
        <v>0</v>
      </c>
      <c r="G40" s="1">
        <f t="shared" si="0"/>
        <v>706</v>
      </c>
      <c r="H40" s="1" t="s">
        <v>43</v>
      </c>
    </row>
    <row r="41" spans="1:8" x14ac:dyDescent="0.3">
      <c r="A41" s="3" t="s">
        <v>42</v>
      </c>
      <c r="B41" s="3">
        <f>-111.279858165918</f>
        <v>-111.279858165918</v>
      </c>
      <c r="C41" s="3">
        <v>65.727809131557805</v>
      </c>
      <c r="D41" s="3">
        <v>535</v>
      </c>
      <c r="E41" s="1">
        <v>0</v>
      </c>
      <c r="F41" s="1">
        <v>0</v>
      </c>
      <c r="G41" s="1">
        <f t="shared" si="0"/>
        <v>535</v>
      </c>
      <c r="H41" s="1" t="s">
        <v>43</v>
      </c>
    </row>
    <row r="42" spans="1:8" x14ac:dyDescent="0.3">
      <c r="A42" s="1" t="s">
        <v>44</v>
      </c>
      <c r="B42" s="1">
        <f>-105.43232756001</f>
        <v>-105.43232756000999</v>
      </c>
      <c r="C42" s="1">
        <v>49.2246906455822</v>
      </c>
      <c r="D42" s="1">
        <v>0</v>
      </c>
      <c r="E42" s="1">
        <v>300</v>
      </c>
      <c r="F42" s="1">
        <v>256</v>
      </c>
      <c r="G42" s="1">
        <f t="shared" si="0"/>
        <v>556</v>
      </c>
      <c r="H42" s="1" t="s">
        <v>72</v>
      </c>
    </row>
    <row r="43" spans="1:8" x14ac:dyDescent="0.3">
      <c r="A43" s="1" t="s">
        <v>45</v>
      </c>
      <c r="B43" s="1">
        <f>-105.189236497606</f>
        <v>-105.189236497606</v>
      </c>
      <c r="C43" s="1">
        <v>50.4359180239206</v>
      </c>
      <c r="D43" s="1">
        <v>493</v>
      </c>
      <c r="E43" s="1">
        <v>0</v>
      </c>
      <c r="F43" s="1">
        <v>0</v>
      </c>
      <c r="G43" s="1">
        <f t="shared" si="0"/>
        <v>493</v>
      </c>
      <c r="H43" s="1" t="s">
        <v>72</v>
      </c>
    </row>
    <row r="44" spans="1:8" x14ac:dyDescent="0.3">
      <c r="A44" s="1" t="s">
        <v>46</v>
      </c>
      <c r="B44" s="1">
        <f>-102.796900139166</f>
        <v>-102.796900139166</v>
      </c>
      <c r="C44" s="1">
        <v>54.639282282640004</v>
      </c>
      <c r="D44" s="1">
        <v>0</v>
      </c>
      <c r="E44" s="1">
        <v>217</v>
      </c>
      <c r="F44" s="1">
        <v>0</v>
      </c>
      <c r="G44" s="1">
        <f t="shared" si="0"/>
        <v>217</v>
      </c>
      <c r="H44" s="1" t="s">
        <v>72</v>
      </c>
    </row>
    <row r="45" spans="1:8" x14ac:dyDescent="0.3">
      <c r="A45" s="1" t="s">
        <v>47</v>
      </c>
      <c r="B45" s="1">
        <f>-106.677755659596</f>
        <v>-106.677755659596</v>
      </c>
      <c r="C45" s="1">
        <v>50.431116300955402</v>
      </c>
      <c r="D45" s="1">
        <v>3853</v>
      </c>
      <c r="E45" s="1">
        <v>0</v>
      </c>
      <c r="F45" s="1">
        <v>0</v>
      </c>
      <c r="G45" s="1">
        <f t="shared" si="0"/>
        <v>3853</v>
      </c>
      <c r="H45" s="1" t="s">
        <v>72</v>
      </c>
    </row>
    <row r="46" spans="1:8" x14ac:dyDescent="0.3">
      <c r="A46" s="1" t="s">
        <v>48</v>
      </c>
      <c r="B46" s="1">
        <f>-101.982261727027</f>
        <v>-101.98226172702699</v>
      </c>
      <c r="C46" s="1">
        <v>49.131794050833399</v>
      </c>
      <c r="D46" s="1">
        <v>0</v>
      </c>
      <c r="E46" s="1">
        <v>33</v>
      </c>
      <c r="F46" s="1">
        <v>0</v>
      </c>
      <c r="G46" s="1">
        <f t="shared" si="0"/>
        <v>33</v>
      </c>
      <c r="H46" s="1" t="s">
        <v>72</v>
      </c>
    </row>
    <row r="47" spans="1:8" x14ac:dyDescent="0.3">
      <c r="A47" s="1" t="s">
        <v>49</v>
      </c>
      <c r="B47" s="1">
        <f>-102.856098084497</f>
        <v>-102.85609808449701</v>
      </c>
      <c r="C47" s="1">
        <v>49.104787179491098</v>
      </c>
      <c r="D47" s="1">
        <v>874</v>
      </c>
      <c r="E47" s="1">
        <v>3403</v>
      </c>
      <c r="F47" s="1">
        <v>0</v>
      </c>
      <c r="G47" s="1">
        <f t="shared" si="0"/>
        <v>4277</v>
      </c>
      <c r="H47" s="1" t="s">
        <v>72</v>
      </c>
    </row>
    <row r="48" spans="1:8" x14ac:dyDescent="0.3">
      <c r="A48" s="1" t="s">
        <v>50</v>
      </c>
      <c r="B48" s="1">
        <f>-101.541702537476</f>
        <v>-101.541702537476</v>
      </c>
      <c r="C48" s="1">
        <v>50.462965092951301</v>
      </c>
      <c r="D48" s="1">
        <v>595</v>
      </c>
      <c r="E48" s="1">
        <v>0</v>
      </c>
      <c r="F48" s="1">
        <v>0</v>
      </c>
      <c r="G48" s="1">
        <f t="shared" si="0"/>
        <v>595</v>
      </c>
      <c r="H48" s="1" t="s">
        <v>72</v>
      </c>
    </row>
    <row r="49" spans="1:8" x14ac:dyDescent="0.3">
      <c r="A49" s="1" t="s">
        <v>51</v>
      </c>
      <c r="B49" s="1">
        <f>-101.867546599534</f>
        <v>-101.86754659953399</v>
      </c>
      <c r="C49" s="1">
        <v>50.661866652354199</v>
      </c>
      <c r="D49" s="1">
        <v>435</v>
      </c>
      <c r="E49" s="1">
        <v>0</v>
      </c>
      <c r="F49" s="1">
        <v>0</v>
      </c>
      <c r="G49" s="1">
        <f t="shared" si="0"/>
        <v>435</v>
      </c>
      <c r="H49" s="1" t="s">
        <v>72</v>
      </c>
    </row>
    <row r="50" spans="1:8" x14ac:dyDescent="0.3">
      <c r="A50" s="1" t="s">
        <v>52</v>
      </c>
      <c r="B50" s="1">
        <f>-101.94366464901</f>
        <v>-101.94366464901</v>
      </c>
      <c r="C50" s="1">
        <v>50.730940402778003</v>
      </c>
      <c r="D50" s="1">
        <v>554</v>
      </c>
      <c r="E50" s="1">
        <v>0</v>
      </c>
      <c r="F50" s="1">
        <v>0</v>
      </c>
      <c r="G50" s="1">
        <f t="shared" si="0"/>
        <v>554</v>
      </c>
      <c r="H50" s="1" t="s">
        <v>72</v>
      </c>
    </row>
    <row r="51" spans="1:8" x14ac:dyDescent="0.3">
      <c r="A51" s="1" t="s">
        <v>53</v>
      </c>
      <c r="B51" s="1">
        <f>-105.387901266075</f>
        <v>-105.387901266075</v>
      </c>
      <c r="C51" s="1">
        <v>50.650175151008398</v>
      </c>
      <c r="D51" s="1">
        <v>212</v>
      </c>
      <c r="E51" s="1">
        <v>0</v>
      </c>
      <c r="F51" s="1">
        <v>0</v>
      </c>
      <c r="G51" s="1">
        <f t="shared" si="0"/>
        <v>212</v>
      </c>
      <c r="H51" s="1" t="s">
        <v>72</v>
      </c>
    </row>
    <row r="52" spans="1:8" x14ac:dyDescent="0.3">
      <c r="A52" s="1" t="s">
        <v>54</v>
      </c>
      <c r="B52" s="1">
        <f>-105.200123049914</f>
        <v>-105.200123049914</v>
      </c>
      <c r="C52" s="1">
        <v>51.841557878917399</v>
      </c>
      <c r="D52" s="1">
        <v>792</v>
      </c>
      <c r="E52" s="1">
        <v>0</v>
      </c>
      <c r="F52" s="1">
        <v>0</v>
      </c>
      <c r="G52" s="1">
        <f t="shared" si="0"/>
        <v>792</v>
      </c>
      <c r="H52" s="1" t="s">
        <v>72</v>
      </c>
    </row>
    <row r="53" spans="1:8" x14ac:dyDescent="0.3">
      <c r="A53" s="1" t="s">
        <v>55</v>
      </c>
      <c r="B53" s="1">
        <f>-104.712852826366</f>
        <v>-104.712852826366</v>
      </c>
      <c r="C53" s="1">
        <v>51.899280870675703</v>
      </c>
      <c r="D53" s="1">
        <v>0</v>
      </c>
      <c r="E53" s="1">
        <v>76</v>
      </c>
      <c r="F53" s="1">
        <v>0</v>
      </c>
      <c r="G53" s="1">
        <f t="shared" si="0"/>
        <v>76</v>
      </c>
      <c r="H53" s="1" t="s">
        <v>72</v>
      </c>
    </row>
    <row r="54" spans="1:8" x14ac:dyDescent="0.3">
      <c r="A54" s="1" t="s">
        <v>56</v>
      </c>
      <c r="B54" s="1">
        <f>-105.782838025513</f>
        <v>-105.782838025513</v>
      </c>
      <c r="C54" s="1">
        <v>51.926357163077697</v>
      </c>
      <c r="D54" s="1">
        <v>592</v>
      </c>
      <c r="E54" s="1">
        <v>0</v>
      </c>
      <c r="F54" s="1">
        <v>0</v>
      </c>
      <c r="G54" s="1">
        <f t="shared" si="0"/>
        <v>592</v>
      </c>
      <c r="H54" s="1" t="s">
        <v>72</v>
      </c>
    </row>
    <row r="55" spans="1:8" x14ac:dyDescent="0.3">
      <c r="A55" s="1" t="s">
        <v>57</v>
      </c>
      <c r="B55" s="1">
        <f>-106.086559280108</f>
        <v>-106.08655928010801</v>
      </c>
      <c r="C55" s="1">
        <v>51.9421081440873</v>
      </c>
      <c r="D55" s="1">
        <v>587</v>
      </c>
      <c r="E55" s="1">
        <v>0</v>
      </c>
      <c r="F55" s="1">
        <v>0</v>
      </c>
      <c r="G55" s="1">
        <f t="shared" si="0"/>
        <v>587</v>
      </c>
      <c r="H55" s="1" t="s">
        <v>72</v>
      </c>
    </row>
    <row r="56" spans="1:8" x14ac:dyDescent="0.3">
      <c r="A56" s="1" t="s">
        <v>58</v>
      </c>
      <c r="B56" s="1">
        <f>-107.076013882948</f>
        <v>-107.076013882948</v>
      </c>
      <c r="C56" s="1">
        <v>52.007228778539499</v>
      </c>
      <c r="D56" s="1">
        <v>690</v>
      </c>
      <c r="E56" s="1">
        <v>0</v>
      </c>
      <c r="F56" s="1">
        <v>0</v>
      </c>
      <c r="G56" s="1">
        <f t="shared" si="0"/>
        <v>690</v>
      </c>
      <c r="H56" s="1" t="s">
        <v>72</v>
      </c>
    </row>
    <row r="57" spans="1:8" x14ac:dyDescent="0.3">
      <c r="A57" s="1" t="s">
        <v>59</v>
      </c>
      <c r="B57" s="1">
        <f>-106.870089103094</f>
        <v>-106.870089103094</v>
      </c>
      <c r="C57" s="1">
        <v>52.0905103550175</v>
      </c>
      <c r="D57" s="1">
        <v>408</v>
      </c>
      <c r="E57" s="1">
        <v>0</v>
      </c>
      <c r="F57" s="1">
        <v>0</v>
      </c>
      <c r="G57" s="1">
        <f t="shared" si="0"/>
        <v>408</v>
      </c>
      <c r="H57" s="1" t="s">
        <v>72</v>
      </c>
    </row>
    <row r="58" spans="1:8" x14ac:dyDescent="0.3">
      <c r="A58" s="1" t="s">
        <v>60</v>
      </c>
      <c r="B58" s="1">
        <f>-109.10529825398</f>
        <v>-109.10529825398</v>
      </c>
      <c r="C58" s="1">
        <v>52.434232886186003</v>
      </c>
      <c r="D58" s="1">
        <v>26</v>
      </c>
      <c r="E58" s="1">
        <v>0</v>
      </c>
      <c r="F58" s="1">
        <v>0</v>
      </c>
      <c r="G58" s="1">
        <f t="shared" si="0"/>
        <v>26</v>
      </c>
      <c r="H58" s="1" t="s">
        <v>72</v>
      </c>
    </row>
    <row r="59" spans="1:8" x14ac:dyDescent="0.3">
      <c r="A59" s="1" t="s">
        <v>61</v>
      </c>
      <c r="B59" s="1">
        <f>-106.366711962733</f>
        <v>-106.36671196273301</v>
      </c>
      <c r="C59" s="1">
        <v>52.0991126112419</v>
      </c>
      <c r="D59" s="1">
        <v>181</v>
      </c>
      <c r="E59" s="1">
        <v>0</v>
      </c>
      <c r="F59" s="1">
        <v>0</v>
      </c>
      <c r="G59" s="1">
        <f t="shared" si="0"/>
        <v>181</v>
      </c>
      <c r="H59" s="1" t="s">
        <v>72</v>
      </c>
    </row>
    <row r="60" spans="1:8" x14ac:dyDescent="0.3">
      <c r="A60" s="1" t="s">
        <v>62</v>
      </c>
      <c r="B60" s="1">
        <f>-106.300674065346</f>
        <v>-106.300674065346</v>
      </c>
      <c r="C60" s="1">
        <v>52.114057113606599</v>
      </c>
      <c r="D60" s="1">
        <v>0</v>
      </c>
      <c r="E60" s="1">
        <v>0</v>
      </c>
      <c r="F60" s="1">
        <v>107</v>
      </c>
      <c r="G60" s="1">
        <f t="shared" si="0"/>
        <v>107</v>
      </c>
      <c r="H60" s="1" t="s">
        <v>72</v>
      </c>
    </row>
    <row r="61" spans="1:8" x14ac:dyDescent="0.3">
      <c r="A61" s="1" t="s">
        <v>63</v>
      </c>
      <c r="B61" s="1">
        <f>-103.830217724086</f>
        <v>-103.830217724086</v>
      </c>
      <c r="C61" s="1">
        <v>58.344207889707498</v>
      </c>
      <c r="D61" s="1">
        <v>0</v>
      </c>
      <c r="E61" s="1">
        <v>84</v>
      </c>
      <c r="F61" s="1">
        <v>0</v>
      </c>
      <c r="G61" s="1">
        <f t="shared" si="0"/>
        <v>84</v>
      </c>
      <c r="H61" s="1" t="s">
        <v>72</v>
      </c>
    </row>
    <row r="62" spans="1:8" x14ac:dyDescent="0.3">
      <c r="A62" s="1" t="s">
        <v>64</v>
      </c>
      <c r="B62" s="1">
        <f>-105.052270188874</f>
        <v>-105.052270188874</v>
      </c>
      <c r="C62" s="1">
        <v>57.763422976417402</v>
      </c>
      <c r="D62" s="1">
        <v>74</v>
      </c>
      <c r="E62" s="1">
        <v>0</v>
      </c>
      <c r="F62" s="1">
        <v>0</v>
      </c>
      <c r="G62" s="1">
        <f t="shared" si="0"/>
        <v>74</v>
      </c>
      <c r="H62" s="1" t="s">
        <v>72</v>
      </c>
    </row>
    <row r="63" spans="1:8" x14ac:dyDescent="0.3">
      <c r="A63" s="1" t="s">
        <v>65</v>
      </c>
      <c r="B63" s="1">
        <f>-101.901873782292</f>
        <v>-101.901873782292</v>
      </c>
      <c r="C63" s="1">
        <v>54.771795369370402</v>
      </c>
      <c r="D63" s="1">
        <v>395</v>
      </c>
      <c r="E63" s="1">
        <v>126</v>
      </c>
      <c r="F63" s="1">
        <v>0</v>
      </c>
      <c r="G63" s="1">
        <f t="shared" si="0"/>
        <v>521</v>
      </c>
      <c r="H63" s="1" t="s">
        <v>72</v>
      </c>
    </row>
    <row r="64" spans="1:8" x14ac:dyDescent="0.3">
      <c r="A64" s="1" t="s">
        <v>66</v>
      </c>
      <c r="B64" s="1">
        <f>-103.699157161188</f>
        <v>-103.699157161188</v>
      </c>
      <c r="C64" s="1">
        <v>58.176574062773199</v>
      </c>
      <c r="D64" s="1">
        <v>316</v>
      </c>
      <c r="E64" s="1">
        <v>0</v>
      </c>
      <c r="F64" s="1">
        <v>0</v>
      </c>
      <c r="G64" s="1">
        <f t="shared" si="0"/>
        <v>316</v>
      </c>
      <c r="H64" s="1" t="s">
        <v>72</v>
      </c>
    </row>
    <row r="65" spans="1:8" x14ac:dyDescent="0.3">
      <c r="A65" s="1" t="s">
        <v>67</v>
      </c>
      <c r="B65" s="1">
        <f>-103.637775301854</f>
        <v>-103.63777530185401</v>
      </c>
      <c r="C65" s="1">
        <v>58.254309240749798</v>
      </c>
      <c r="D65" s="1">
        <v>0</v>
      </c>
      <c r="E65" s="1">
        <v>57</v>
      </c>
      <c r="F65" s="1">
        <v>0</v>
      </c>
      <c r="G65" s="1">
        <f t="shared" si="0"/>
        <v>57</v>
      </c>
      <c r="H65" s="1" t="s">
        <v>72</v>
      </c>
    </row>
    <row r="66" spans="1:8" x14ac:dyDescent="0.3">
      <c r="A66" s="1" t="s">
        <v>68</v>
      </c>
      <c r="B66" s="1">
        <f>-103.803559677261</f>
        <v>-103.80355967726101</v>
      </c>
      <c r="C66" s="1">
        <v>58.258492961691502</v>
      </c>
      <c r="D66" s="1">
        <v>0</v>
      </c>
      <c r="E66" s="1">
        <v>218</v>
      </c>
      <c r="F66" s="1">
        <v>0</v>
      </c>
      <c r="G66" s="1">
        <f t="shared" si="0"/>
        <v>218</v>
      </c>
      <c r="H66" s="1" t="s">
        <v>72</v>
      </c>
    </row>
    <row r="67" spans="1:8" x14ac:dyDescent="0.3">
      <c r="A67" s="1" t="s">
        <v>69</v>
      </c>
      <c r="B67" s="1">
        <f>-104.54540298782</f>
        <v>-104.54540298782</v>
      </c>
      <c r="C67" s="1">
        <v>58.066381896903003</v>
      </c>
      <c r="D67" s="1">
        <v>44</v>
      </c>
      <c r="E67" s="1">
        <v>0</v>
      </c>
      <c r="F67" s="1">
        <v>0</v>
      </c>
      <c r="G67" s="1">
        <f t="shared" ref="G67:G130" si="1">SUM(D67:F67)</f>
        <v>44</v>
      </c>
      <c r="H67" s="1" t="s">
        <v>72</v>
      </c>
    </row>
    <row r="68" spans="1:8" x14ac:dyDescent="0.3">
      <c r="A68" s="1" t="s">
        <v>70</v>
      </c>
      <c r="B68" s="1">
        <f>-105.643869837653</f>
        <v>-105.643869837653</v>
      </c>
      <c r="C68" s="1">
        <v>57.203161374919802</v>
      </c>
      <c r="D68" s="1">
        <v>450</v>
      </c>
      <c r="E68" s="1">
        <v>323</v>
      </c>
      <c r="F68" s="1">
        <v>44</v>
      </c>
      <c r="G68" s="1">
        <f t="shared" si="1"/>
        <v>817</v>
      </c>
      <c r="H68" s="1" t="s">
        <v>72</v>
      </c>
    </row>
    <row r="69" spans="1:8" x14ac:dyDescent="0.3">
      <c r="A69" s="1" t="s">
        <v>71</v>
      </c>
      <c r="B69" s="1">
        <f>-103.594789160324</f>
        <v>-103.594789160324</v>
      </c>
      <c r="C69" s="1">
        <v>55.689522424988603</v>
      </c>
      <c r="D69" s="1">
        <v>59</v>
      </c>
      <c r="E69" s="1">
        <v>0</v>
      </c>
      <c r="F69" s="1">
        <v>0</v>
      </c>
      <c r="G69" s="1">
        <f t="shared" si="1"/>
        <v>59</v>
      </c>
      <c r="H69" s="1" t="s">
        <v>72</v>
      </c>
    </row>
    <row r="70" spans="1:8" x14ac:dyDescent="0.3">
      <c r="A70" s="1" t="s">
        <v>73</v>
      </c>
      <c r="B70" s="1">
        <f>-57.4568671316967</f>
        <v>-57.456867131696697</v>
      </c>
      <c r="C70" s="1">
        <v>50.2766456880913</v>
      </c>
      <c r="D70" s="1">
        <v>75</v>
      </c>
      <c r="E70" s="1">
        <v>0</v>
      </c>
      <c r="F70" s="1">
        <v>10</v>
      </c>
      <c r="G70" s="1">
        <f t="shared" si="1"/>
        <v>85</v>
      </c>
      <c r="H70" s="1" t="s">
        <v>85</v>
      </c>
    </row>
    <row r="71" spans="1:8" x14ac:dyDescent="0.3">
      <c r="A71" s="1" t="s">
        <v>74</v>
      </c>
      <c r="B71" s="1">
        <f>-56.1865572770467</f>
        <v>-56.186557277046703</v>
      </c>
      <c r="C71" s="1">
        <v>49.987365618043597</v>
      </c>
      <c r="D71" s="1">
        <v>0</v>
      </c>
      <c r="E71" s="1">
        <v>327</v>
      </c>
      <c r="F71" s="1">
        <v>72</v>
      </c>
      <c r="G71" s="1">
        <f t="shared" si="1"/>
        <v>399</v>
      </c>
      <c r="H71" s="1" t="s">
        <v>85</v>
      </c>
    </row>
    <row r="72" spans="1:8" x14ac:dyDescent="0.3">
      <c r="A72" s="1" t="s">
        <v>75</v>
      </c>
      <c r="B72" s="1">
        <f>-56.1271006285006</f>
        <v>-56.1271006285006</v>
      </c>
      <c r="C72" s="1">
        <v>49.962019378325301</v>
      </c>
      <c r="D72" s="1">
        <v>0</v>
      </c>
      <c r="E72" s="1">
        <v>97</v>
      </c>
      <c r="F72" s="1">
        <v>8</v>
      </c>
      <c r="G72" s="1">
        <f t="shared" si="1"/>
        <v>105</v>
      </c>
      <c r="H72" s="1" t="s">
        <v>85</v>
      </c>
    </row>
    <row r="73" spans="1:8" x14ac:dyDescent="0.3">
      <c r="A73" s="1" t="s">
        <v>76</v>
      </c>
      <c r="B73" s="1">
        <f>-56.0768940097286</f>
        <v>-56.076894009728598</v>
      </c>
      <c r="C73" s="1">
        <v>49.9656061904601</v>
      </c>
      <c r="D73" s="1">
        <v>7</v>
      </c>
      <c r="E73" s="1">
        <v>13</v>
      </c>
      <c r="F73" s="1">
        <v>2</v>
      </c>
      <c r="G73" s="1">
        <f t="shared" si="1"/>
        <v>22</v>
      </c>
      <c r="H73" s="1" t="s">
        <v>85</v>
      </c>
    </row>
    <row r="74" spans="1:8" x14ac:dyDescent="0.3">
      <c r="A74" s="1" t="s">
        <v>77</v>
      </c>
      <c r="B74" s="1">
        <f>-56.0880161236454</f>
        <v>-56.088016123645403</v>
      </c>
      <c r="C74" s="1">
        <v>49.894251989479599</v>
      </c>
      <c r="D74" s="1">
        <v>77</v>
      </c>
      <c r="E74" s="1">
        <v>16</v>
      </c>
      <c r="F74" s="1">
        <v>0</v>
      </c>
      <c r="G74" s="1">
        <f t="shared" si="1"/>
        <v>93</v>
      </c>
      <c r="H74" s="1" t="s">
        <v>85</v>
      </c>
    </row>
    <row r="75" spans="1:8" x14ac:dyDescent="0.3">
      <c r="A75" s="1" t="s">
        <v>78</v>
      </c>
      <c r="B75" s="1">
        <f>-55.2056862747607</f>
        <v>-55.205686274760701</v>
      </c>
      <c r="C75" s="1">
        <v>48.7188354508069</v>
      </c>
      <c r="D75" s="1">
        <v>26</v>
      </c>
      <c r="E75" s="1">
        <v>0</v>
      </c>
      <c r="F75" s="1">
        <v>0</v>
      </c>
      <c r="G75" s="1">
        <f t="shared" si="1"/>
        <v>26</v>
      </c>
      <c r="H75" s="1" t="s">
        <v>85</v>
      </c>
    </row>
    <row r="76" spans="1:8" x14ac:dyDescent="0.3">
      <c r="A76" s="1" t="s">
        <v>79</v>
      </c>
      <c r="B76" s="1">
        <f>-56.489162653342</f>
        <v>-56.489162653341999</v>
      </c>
      <c r="C76" s="1">
        <v>48.651304069263603</v>
      </c>
      <c r="D76" s="1">
        <v>104</v>
      </c>
      <c r="E76" s="1">
        <v>56</v>
      </c>
      <c r="F76" s="1">
        <v>0</v>
      </c>
      <c r="G76" s="1">
        <f t="shared" si="1"/>
        <v>160</v>
      </c>
      <c r="H76" s="1" t="s">
        <v>85</v>
      </c>
    </row>
    <row r="77" spans="1:8" x14ac:dyDescent="0.3">
      <c r="A77" s="1" t="s">
        <v>80</v>
      </c>
      <c r="B77" s="1">
        <f>-56.875560160521</f>
        <v>-56.875560160520997</v>
      </c>
      <c r="C77" s="1">
        <v>48.817779672536602</v>
      </c>
      <c r="D77" s="1">
        <v>185</v>
      </c>
      <c r="E77" s="1">
        <v>0</v>
      </c>
      <c r="F77" s="1">
        <v>0</v>
      </c>
      <c r="G77" s="1">
        <f t="shared" si="1"/>
        <v>185</v>
      </c>
      <c r="H77" s="1" t="s">
        <v>85</v>
      </c>
    </row>
    <row r="78" spans="1:8" x14ac:dyDescent="0.3">
      <c r="A78" s="1" t="s">
        <v>81</v>
      </c>
      <c r="B78" s="1">
        <f>-66.8617252438591</f>
        <v>-66.861725243859098</v>
      </c>
      <c r="C78" s="1">
        <v>53.001282698815601</v>
      </c>
      <c r="D78" s="1">
        <v>1948</v>
      </c>
      <c r="E78" s="1">
        <v>3210</v>
      </c>
      <c r="F78" s="1">
        <v>0</v>
      </c>
      <c r="G78" s="1">
        <f t="shared" si="1"/>
        <v>5158</v>
      </c>
      <c r="H78" s="1" t="s">
        <v>85</v>
      </c>
    </row>
    <row r="79" spans="1:8" x14ac:dyDescent="0.3">
      <c r="A79" s="1" t="s">
        <v>82</v>
      </c>
      <c r="B79" s="1">
        <f>-66.9274788933699</f>
        <v>-66.927478893369894</v>
      </c>
      <c r="C79" s="1">
        <v>52.907024701134397</v>
      </c>
      <c r="D79" s="1">
        <v>1700</v>
      </c>
      <c r="E79" s="1">
        <v>1363</v>
      </c>
      <c r="F79" s="1">
        <v>0</v>
      </c>
      <c r="G79" s="1">
        <f t="shared" si="1"/>
        <v>3063</v>
      </c>
      <c r="H79" s="1" t="s">
        <v>85</v>
      </c>
    </row>
    <row r="80" spans="1:8" x14ac:dyDescent="0.3">
      <c r="A80" s="1" t="s">
        <v>83</v>
      </c>
      <c r="B80" s="1">
        <f>-62.0947280790645</f>
        <v>-62.094728079064502</v>
      </c>
      <c r="C80" s="1">
        <v>56.331296282466198</v>
      </c>
      <c r="D80" s="1">
        <v>16</v>
      </c>
      <c r="E80" s="1">
        <v>124</v>
      </c>
      <c r="F80" s="1">
        <v>19</v>
      </c>
      <c r="G80" s="1">
        <f t="shared" si="1"/>
        <v>159</v>
      </c>
      <c r="H80" s="1" t="s">
        <v>85</v>
      </c>
    </row>
    <row r="81" spans="1:8" x14ac:dyDescent="0.3">
      <c r="A81" s="1" t="s">
        <v>84</v>
      </c>
      <c r="B81" s="1">
        <f>-59.0203151798825</f>
        <v>-59.020315179882502</v>
      </c>
      <c r="C81" s="1">
        <v>48.554696476330697</v>
      </c>
      <c r="D81" s="1">
        <v>0</v>
      </c>
      <c r="E81" s="1">
        <v>267</v>
      </c>
      <c r="F81" s="1">
        <v>0</v>
      </c>
      <c r="G81" s="1">
        <f t="shared" si="1"/>
        <v>267</v>
      </c>
      <c r="H81" s="1" t="s">
        <v>85</v>
      </c>
    </row>
    <row r="82" spans="1:8" x14ac:dyDescent="0.3">
      <c r="A82" s="1" t="s">
        <v>86</v>
      </c>
      <c r="B82" s="1">
        <f>-114.344937433267</f>
        <v>-114.34493743326701</v>
      </c>
      <c r="C82" s="1">
        <v>62.504922655360403</v>
      </c>
      <c r="D82" s="1">
        <v>127</v>
      </c>
      <c r="E82" s="1">
        <v>136</v>
      </c>
      <c r="F82" s="1">
        <v>0</v>
      </c>
      <c r="G82" s="1">
        <f t="shared" si="1"/>
        <v>263</v>
      </c>
      <c r="H82" s="1" t="s">
        <v>93</v>
      </c>
    </row>
    <row r="83" spans="1:8" x14ac:dyDescent="0.3">
      <c r="A83" s="1" t="s">
        <v>87</v>
      </c>
      <c r="B83" s="1">
        <f>-110.302152464786</f>
        <v>-110.302152464786</v>
      </c>
      <c r="C83" s="1">
        <v>64.493855417198205</v>
      </c>
      <c r="D83" s="1">
        <v>163</v>
      </c>
      <c r="E83" s="1">
        <v>636</v>
      </c>
      <c r="F83" s="1">
        <v>0</v>
      </c>
      <c r="G83" s="1">
        <f t="shared" si="1"/>
        <v>799</v>
      </c>
      <c r="H83" s="1" t="s">
        <v>93</v>
      </c>
    </row>
    <row r="84" spans="1:8" x14ac:dyDescent="0.3">
      <c r="A84" s="1" t="s">
        <v>88</v>
      </c>
      <c r="B84" s="1">
        <f>-110.621051660808</f>
        <v>-110.62105166080801</v>
      </c>
      <c r="C84" s="1">
        <v>64.713532758304396</v>
      </c>
      <c r="D84" s="1">
        <v>785</v>
      </c>
      <c r="E84" s="1">
        <v>1555</v>
      </c>
      <c r="F84" s="1">
        <v>0</v>
      </c>
      <c r="G84" s="1">
        <f t="shared" si="1"/>
        <v>2340</v>
      </c>
      <c r="H84" s="1" t="s">
        <v>93</v>
      </c>
    </row>
    <row r="85" spans="1:8" x14ac:dyDescent="0.3">
      <c r="A85" s="1" t="s">
        <v>89</v>
      </c>
      <c r="B85" s="1">
        <f>-110.89072741836</f>
        <v>-110.89072741836</v>
      </c>
      <c r="C85" s="1">
        <v>63.600153158098102</v>
      </c>
      <c r="D85" s="1">
        <v>188</v>
      </c>
      <c r="E85" s="1">
        <v>0</v>
      </c>
      <c r="F85" s="1">
        <v>0</v>
      </c>
      <c r="G85" s="1">
        <f t="shared" si="1"/>
        <v>188</v>
      </c>
      <c r="H85" s="1" t="s">
        <v>93</v>
      </c>
    </row>
    <row r="86" spans="1:8" x14ac:dyDescent="0.3">
      <c r="A86" s="1" t="s">
        <v>90</v>
      </c>
      <c r="B86" s="1">
        <f>-109.197984564832</f>
        <v>-109.197984564832</v>
      </c>
      <c r="C86" s="1">
        <v>63.436581278325299</v>
      </c>
      <c r="D86" s="1">
        <v>0</v>
      </c>
      <c r="E86" s="1">
        <v>15</v>
      </c>
      <c r="F86" s="1">
        <v>0</v>
      </c>
      <c r="G86" s="1">
        <f t="shared" si="1"/>
        <v>15</v>
      </c>
      <c r="H86" s="1" t="s">
        <v>93</v>
      </c>
    </row>
    <row r="87" spans="1:8" x14ac:dyDescent="0.3">
      <c r="A87" s="1" t="s">
        <v>91</v>
      </c>
      <c r="B87" s="1">
        <f>-111.172262416253</f>
        <v>-111.17226241625301</v>
      </c>
      <c r="C87" s="1">
        <v>64.045556184430595</v>
      </c>
      <c r="D87" s="1">
        <v>119</v>
      </c>
      <c r="E87" s="1">
        <v>0</v>
      </c>
      <c r="F87" s="1">
        <v>0</v>
      </c>
      <c r="G87" s="1">
        <f t="shared" si="1"/>
        <v>119</v>
      </c>
      <c r="H87" s="1" t="s">
        <v>93</v>
      </c>
    </row>
    <row r="88" spans="1:8" x14ac:dyDescent="0.3">
      <c r="A88" s="1" t="s">
        <v>92</v>
      </c>
      <c r="B88" s="1">
        <f>-114.430303730434</f>
        <v>-114.43030373043401</v>
      </c>
      <c r="C88" s="1">
        <v>60.8743988628556</v>
      </c>
      <c r="D88" s="1">
        <v>800</v>
      </c>
      <c r="E88" s="1">
        <v>0</v>
      </c>
      <c r="F88" s="1">
        <v>670</v>
      </c>
      <c r="G88" s="1">
        <f t="shared" si="1"/>
        <v>1470</v>
      </c>
      <c r="H88" s="1" t="s">
        <v>93</v>
      </c>
    </row>
    <row r="89" spans="1:8" x14ac:dyDescent="0.3">
      <c r="A89" s="1" t="s">
        <v>94</v>
      </c>
      <c r="B89" s="1">
        <f>-133.738517349258</f>
        <v>-133.73851734925799</v>
      </c>
      <c r="C89" s="1">
        <v>60.9894740069848</v>
      </c>
      <c r="D89" s="1">
        <v>0</v>
      </c>
      <c r="E89" s="1">
        <v>138</v>
      </c>
      <c r="F89" s="1">
        <v>0</v>
      </c>
      <c r="G89" s="1">
        <f t="shared" si="1"/>
        <v>138</v>
      </c>
      <c r="H89" s="1" t="s">
        <v>405</v>
      </c>
    </row>
    <row r="90" spans="1:8" x14ac:dyDescent="0.3">
      <c r="A90" s="1" t="s">
        <v>95</v>
      </c>
      <c r="B90" s="1">
        <f>-135.057340654016</f>
        <v>-135.057340654016</v>
      </c>
      <c r="C90" s="1">
        <v>60.643632970121999</v>
      </c>
      <c r="D90" s="1">
        <v>83</v>
      </c>
      <c r="E90" s="1">
        <v>0</v>
      </c>
      <c r="F90" s="1">
        <v>0</v>
      </c>
      <c r="G90" s="1">
        <f t="shared" si="1"/>
        <v>83</v>
      </c>
      <c r="H90" s="1" t="s">
        <v>405</v>
      </c>
    </row>
    <row r="91" spans="1:8" x14ac:dyDescent="0.3">
      <c r="A91" s="1" t="s">
        <v>96</v>
      </c>
      <c r="B91" s="1">
        <f>-137.2451072165</f>
        <v>-137.2451072165</v>
      </c>
      <c r="C91" s="1">
        <v>62.615886688235399</v>
      </c>
      <c r="D91" s="1">
        <v>0</v>
      </c>
      <c r="E91" s="1">
        <v>345</v>
      </c>
      <c r="F91" s="1">
        <v>0</v>
      </c>
      <c r="G91" s="1">
        <f t="shared" si="1"/>
        <v>345</v>
      </c>
      <c r="H91" s="1" t="s">
        <v>405</v>
      </c>
    </row>
    <row r="92" spans="1:8" x14ac:dyDescent="0.3">
      <c r="A92" s="1" t="s">
        <v>97</v>
      </c>
      <c r="B92" s="1">
        <f>-133.378135572169</f>
        <v>-133.37813557216899</v>
      </c>
      <c r="C92" s="1">
        <v>62.350132105902098</v>
      </c>
      <c r="D92" s="1">
        <v>308</v>
      </c>
      <c r="E92" s="1">
        <v>540</v>
      </c>
      <c r="F92" s="1">
        <v>0</v>
      </c>
      <c r="G92" s="1">
        <f t="shared" si="1"/>
        <v>848</v>
      </c>
      <c r="H92" s="1" t="s">
        <v>405</v>
      </c>
    </row>
    <row r="93" spans="1:8" x14ac:dyDescent="0.3">
      <c r="A93" s="1" t="s">
        <v>98</v>
      </c>
      <c r="B93" s="1">
        <f>-133.221473657272</f>
        <v>-133.22147365727201</v>
      </c>
      <c r="C93" s="1">
        <v>62.259401039544898</v>
      </c>
      <c r="D93" s="1">
        <v>0</v>
      </c>
      <c r="E93" s="1">
        <v>484</v>
      </c>
      <c r="F93" s="1">
        <v>0</v>
      </c>
      <c r="G93" s="1">
        <f t="shared" si="1"/>
        <v>484</v>
      </c>
      <c r="H93" s="1" t="s">
        <v>405</v>
      </c>
    </row>
    <row r="94" spans="1:8" x14ac:dyDescent="0.3">
      <c r="A94" s="1" t="s">
        <v>99</v>
      </c>
      <c r="B94" s="1">
        <f>-138.828400126192</f>
        <v>-138.82840012619201</v>
      </c>
      <c r="C94" s="1">
        <v>62.738878923684503</v>
      </c>
      <c r="D94" s="1">
        <v>0</v>
      </c>
      <c r="E94" s="1">
        <v>0</v>
      </c>
      <c r="F94" s="1">
        <v>76</v>
      </c>
      <c r="G94" s="1">
        <f t="shared" si="1"/>
        <v>76</v>
      </c>
      <c r="H94" s="1" t="s">
        <v>405</v>
      </c>
    </row>
    <row r="95" spans="1:8" x14ac:dyDescent="0.3">
      <c r="A95" s="1" t="s">
        <v>105</v>
      </c>
      <c r="B95" s="1">
        <f>-111.37023332298</f>
        <v>-111.37023332298</v>
      </c>
      <c r="C95" s="1">
        <v>56.640908813945998</v>
      </c>
      <c r="D95" s="1">
        <v>95</v>
      </c>
      <c r="E95" s="1">
        <v>0</v>
      </c>
      <c r="F95" s="1">
        <v>0</v>
      </c>
      <c r="G95" s="1">
        <f t="shared" si="1"/>
        <v>95</v>
      </c>
      <c r="H95" s="1" t="s">
        <v>103</v>
      </c>
    </row>
    <row r="96" spans="1:8" x14ac:dyDescent="0.3">
      <c r="A96" s="1" t="s">
        <v>106</v>
      </c>
      <c r="B96" s="1">
        <f>-111.347852446068</f>
        <v>-111.347852446068</v>
      </c>
      <c r="C96" s="1">
        <v>56.648618802938998</v>
      </c>
      <c r="D96" s="1">
        <v>0</v>
      </c>
      <c r="E96" s="1">
        <v>45</v>
      </c>
      <c r="F96" s="1">
        <v>0</v>
      </c>
      <c r="G96" s="1">
        <f t="shared" si="1"/>
        <v>45</v>
      </c>
      <c r="H96" s="1" t="s">
        <v>103</v>
      </c>
    </row>
    <row r="97" spans="1:8" x14ac:dyDescent="0.3">
      <c r="A97" s="1" t="s">
        <v>107</v>
      </c>
      <c r="B97" s="1">
        <f>-111.294470543647</f>
        <v>-111.29447054364699</v>
      </c>
      <c r="C97" s="1">
        <v>56.6626008939757</v>
      </c>
      <c r="D97" s="1">
        <v>0</v>
      </c>
      <c r="E97" s="1">
        <v>243</v>
      </c>
      <c r="F97" s="1">
        <v>0</v>
      </c>
      <c r="G97" s="1">
        <f t="shared" si="1"/>
        <v>243</v>
      </c>
      <c r="H97" s="1" t="s">
        <v>103</v>
      </c>
    </row>
    <row r="98" spans="1:8" x14ac:dyDescent="0.3">
      <c r="A98" s="1" t="s">
        <v>108</v>
      </c>
      <c r="B98" s="1">
        <f>-111.462229925379</f>
        <v>-111.46222992537901</v>
      </c>
      <c r="C98" s="1">
        <v>56.782458945594499</v>
      </c>
      <c r="D98" s="1">
        <v>0</v>
      </c>
      <c r="E98" s="1">
        <v>324</v>
      </c>
      <c r="F98" s="1">
        <v>0</v>
      </c>
      <c r="G98" s="1">
        <f t="shared" si="1"/>
        <v>324</v>
      </c>
      <c r="H98" s="1" t="s">
        <v>103</v>
      </c>
    </row>
    <row r="99" spans="1:8" x14ac:dyDescent="0.3">
      <c r="A99" s="1" t="s">
        <v>109</v>
      </c>
      <c r="B99" s="1">
        <f>-111.43419221458</f>
        <v>-111.43419221457999</v>
      </c>
      <c r="C99" s="1">
        <v>56.844593235591503</v>
      </c>
      <c r="D99" s="1">
        <v>82</v>
      </c>
      <c r="E99" s="1">
        <v>0</v>
      </c>
      <c r="F99" s="1">
        <v>0</v>
      </c>
      <c r="G99" s="1">
        <f t="shared" si="1"/>
        <v>82</v>
      </c>
      <c r="H99" s="1" t="s">
        <v>103</v>
      </c>
    </row>
    <row r="100" spans="1:8" x14ac:dyDescent="0.3">
      <c r="A100" s="1" t="s">
        <v>110</v>
      </c>
      <c r="B100" s="1">
        <f>-111.502153870388</f>
        <v>-111.502153870388</v>
      </c>
      <c r="C100" s="1">
        <v>57.0093157352593</v>
      </c>
      <c r="D100" s="1">
        <v>44285</v>
      </c>
      <c r="E100" s="1">
        <v>0</v>
      </c>
      <c r="F100" s="1">
        <v>0</v>
      </c>
      <c r="G100" s="1">
        <f t="shared" si="1"/>
        <v>44285</v>
      </c>
      <c r="H100" s="1" t="s">
        <v>103</v>
      </c>
    </row>
    <row r="101" spans="1:8" x14ac:dyDescent="0.3">
      <c r="A101" s="1" t="s">
        <v>111</v>
      </c>
      <c r="B101" s="1">
        <f>-111.343962953182</f>
        <v>-111.343962953182</v>
      </c>
      <c r="C101" s="1">
        <v>57.242268087663803</v>
      </c>
      <c r="D101" s="1">
        <v>5006</v>
      </c>
      <c r="E101" s="1">
        <v>0</v>
      </c>
      <c r="F101" s="1">
        <v>0</v>
      </c>
      <c r="G101" s="1">
        <f t="shared" si="1"/>
        <v>5006</v>
      </c>
      <c r="H101" s="1" t="s">
        <v>103</v>
      </c>
    </row>
    <row r="102" spans="1:8" x14ac:dyDescent="0.3">
      <c r="A102" s="1" t="s">
        <v>112</v>
      </c>
      <c r="B102" s="1">
        <f>-111.551876670913</f>
        <v>-111.551876670913</v>
      </c>
      <c r="C102" s="1">
        <v>57.182326682251102</v>
      </c>
      <c r="D102" s="1">
        <v>436</v>
      </c>
      <c r="E102" s="1">
        <v>0</v>
      </c>
      <c r="F102" s="1">
        <v>0</v>
      </c>
      <c r="G102" s="1">
        <f t="shared" si="1"/>
        <v>436</v>
      </c>
      <c r="H102" s="1" t="s">
        <v>103</v>
      </c>
    </row>
    <row r="103" spans="1:8" x14ac:dyDescent="0.3">
      <c r="A103" s="1" t="s">
        <v>113</v>
      </c>
      <c r="B103" s="1">
        <f>-111.505683401534</f>
        <v>-111.505683401534</v>
      </c>
      <c r="C103" s="1">
        <v>57.218221053476803</v>
      </c>
      <c r="D103" s="1">
        <v>1441</v>
      </c>
      <c r="E103" s="1">
        <v>0</v>
      </c>
      <c r="F103" s="1">
        <v>0</v>
      </c>
      <c r="G103" s="1">
        <f t="shared" si="1"/>
        <v>1441</v>
      </c>
      <c r="H103" s="1" t="s">
        <v>103</v>
      </c>
    </row>
    <row r="104" spans="1:8" x14ac:dyDescent="0.3">
      <c r="A104" s="1" t="s">
        <v>114</v>
      </c>
      <c r="B104" s="1">
        <f>-111.531450893798</f>
        <v>-111.531450893798</v>
      </c>
      <c r="C104" s="1">
        <v>57.307013119740901</v>
      </c>
      <c r="D104" s="1">
        <v>18015</v>
      </c>
      <c r="E104" s="1">
        <v>0</v>
      </c>
      <c r="F104" s="1">
        <v>0</v>
      </c>
      <c r="G104" s="1">
        <f t="shared" si="1"/>
        <v>18015</v>
      </c>
      <c r="H104" s="1" t="s">
        <v>103</v>
      </c>
    </row>
    <row r="105" spans="1:8" x14ac:dyDescent="0.3">
      <c r="A105" s="1" t="s">
        <v>115</v>
      </c>
      <c r="B105" s="1">
        <f>-111.918151526564</f>
        <v>-111.918151526564</v>
      </c>
      <c r="C105" s="1">
        <v>57.348076395450903</v>
      </c>
      <c r="D105" s="1">
        <v>6962</v>
      </c>
      <c r="E105" s="1">
        <v>0</v>
      </c>
      <c r="F105" s="1">
        <v>0</v>
      </c>
      <c r="G105" s="1">
        <f t="shared" si="1"/>
        <v>6962</v>
      </c>
      <c r="H105" s="1" t="s">
        <v>103</v>
      </c>
    </row>
    <row r="106" spans="1:8" x14ac:dyDescent="0.3">
      <c r="A106" s="1" t="s">
        <v>116</v>
      </c>
      <c r="B106" s="1">
        <f>-111.078921698723</f>
        <v>-111.07892169872299</v>
      </c>
      <c r="C106" s="1">
        <v>57.382732701926201</v>
      </c>
      <c r="D106" s="1">
        <v>9023</v>
      </c>
      <c r="E106" s="1">
        <v>0</v>
      </c>
      <c r="F106" s="1">
        <v>0</v>
      </c>
      <c r="G106" s="1">
        <f t="shared" si="1"/>
        <v>9023</v>
      </c>
      <c r="H106" s="1" t="s">
        <v>103</v>
      </c>
    </row>
    <row r="107" spans="1:8" x14ac:dyDescent="0.3">
      <c r="A107" s="1" t="s">
        <v>117</v>
      </c>
      <c r="B107" s="1">
        <f>-113.825925908272</f>
        <v>-113.825925908272</v>
      </c>
      <c r="C107" s="1">
        <v>50.855279264931703</v>
      </c>
      <c r="D107" s="1">
        <v>279</v>
      </c>
      <c r="E107" s="1">
        <v>0</v>
      </c>
      <c r="F107" s="1">
        <v>0</v>
      </c>
      <c r="G107" s="1">
        <f t="shared" si="1"/>
        <v>279</v>
      </c>
      <c r="H107" s="1" t="s">
        <v>103</v>
      </c>
    </row>
    <row r="108" spans="1:8" x14ac:dyDescent="0.3">
      <c r="A108" s="1" t="s">
        <v>118</v>
      </c>
      <c r="B108" s="1">
        <f>-114.193374529585</f>
        <v>-114.193374529585</v>
      </c>
      <c r="C108" s="1">
        <v>51.168473960154202</v>
      </c>
      <c r="D108" s="1">
        <v>0</v>
      </c>
      <c r="E108" s="1">
        <v>0</v>
      </c>
      <c r="F108" s="1">
        <v>413</v>
      </c>
      <c r="G108" s="1">
        <f t="shared" si="1"/>
        <v>413</v>
      </c>
      <c r="H108" s="1" t="s">
        <v>103</v>
      </c>
    </row>
    <row r="109" spans="1:8" x14ac:dyDescent="0.3">
      <c r="A109" s="1" t="s">
        <v>119</v>
      </c>
      <c r="B109" s="1">
        <f>-113.089694314869</f>
        <v>-113.08969431486901</v>
      </c>
      <c r="C109" s="1">
        <v>53.8543392956255</v>
      </c>
      <c r="D109" s="1">
        <v>223</v>
      </c>
      <c r="E109" s="1">
        <v>0</v>
      </c>
      <c r="F109" s="1">
        <v>0</v>
      </c>
      <c r="G109" s="1">
        <f t="shared" si="1"/>
        <v>223</v>
      </c>
      <c r="H109" s="1" t="s">
        <v>103</v>
      </c>
    </row>
    <row r="110" spans="1:8" x14ac:dyDescent="0.3">
      <c r="A110" s="1" t="s">
        <v>120</v>
      </c>
      <c r="B110" s="1">
        <f>-117.035577088993</f>
        <v>-117.03557708899299</v>
      </c>
      <c r="C110" s="1">
        <v>53.137490667191997</v>
      </c>
      <c r="D110" s="1">
        <v>0</v>
      </c>
      <c r="E110" s="1">
        <v>0</v>
      </c>
      <c r="F110" s="1">
        <v>3560</v>
      </c>
      <c r="G110" s="1">
        <f t="shared" si="1"/>
        <v>3560</v>
      </c>
      <c r="H110" s="1" t="s">
        <v>103</v>
      </c>
    </row>
    <row r="111" spans="1:8" x14ac:dyDescent="0.3">
      <c r="A111" s="1" t="s">
        <v>121</v>
      </c>
      <c r="B111" s="1">
        <f>-114.279621543521</f>
        <v>-114.279621543521</v>
      </c>
      <c r="C111" s="1">
        <v>53.31727820031</v>
      </c>
      <c r="D111" s="1">
        <v>0</v>
      </c>
      <c r="E111" s="1">
        <v>0</v>
      </c>
      <c r="F111" s="1">
        <v>1024</v>
      </c>
      <c r="G111" s="1">
        <f t="shared" si="1"/>
        <v>1024</v>
      </c>
      <c r="H111" s="1" t="s">
        <v>103</v>
      </c>
    </row>
    <row r="112" spans="1:8" x14ac:dyDescent="0.3">
      <c r="A112" s="1" t="s">
        <v>122</v>
      </c>
      <c r="B112" s="1">
        <f>-114.474267254486</f>
        <v>-114.47426725448599</v>
      </c>
      <c r="C112" s="1">
        <v>53.446315631212201</v>
      </c>
      <c r="D112" s="1">
        <v>169</v>
      </c>
      <c r="E112" s="1">
        <v>0</v>
      </c>
      <c r="F112" s="1">
        <v>3414</v>
      </c>
      <c r="G112" s="1">
        <f t="shared" si="1"/>
        <v>3583</v>
      </c>
      <c r="H112" s="1" t="s">
        <v>103</v>
      </c>
    </row>
    <row r="113" spans="1:8" x14ac:dyDescent="0.3">
      <c r="A113" s="1" t="s">
        <v>123</v>
      </c>
      <c r="B113" s="1">
        <f>-112.945574986953</f>
        <v>-112.94557498695301</v>
      </c>
      <c r="C113" s="1">
        <v>53.908354963824898</v>
      </c>
      <c r="D113" s="1">
        <v>89</v>
      </c>
      <c r="E113" s="1">
        <v>0</v>
      </c>
      <c r="F113" s="1">
        <v>0</v>
      </c>
      <c r="G113" s="1">
        <f t="shared" si="1"/>
        <v>89</v>
      </c>
      <c r="H113" s="1" t="s">
        <v>103</v>
      </c>
    </row>
    <row r="114" spans="1:8" x14ac:dyDescent="0.3">
      <c r="A114" s="1" t="s">
        <v>124</v>
      </c>
      <c r="B114" s="1">
        <f>-117.47497701269</f>
        <v>-117.47497701269</v>
      </c>
      <c r="C114" s="1">
        <v>53.571876109572699</v>
      </c>
      <c r="D114" s="1">
        <v>188</v>
      </c>
      <c r="E114" s="1">
        <v>158</v>
      </c>
      <c r="F114" s="1">
        <v>952</v>
      </c>
      <c r="G114" s="1">
        <f t="shared" si="1"/>
        <v>1298</v>
      </c>
      <c r="H114" s="1" t="s">
        <v>103</v>
      </c>
    </row>
    <row r="115" spans="1:8" x14ac:dyDescent="0.3">
      <c r="A115" s="1" t="s">
        <v>125</v>
      </c>
      <c r="B115" s="1">
        <f>-111.744281007739</f>
        <v>-111.744281007739</v>
      </c>
      <c r="C115" s="1">
        <v>51.432094795813001</v>
      </c>
      <c r="D115" s="1">
        <v>523</v>
      </c>
      <c r="E115" s="1">
        <v>572</v>
      </c>
      <c r="F115" s="1">
        <v>400</v>
      </c>
      <c r="G115" s="1">
        <f t="shared" si="1"/>
        <v>1495</v>
      </c>
      <c r="H115" s="1" t="s">
        <v>103</v>
      </c>
    </row>
    <row r="116" spans="1:8" x14ac:dyDescent="0.3">
      <c r="A116" s="1" t="s">
        <v>126</v>
      </c>
      <c r="B116" s="1">
        <f>-115.131383602805</f>
        <v>-115.131383602805</v>
      </c>
      <c r="C116" s="1">
        <v>51.068514378665597</v>
      </c>
      <c r="D116" s="1">
        <v>0</v>
      </c>
      <c r="E116" s="1">
        <v>47</v>
      </c>
      <c r="F116" s="1">
        <v>66</v>
      </c>
      <c r="G116" s="1">
        <f t="shared" si="1"/>
        <v>113</v>
      </c>
      <c r="H116" s="1" t="s">
        <v>103</v>
      </c>
    </row>
    <row r="117" spans="1:8" x14ac:dyDescent="0.3">
      <c r="A117" s="1" t="s">
        <v>127</v>
      </c>
      <c r="B117" s="1">
        <f>-114.244237889453</f>
        <v>-114.244237889453</v>
      </c>
      <c r="C117" s="1">
        <v>51.073604679425003</v>
      </c>
      <c r="D117" s="1">
        <v>0</v>
      </c>
      <c r="E117" s="1">
        <v>87</v>
      </c>
      <c r="F117" s="1">
        <v>0</v>
      </c>
      <c r="G117" s="1">
        <f t="shared" si="1"/>
        <v>87</v>
      </c>
      <c r="H117" s="1" t="s">
        <v>103</v>
      </c>
    </row>
    <row r="118" spans="1:8" x14ac:dyDescent="0.3">
      <c r="A118" s="1" t="s">
        <v>128</v>
      </c>
      <c r="B118" s="1">
        <f>-114.745335254633</f>
        <v>-114.74533525463301</v>
      </c>
      <c r="C118" s="1">
        <v>53.308382431816703</v>
      </c>
      <c r="D118" s="1">
        <v>0</v>
      </c>
      <c r="E118" s="1">
        <v>90</v>
      </c>
      <c r="F118" s="1">
        <v>0</v>
      </c>
      <c r="G118" s="1">
        <f t="shared" si="1"/>
        <v>90</v>
      </c>
      <c r="H118" s="1" t="s">
        <v>103</v>
      </c>
    </row>
    <row r="119" spans="1:8" x14ac:dyDescent="0.3">
      <c r="A119" s="1" t="s">
        <v>129</v>
      </c>
      <c r="B119" s="1">
        <f>-113.802665964581</f>
        <v>-113.802665964581</v>
      </c>
      <c r="C119" s="1">
        <v>53.677157921746002</v>
      </c>
      <c r="D119" s="1">
        <v>0</v>
      </c>
      <c r="E119" s="1">
        <v>0</v>
      </c>
      <c r="F119" s="1">
        <v>202</v>
      </c>
      <c r="G119" s="1">
        <f t="shared" si="1"/>
        <v>202</v>
      </c>
      <c r="H119" s="1" t="s">
        <v>103</v>
      </c>
    </row>
    <row r="120" spans="1:8" x14ac:dyDescent="0.3">
      <c r="A120" s="1" t="s">
        <v>130</v>
      </c>
      <c r="B120" s="1">
        <f>-113.928120603346</f>
        <v>-113.928120603346</v>
      </c>
      <c r="C120" s="1">
        <v>53.696552866024199</v>
      </c>
      <c r="D120" s="1">
        <v>0</v>
      </c>
      <c r="E120" s="1">
        <v>0</v>
      </c>
      <c r="F120" s="1">
        <v>126</v>
      </c>
      <c r="G120" s="1">
        <f t="shared" si="1"/>
        <v>126</v>
      </c>
      <c r="H120" s="1" t="s">
        <v>103</v>
      </c>
    </row>
    <row r="121" spans="1:8" x14ac:dyDescent="0.3">
      <c r="A121" s="1" t="s">
        <v>131</v>
      </c>
      <c r="B121" s="1">
        <f>-114.142116595182</f>
        <v>-114.142116595182</v>
      </c>
      <c r="C121" s="1">
        <v>53.639165663575</v>
      </c>
      <c r="D121" s="1">
        <v>0</v>
      </c>
      <c r="E121" s="1">
        <v>0</v>
      </c>
      <c r="F121" s="1">
        <v>59</v>
      </c>
      <c r="G121" s="1">
        <f t="shared" si="1"/>
        <v>59</v>
      </c>
      <c r="H121" s="1" t="s">
        <v>103</v>
      </c>
    </row>
    <row r="122" spans="1:8" x14ac:dyDescent="0.3">
      <c r="A122" s="1" t="s">
        <v>132</v>
      </c>
      <c r="B122" s="1">
        <f>-117.436291276335</f>
        <v>-117.436291276335</v>
      </c>
      <c r="C122" s="1">
        <v>53.077699722840599</v>
      </c>
      <c r="D122" s="1">
        <v>0</v>
      </c>
      <c r="E122" s="1">
        <v>3093</v>
      </c>
      <c r="F122" s="1">
        <v>196</v>
      </c>
      <c r="G122" s="1">
        <f t="shared" si="1"/>
        <v>3289</v>
      </c>
      <c r="H122" s="1" t="s">
        <v>103</v>
      </c>
    </row>
    <row r="123" spans="1:8" x14ac:dyDescent="0.3">
      <c r="A123" s="1" t="s">
        <v>133</v>
      </c>
      <c r="B123" s="1">
        <f>-119.194008139286</f>
        <v>-119.194008139286</v>
      </c>
      <c r="C123" s="1">
        <v>54.026793350343603</v>
      </c>
      <c r="D123" s="1">
        <v>0</v>
      </c>
      <c r="E123" s="1">
        <v>739</v>
      </c>
      <c r="F123" s="1">
        <v>1562</v>
      </c>
      <c r="G123" s="1">
        <f t="shared" si="1"/>
        <v>2301</v>
      </c>
      <c r="H123" s="1" t="s">
        <v>103</v>
      </c>
    </row>
    <row r="124" spans="1:8" x14ac:dyDescent="0.3">
      <c r="A124" s="1" t="s">
        <v>134</v>
      </c>
      <c r="B124" s="1">
        <f>-117.248599367038</f>
        <v>-117.248599367038</v>
      </c>
      <c r="C124" s="1">
        <v>49.134954855552401</v>
      </c>
      <c r="D124" s="1">
        <v>73</v>
      </c>
      <c r="E124" s="1">
        <v>0</v>
      </c>
      <c r="F124" s="1">
        <v>0</v>
      </c>
      <c r="G124" s="1">
        <f t="shared" si="1"/>
        <v>73</v>
      </c>
      <c r="H124" s="1" t="s">
        <v>104</v>
      </c>
    </row>
    <row r="125" spans="1:8" x14ac:dyDescent="0.3">
      <c r="A125" s="1" t="s">
        <v>135</v>
      </c>
      <c r="B125" s="1">
        <f>-114.849184722734</f>
        <v>-114.84918472273399</v>
      </c>
      <c r="C125" s="1">
        <v>50.190574067915001</v>
      </c>
      <c r="D125" s="1">
        <v>0</v>
      </c>
      <c r="E125" s="1">
        <v>0</v>
      </c>
      <c r="F125" s="1">
        <v>5910</v>
      </c>
      <c r="G125" s="1">
        <f t="shared" si="1"/>
        <v>5910</v>
      </c>
      <c r="H125" s="1" t="s">
        <v>104</v>
      </c>
    </row>
    <row r="126" spans="1:8" x14ac:dyDescent="0.3">
      <c r="A126" s="1" t="s">
        <v>136</v>
      </c>
      <c r="B126" s="1">
        <f>-114.653849402577</f>
        <v>-114.65384940257699</v>
      </c>
      <c r="C126" s="1">
        <v>49.494717796245503</v>
      </c>
      <c r="D126" s="1">
        <v>0</v>
      </c>
      <c r="E126" s="1">
        <v>0</v>
      </c>
      <c r="F126" s="1">
        <v>688</v>
      </c>
      <c r="G126" s="1">
        <f t="shared" si="1"/>
        <v>688</v>
      </c>
      <c r="H126" s="1" t="s">
        <v>104</v>
      </c>
    </row>
    <row r="127" spans="1:8" x14ac:dyDescent="0.3">
      <c r="A127" s="1" t="s">
        <v>137</v>
      </c>
      <c r="B127" s="1">
        <f>-120.528417922643</f>
        <v>-120.528417922643</v>
      </c>
      <c r="C127" s="1">
        <v>49.337719900928199</v>
      </c>
      <c r="D127" s="1">
        <v>162</v>
      </c>
      <c r="E127" s="1">
        <v>799</v>
      </c>
      <c r="F127" s="1">
        <v>400</v>
      </c>
      <c r="G127" s="1">
        <f t="shared" si="1"/>
        <v>1361</v>
      </c>
      <c r="H127" s="1" t="s">
        <v>104</v>
      </c>
    </row>
    <row r="128" spans="1:8" x14ac:dyDescent="0.3">
      <c r="A128" s="1" t="s">
        <v>138</v>
      </c>
      <c r="B128" s="1">
        <f>-122.188256831272</f>
        <v>-122.188256831272</v>
      </c>
      <c r="C128" s="1">
        <v>49.072872157073199</v>
      </c>
      <c r="D128" s="1">
        <v>0</v>
      </c>
      <c r="E128" s="1">
        <v>0</v>
      </c>
      <c r="F128" s="1">
        <v>117</v>
      </c>
      <c r="G128" s="1">
        <f t="shared" si="1"/>
        <v>117</v>
      </c>
      <c r="H128" s="1" t="s">
        <v>104</v>
      </c>
    </row>
    <row r="129" spans="1:8" x14ac:dyDescent="0.3">
      <c r="A129" s="1" t="s">
        <v>139</v>
      </c>
      <c r="B129" s="1">
        <f>-122.170136661167</f>
        <v>-122.17013666116701</v>
      </c>
      <c r="C129" s="1">
        <v>49.132357064948799</v>
      </c>
      <c r="D129" s="1">
        <v>0</v>
      </c>
      <c r="E129" s="1">
        <v>0</v>
      </c>
      <c r="F129" s="1">
        <v>79</v>
      </c>
      <c r="G129" s="1">
        <f t="shared" si="1"/>
        <v>79</v>
      </c>
      <c r="H129" s="1" t="s">
        <v>104</v>
      </c>
    </row>
    <row r="130" spans="1:8" x14ac:dyDescent="0.3">
      <c r="A130" s="1" t="s">
        <v>140</v>
      </c>
      <c r="B130" s="1">
        <f>-123.740216028762</f>
        <v>-123.74021602876201</v>
      </c>
      <c r="C130" s="1">
        <v>49.482620844247002</v>
      </c>
      <c r="D130" s="1">
        <v>0</v>
      </c>
      <c r="E130" s="1">
        <v>0</v>
      </c>
      <c r="F130" s="1">
        <v>300</v>
      </c>
      <c r="G130" s="1">
        <f t="shared" si="1"/>
        <v>300</v>
      </c>
      <c r="H130" s="1" t="s">
        <v>104</v>
      </c>
    </row>
    <row r="131" spans="1:8" x14ac:dyDescent="0.3">
      <c r="A131" s="1" t="s">
        <v>141</v>
      </c>
      <c r="B131" s="1">
        <f>-123.466885309421</f>
        <v>-123.466885309421</v>
      </c>
      <c r="C131" s="1">
        <v>48.537777505780497</v>
      </c>
      <c r="D131" s="1">
        <v>0</v>
      </c>
      <c r="E131" s="1">
        <v>0</v>
      </c>
      <c r="F131" s="1">
        <v>57</v>
      </c>
      <c r="G131" s="1">
        <f t="shared" ref="G131:G194" si="2">SUM(D131:F131)</f>
        <v>57</v>
      </c>
      <c r="H131" s="1" t="s">
        <v>104</v>
      </c>
    </row>
    <row r="132" spans="1:8" x14ac:dyDescent="0.3">
      <c r="A132" s="1" t="s">
        <v>142</v>
      </c>
      <c r="B132" s="1">
        <f>-125.602116119781</f>
        <v>-125.602116119781</v>
      </c>
      <c r="C132" s="1">
        <v>49.575154209261498</v>
      </c>
      <c r="D132" s="1">
        <v>0</v>
      </c>
      <c r="E132" s="1">
        <v>0</v>
      </c>
      <c r="F132" s="1">
        <v>111</v>
      </c>
      <c r="G132" s="1">
        <f t="shared" si="2"/>
        <v>111</v>
      </c>
      <c r="H132" s="1" t="s">
        <v>104</v>
      </c>
    </row>
    <row r="133" spans="1:8" x14ac:dyDescent="0.3">
      <c r="A133" s="1" t="s">
        <v>143</v>
      </c>
      <c r="B133" s="1">
        <f>-124.543835193058</f>
        <v>-124.543835193058</v>
      </c>
      <c r="C133" s="1">
        <v>49.716593901751402</v>
      </c>
      <c r="D133" s="1">
        <v>0</v>
      </c>
      <c r="E133" s="1">
        <v>0</v>
      </c>
      <c r="F133" s="1">
        <v>992</v>
      </c>
      <c r="G133" s="1">
        <f t="shared" si="2"/>
        <v>992</v>
      </c>
      <c r="H133" s="1" t="s">
        <v>104</v>
      </c>
    </row>
    <row r="134" spans="1:8" x14ac:dyDescent="0.3">
      <c r="A134" s="1" t="s">
        <v>144</v>
      </c>
      <c r="B134" s="1">
        <f>-124.615394177014</f>
        <v>-124.615394177014</v>
      </c>
      <c r="C134" s="1">
        <v>49.784789605315197</v>
      </c>
      <c r="D134" s="1">
        <v>0</v>
      </c>
      <c r="E134" s="1">
        <v>0</v>
      </c>
      <c r="F134" s="1">
        <v>166</v>
      </c>
      <c r="G134" s="1">
        <f t="shared" si="2"/>
        <v>166</v>
      </c>
      <c r="H134" s="1" t="s">
        <v>104</v>
      </c>
    </row>
    <row r="135" spans="1:8" x14ac:dyDescent="0.3">
      <c r="A135" s="1" t="s">
        <v>145</v>
      </c>
      <c r="B135" s="1">
        <f>-127.48188385841</f>
        <v>-127.48188385841</v>
      </c>
      <c r="C135" s="1">
        <v>50.603283808785399</v>
      </c>
      <c r="D135" s="1">
        <v>0</v>
      </c>
      <c r="E135" s="1">
        <v>0</v>
      </c>
      <c r="F135" s="1">
        <v>244</v>
      </c>
      <c r="G135" s="1">
        <f t="shared" si="2"/>
        <v>244</v>
      </c>
      <c r="H135" s="1" t="s">
        <v>104</v>
      </c>
    </row>
    <row r="136" spans="1:8" x14ac:dyDescent="0.3">
      <c r="A136" s="1" t="s">
        <v>146</v>
      </c>
      <c r="B136" s="1">
        <f>-120.919498710265</f>
        <v>-120.919498710265</v>
      </c>
      <c r="C136" s="1">
        <v>50.2051944066476</v>
      </c>
      <c r="D136" s="1">
        <v>157</v>
      </c>
      <c r="E136" s="1">
        <v>274</v>
      </c>
      <c r="F136" s="1">
        <v>0</v>
      </c>
      <c r="G136" s="1">
        <f t="shared" si="2"/>
        <v>431</v>
      </c>
      <c r="H136" s="1" t="s">
        <v>104</v>
      </c>
    </row>
    <row r="137" spans="1:8" x14ac:dyDescent="0.3">
      <c r="A137" s="1" t="s">
        <v>147</v>
      </c>
      <c r="B137" s="1">
        <f>-121.021406454114</f>
        <v>-121.021406454114</v>
      </c>
      <c r="C137" s="1">
        <v>50.469174388546001</v>
      </c>
      <c r="D137" s="1">
        <v>2846</v>
      </c>
      <c r="E137" s="1">
        <v>3055</v>
      </c>
      <c r="F137" s="1">
        <v>512</v>
      </c>
      <c r="G137" s="1">
        <f t="shared" si="2"/>
        <v>6413</v>
      </c>
      <c r="H137" s="1" t="s">
        <v>104</v>
      </c>
    </row>
    <row r="138" spans="1:8" x14ac:dyDescent="0.3">
      <c r="A138" s="1" t="s">
        <v>148</v>
      </c>
      <c r="B138" s="1">
        <f>-120.51884640737</f>
        <v>-120.51884640737001</v>
      </c>
      <c r="C138" s="1">
        <v>50.654674466842202</v>
      </c>
      <c r="D138" s="1">
        <v>200</v>
      </c>
      <c r="E138" s="1">
        <v>280</v>
      </c>
      <c r="F138" s="1">
        <v>0</v>
      </c>
      <c r="G138" s="1">
        <f t="shared" si="2"/>
        <v>480</v>
      </c>
      <c r="H138" s="1" t="s">
        <v>104</v>
      </c>
    </row>
    <row r="139" spans="1:8" x14ac:dyDescent="0.3">
      <c r="A139" s="1" t="s">
        <v>149</v>
      </c>
      <c r="B139" s="1">
        <f>-120.906329987525</f>
        <v>-120.906329987525</v>
      </c>
      <c r="C139" s="1">
        <v>52.096039244492196</v>
      </c>
      <c r="D139" s="1">
        <v>0</v>
      </c>
      <c r="E139" s="1">
        <v>246</v>
      </c>
      <c r="F139" s="1">
        <v>0</v>
      </c>
      <c r="G139" s="1">
        <f t="shared" si="2"/>
        <v>246</v>
      </c>
      <c r="H139" s="1" t="s">
        <v>104</v>
      </c>
    </row>
    <row r="140" spans="1:8" x14ac:dyDescent="0.3">
      <c r="A140" s="1" t="s">
        <v>150</v>
      </c>
      <c r="B140" s="1">
        <f>-122.280295051147</f>
        <v>-122.28029505114699</v>
      </c>
      <c r="C140" s="1">
        <v>52.523856395775198</v>
      </c>
      <c r="D140" s="1">
        <v>936</v>
      </c>
      <c r="E140" s="1">
        <v>1209</v>
      </c>
      <c r="F140" s="1">
        <v>208</v>
      </c>
      <c r="G140" s="1">
        <f t="shared" si="2"/>
        <v>2353</v>
      </c>
      <c r="H140" s="1" t="s">
        <v>104</v>
      </c>
    </row>
    <row r="141" spans="1:8" x14ac:dyDescent="0.3">
      <c r="A141" s="1" t="s">
        <v>151</v>
      </c>
      <c r="B141" s="1">
        <f>-121.615894870934</f>
        <v>-121.615894870934</v>
      </c>
      <c r="C141" s="1">
        <v>52.540769726365902</v>
      </c>
      <c r="D141" s="1">
        <v>372</v>
      </c>
      <c r="E141" s="1">
        <v>1026</v>
      </c>
      <c r="F141" s="1">
        <v>0</v>
      </c>
      <c r="G141" s="1">
        <f t="shared" si="2"/>
        <v>1398</v>
      </c>
      <c r="H141" s="1" t="s">
        <v>104</v>
      </c>
    </row>
    <row r="142" spans="1:8" x14ac:dyDescent="0.3">
      <c r="A142" s="1" t="s">
        <v>152</v>
      </c>
      <c r="B142" s="1">
        <f>-127.003364437272</f>
        <v>-127.003364437272</v>
      </c>
      <c r="C142" s="1">
        <v>53.298920805571399</v>
      </c>
      <c r="D142" s="1">
        <v>0</v>
      </c>
      <c r="E142" s="1">
        <v>0</v>
      </c>
      <c r="F142" s="1">
        <v>63</v>
      </c>
      <c r="G142" s="1">
        <f t="shared" si="2"/>
        <v>63</v>
      </c>
      <c r="H142" s="1" t="s">
        <v>104</v>
      </c>
    </row>
    <row r="143" spans="1:8" x14ac:dyDescent="0.3">
      <c r="A143" s="1" t="s">
        <v>153</v>
      </c>
      <c r="B143" s="1">
        <f>-125.112802222283</f>
        <v>-125.11280222228299</v>
      </c>
      <c r="C143" s="1">
        <v>54.036599778699198</v>
      </c>
      <c r="D143" s="1">
        <v>704</v>
      </c>
      <c r="E143" s="1">
        <v>811</v>
      </c>
      <c r="F143" s="1">
        <v>218</v>
      </c>
      <c r="G143" s="1">
        <f t="shared" si="2"/>
        <v>1733</v>
      </c>
      <c r="H143" s="1" t="s">
        <v>104</v>
      </c>
    </row>
    <row r="144" spans="1:8" x14ac:dyDescent="0.3">
      <c r="A144" s="1" t="s">
        <v>154</v>
      </c>
      <c r="B144" s="1">
        <f>-126.26994954729</f>
        <v>-126.26994954729</v>
      </c>
      <c r="C144" s="1">
        <v>54.194289626765503</v>
      </c>
      <c r="D144" s="1">
        <v>140</v>
      </c>
      <c r="E144" s="1">
        <v>232</v>
      </c>
      <c r="F144" s="1">
        <v>40</v>
      </c>
      <c r="G144" s="1">
        <f t="shared" si="2"/>
        <v>412</v>
      </c>
      <c r="H144" s="1" t="s">
        <v>104</v>
      </c>
    </row>
    <row r="145" spans="1:8" x14ac:dyDescent="0.3">
      <c r="A145" s="1" t="s">
        <v>155</v>
      </c>
      <c r="B145" s="1">
        <f>-126.726262677561</f>
        <v>-126.726262677561</v>
      </c>
      <c r="C145" s="1">
        <v>54.383988148477101</v>
      </c>
      <c r="D145" s="1">
        <v>0</v>
      </c>
      <c r="E145" s="1">
        <v>0</v>
      </c>
      <c r="F145" s="1">
        <v>200</v>
      </c>
      <c r="G145" s="1">
        <f t="shared" si="2"/>
        <v>200</v>
      </c>
      <c r="H145" s="1" t="s">
        <v>104</v>
      </c>
    </row>
    <row r="146" spans="1:8" x14ac:dyDescent="0.3">
      <c r="A146" s="1" t="s">
        <v>156</v>
      </c>
      <c r="B146" s="1">
        <f>-126.158126756734</f>
        <v>-126.15812675673401</v>
      </c>
      <c r="C146" s="1">
        <v>54.937848381324201</v>
      </c>
      <c r="D146" s="1">
        <v>0</v>
      </c>
      <c r="E146" s="1">
        <v>253</v>
      </c>
      <c r="F146" s="1">
        <v>66</v>
      </c>
      <c r="G146" s="1">
        <f t="shared" si="2"/>
        <v>319</v>
      </c>
      <c r="H146" s="1" t="s">
        <v>104</v>
      </c>
    </row>
    <row r="147" spans="1:8" x14ac:dyDescent="0.3">
      <c r="A147" s="1" t="s">
        <v>157</v>
      </c>
      <c r="B147" s="1">
        <f>-126.225044027545</f>
        <v>-126.225044027545</v>
      </c>
      <c r="C147" s="1">
        <v>54.9902971133099</v>
      </c>
      <c r="D147" s="1">
        <v>0</v>
      </c>
      <c r="E147" s="1">
        <v>462</v>
      </c>
      <c r="F147" s="1">
        <v>37</v>
      </c>
      <c r="G147" s="1">
        <f t="shared" si="2"/>
        <v>499</v>
      </c>
      <c r="H147" s="1" t="s">
        <v>104</v>
      </c>
    </row>
    <row r="148" spans="1:8" x14ac:dyDescent="0.3">
      <c r="A148" s="1" t="s">
        <v>158</v>
      </c>
      <c r="B148" s="1">
        <f>-119.994059212582</f>
        <v>-119.994059212582</v>
      </c>
      <c r="C148" s="1">
        <v>49.875627294559997</v>
      </c>
      <c r="D148" s="1">
        <v>384</v>
      </c>
      <c r="E148" s="1">
        <v>262</v>
      </c>
      <c r="F148" s="1">
        <v>53</v>
      </c>
      <c r="G148" s="1">
        <f t="shared" si="2"/>
        <v>699</v>
      </c>
      <c r="H148" s="1" t="s">
        <v>104</v>
      </c>
    </row>
    <row r="149" spans="1:8" x14ac:dyDescent="0.3">
      <c r="A149" s="1" t="s">
        <v>159</v>
      </c>
      <c r="B149" s="1">
        <f>-129.422286316526</f>
        <v>-129.422286316526</v>
      </c>
      <c r="C149" s="1">
        <v>55.421551639810602</v>
      </c>
      <c r="D149" s="1">
        <v>0</v>
      </c>
      <c r="E149" s="1">
        <v>147</v>
      </c>
      <c r="F149" s="1">
        <v>0</v>
      </c>
      <c r="G149" s="1">
        <f t="shared" si="2"/>
        <v>147</v>
      </c>
      <c r="H149" s="1" t="s">
        <v>104</v>
      </c>
    </row>
    <row r="150" spans="1:8" x14ac:dyDescent="0.3">
      <c r="A150" s="1" t="s">
        <v>160</v>
      </c>
      <c r="B150" s="1">
        <f>-123.994557968098</f>
        <v>-123.99455796809799</v>
      </c>
      <c r="C150" s="1">
        <v>55.121449856756001</v>
      </c>
      <c r="D150" s="1">
        <v>1245</v>
      </c>
      <c r="E150" s="1">
        <v>0</v>
      </c>
      <c r="F150" s="1">
        <v>0</v>
      </c>
      <c r="G150" s="1">
        <f t="shared" si="2"/>
        <v>1245</v>
      </c>
      <c r="H150" s="1" t="s">
        <v>104</v>
      </c>
    </row>
    <row r="151" spans="1:8" x14ac:dyDescent="0.3">
      <c r="A151" s="1" t="s">
        <v>161</v>
      </c>
      <c r="B151" s="1">
        <f>-115.942612855874</f>
        <v>-115.942612855874</v>
      </c>
      <c r="C151" s="1">
        <v>49.653750222971098</v>
      </c>
      <c r="D151" s="1">
        <v>907</v>
      </c>
      <c r="E151" s="1">
        <v>0</v>
      </c>
      <c r="F151" s="1">
        <v>0</v>
      </c>
      <c r="G151" s="1">
        <f t="shared" si="2"/>
        <v>907</v>
      </c>
      <c r="H151" s="1" t="s">
        <v>104</v>
      </c>
    </row>
    <row r="152" spans="1:8" x14ac:dyDescent="0.3">
      <c r="A152" s="1" t="s">
        <v>162</v>
      </c>
      <c r="B152" s="1">
        <f>-115.760793094857</f>
        <v>-115.76079309485699</v>
      </c>
      <c r="C152" s="1">
        <v>49.918065173797302</v>
      </c>
      <c r="D152" s="1">
        <v>119</v>
      </c>
      <c r="E152" s="1">
        <v>0</v>
      </c>
      <c r="F152" s="1">
        <v>0</v>
      </c>
      <c r="G152" s="1">
        <f t="shared" si="2"/>
        <v>119</v>
      </c>
      <c r="H152" s="1" t="s">
        <v>104</v>
      </c>
    </row>
    <row r="153" spans="1:8" x14ac:dyDescent="0.3">
      <c r="A153" s="1" t="s">
        <v>163</v>
      </c>
      <c r="B153" s="1">
        <f>-114.810443043685</f>
        <v>-114.810443043685</v>
      </c>
      <c r="C153" s="1">
        <v>49.742615979647503</v>
      </c>
      <c r="D153" s="1">
        <v>0</v>
      </c>
      <c r="E153" s="1">
        <v>0</v>
      </c>
      <c r="F153" s="1">
        <v>3210</v>
      </c>
      <c r="G153" s="1">
        <f t="shared" si="2"/>
        <v>3210</v>
      </c>
      <c r="H153" s="1" t="s">
        <v>104</v>
      </c>
    </row>
    <row r="154" spans="1:8" x14ac:dyDescent="0.3">
      <c r="A154" s="1" t="s">
        <v>164</v>
      </c>
      <c r="B154" s="1">
        <f>-114.774793700274</f>
        <v>-114.774793700274</v>
      </c>
      <c r="C154" s="1">
        <v>49.947428065619</v>
      </c>
      <c r="D154" s="1">
        <v>0</v>
      </c>
      <c r="E154" s="1">
        <v>0</v>
      </c>
      <c r="F154" s="1">
        <v>1430</v>
      </c>
      <c r="G154" s="1">
        <f t="shared" si="2"/>
        <v>1430</v>
      </c>
      <c r="H154" s="1" t="s">
        <v>104</v>
      </c>
    </row>
    <row r="155" spans="1:8" x14ac:dyDescent="0.3">
      <c r="A155" s="1" t="s">
        <v>165</v>
      </c>
      <c r="B155" s="1">
        <f>-126.673825223721</f>
        <v>-126.673825223721</v>
      </c>
      <c r="C155" s="1">
        <v>57.0206783309388</v>
      </c>
      <c r="D155" s="1">
        <v>564</v>
      </c>
      <c r="E155" s="1">
        <v>503</v>
      </c>
      <c r="F155" s="1">
        <v>100</v>
      </c>
      <c r="G155" s="1">
        <f t="shared" si="2"/>
        <v>1167</v>
      </c>
      <c r="H155" s="1" t="s">
        <v>104</v>
      </c>
    </row>
    <row r="156" spans="1:8" x14ac:dyDescent="0.3">
      <c r="A156" s="1" t="s">
        <v>166</v>
      </c>
      <c r="B156" s="1">
        <f>-133.398512337807</f>
        <v>-133.39851233780701</v>
      </c>
      <c r="C156" s="1">
        <v>59.708933903337403</v>
      </c>
      <c r="D156" s="1">
        <v>0</v>
      </c>
      <c r="E156" s="1">
        <v>0</v>
      </c>
      <c r="F156" s="1">
        <v>479</v>
      </c>
      <c r="G156" s="1">
        <f t="shared" si="2"/>
        <v>479</v>
      </c>
      <c r="H156" s="1" t="s">
        <v>104</v>
      </c>
    </row>
    <row r="157" spans="1:8" x14ac:dyDescent="0.3">
      <c r="A157" s="1" t="s">
        <v>167</v>
      </c>
      <c r="B157" s="1">
        <f>-122.220713033764</f>
        <v>-122.220713033764</v>
      </c>
      <c r="C157" s="1">
        <v>55.610139061781602</v>
      </c>
      <c r="D157" s="1">
        <v>0</v>
      </c>
      <c r="E157" s="1">
        <v>0</v>
      </c>
      <c r="F157" s="1">
        <v>652</v>
      </c>
      <c r="G157" s="1">
        <f t="shared" si="2"/>
        <v>652</v>
      </c>
      <c r="H157" s="1" t="s">
        <v>104</v>
      </c>
    </row>
    <row r="158" spans="1:8" x14ac:dyDescent="0.3">
      <c r="A158" s="1" t="s">
        <v>168</v>
      </c>
      <c r="B158" s="1">
        <f>-121.830091201151</f>
        <v>-121.83009120115101</v>
      </c>
      <c r="C158" s="1">
        <v>55.393681130180497</v>
      </c>
      <c r="D158" s="1">
        <v>0</v>
      </c>
      <c r="E158" s="1">
        <v>0</v>
      </c>
      <c r="F158" s="1">
        <v>580</v>
      </c>
      <c r="G158" s="1">
        <f t="shared" si="2"/>
        <v>580</v>
      </c>
      <c r="H158" s="1" t="s">
        <v>104</v>
      </c>
    </row>
    <row r="159" spans="1:8" x14ac:dyDescent="0.3">
      <c r="A159" s="1" t="s">
        <v>169</v>
      </c>
      <c r="B159" s="1">
        <f>-121.216016834901</f>
        <v>-121.216016834901</v>
      </c>
      <c r="C159" s="1">
        <v>55.0244752842219</v>
      </c>
      <c r="D159" s="1">
        <v>0</v>
      </c>
      <c r="E159" s="1">
        <v>4370</v>
      </c>
      <c r="F159" s="1">
        <v>1351</v>
      </c>
      <c r="G159" s="1">
        <f t="shared" si="2"/>
        <v>5721</v>
      </c>
      <c r="H159" s="1" t="s">
        <v>104</v>
      </c>
    </row>
    <row r="160" spans="1:8" x14ac:dyDescent="0.3">
      <c r="A160" s="1" t="s">
        <v>170</v>
      </c>
      <c r="B160" s="1">
        <f>-127.187210925204</f>
        <v>-127.187210925204</v>
      </c>
      <c r="C160" s="1">
        <v>53.679293479599202</v>
      </c>
      <c r="D160" s="1">
        <v>278</v>
      </c>
      <c r="E160" s="1">
        <v>182</v>
      </c>
      <c r="F160" s="1">
        <v>78</v>
      </c>
      <c r="G160" s="1">
        <f t="shared" si="2"/>
        <v>538</v>
      </c>
      <c r="H160" s="1" t="s">
        <v>104</v>
      </c>
    </row>
    <row r="161" spans="1:8" x14ac:dyDescent="0.3">
      <c r="A161" s="1" t="s">
        <v>171</v>
      </c>
      <c r="B161" s="1">
        <f>-122.655604531425</f>
        <v>-122.655604531425</v>
      </c>
      <c r="C161" s="1">
        <v>49.286765578817402</v>
      </c>
      <c r="D161" s="1">
        <v>0</v>
      </c>
      <c r="E161" s="1">
        <v>0</v>
      </c>
      <c r="F161" s="1">
        <v>58</v>
      </c>
      <c r="G161" s="1">
        <f t="shared" si="2"/>
        <v>58</v>
      </c>
      <c r="H161" s="1" t="s">
        <v>104</v>
      </c>
    </row>
    <row r="162" spans="1:8" x14ac:dyDescent="0.3">
      <c r="A162" s="1" t="s">
        <v>172</v>
      </c>
      <c r="B162" s="1">
        <f>-122.411174121811</f>
        <v>-122.411174121811</v>
      </c>
      <c r="C162" s="1">
        <v>49.029111711655197</v>
      </c>
      <c r="D162" s="1">
        <v>0</v>
      </c>
      <c r="E162" s="1">
        <v>0</v>
      </c>
      <c r="F162" s="1">
        <v>145</v>
      </c>
      <c r="G162" s="1">
        <f t="shared" si="2"/>
        <v>145</v>
      </c>
      <c r="H162" s="1" t="s">
        <v>104</v>
      </c>
    </row>
    <row r="163" spans="1:8" x14ac:dyDescent="0.3">
      <c r="A163" s="1" t="s">
        <v>173</v>
      </c>
      <c r="B163" s="1">
        <f>-123.883621963482</f>
        <v>-123.883621963482</v>
      </c>
      <c r="C163" s="1">
        <v>49.744623010448798</v>
      </c>
      <c r="D163" s="1">
        <v>0</v>
      </c>
      <c r="E163" s="1">
        <v>123</v>
      </c>
      <c r="F163" s="1">
        <v>0</v>
      </c>
      <c r="G163" s="1">
        <f t="shared" si="2"/>
        <v>123</v>
      </c>
      <c r="H163" s="1" t="s">
        <v>104</v>
      </c>
    </row>
    <row r="164" spans="1:8" x14ac:dyDescent="0.3">
      <c r="A164" s="1" t="s">
        <v>174</v>
      </c>
      <c r="B164" s="1">
        <f>-127.140703989538</f>
        <v>-127.140703989538</v>
      </c>
      <c r="C164" s="1">
        <v>50.583559646904398</v>
      </c>
      <c r="D164" s="1">
        <v>0</v>
      </c>
      <c r="E164" s="1">
        <v>0</v>
      </c>
      <c r="F164" s="1">
        <v>217</v>
      </c>
      <c r="G164" s="1">
        <f t="shared" si="2"/>
        <v>217</v>
      </c>
      <c r="H164" s="1" t="s">
        <v>104</v>
      </c>
    </row>
    <row r="165" spans="1:8" x14ac:dyDescent="0.3">
      <c r="A165" s="1" t="s">
        <v>175</v>
      </c>
      <c r="B165" s="1">
        <f>-70.763061312519</f>
        <v>-70.763061312519</v>
      </c>
      <c r="C165" s="1">
        <v>46.8047304026177</v>
      </c>
      <c r="D165" s="1">
        <v>0</v>
      </c>
      <c r="E165" s="1">
        <v>0</v>
      </c>
      <c r="F165" s="1">
        <v>61</v>
      </c>
      <c r="G165" s="1">
        <f t="shared" si="2"/>
        <v>61</v>
      </c>
      <c r="H165" s="1" t="s">
        <v>101</v>
      </c>
    </row>
    <row r="166" spans="1:8" x14ac:dyDescent="0.3">
      <c r="A166" s="1" t="s">
        <v>176</v>
      </c>
      <c r="B166" s="1">
        <f>-71.2033380652378</f>
        <v>-71.203338065237801</v>
      </c>
      <c r="C166" s="1">
        <v>46.859185830961799</v>
      </c>
      <c r="D166" s="1">
        <v>0</v>
      </c>
      <c r="E166" s="1">
        <v>0</v>
      </c>
      <c r="F166" s="1">
        <v>19</v>
      </c>
      <c r="G166" s="1">
        <f t="shared" si="2"/>
        <v>19</v>
      </c>
      <c r="H166" s="1" t="s">
        <v>101</v>
      </c>
    </row>
    <row r="167" spans="1:8" x14ac:dyDescent="0.3">
      <c r="A167" s="1" t="s">
        <v>177</v>
      </c>
      <c r="B167" s="1">
        <f>-71.3913926357068</f>
        <v>-71.391392635706794</v>
      </c>
      <c r="C167" s="1">
        <v>46.900146013041898</v>
      </c>
      <c r="D167" s="1">
        <v>0</v>
      </c>
      <c r="E167" s="1">
        <v>0</v>
      </c>
      <c r="F167" s="1">
        <v>116</v>
      </c>
      <c r="G167" s="1">
        <f t="shared" si="2"/>
        <v>116</v>
      </c>
      <c r="H167" s="1" t="s">
        <v>101</v>
      </c>
    </row>
    <row r="168" spans="1:8" x14ac:dyDescent="0.3">
      <c r="A168" s="1" t="s">
        <v>178</v>
      </c>
      <c r="B168" s="1">
        <f>-74.031509652364</f>
        <v>-74.031509652363994</v>
      </c>
      <c r="C168" s="1">
        <v>45.726494889080499</v>
      </c>
      <c r="D168" s="1">
        <v>0</v>
      </c>
      <c r="E168" s="1">
        <v>0</v>
      </c>
      <c r="F168" s="1">
        <v>91</v>
      </c>
      <c r="G168" s="1">
        <f t="shared" si="2"/>
        <v>91</v>
      </c>
      <c r="H168" s="1" t="s">
        <v>101</v>
      </c>
    </row>
    <row r="169" spans="1:8" x14ac:dyDescent="0.3">
      <c r="A169" s="1" t="s">
        <v>179</v>
      </c>
      <c r="B169" s="1">
        <f>-73.9280529740429</f>
        <v>-73.928052974042899</v>
      </c>
      <c r="C169" s="1">
        <v>45.619063357688098</v>
      </c>
      <c r="D169" s="1">
        <v>0</v>
      </c>
      <c r="E169" s="1">
        <v>0</v>
      </c>
      <c r="F169" s="1">
        <v>52</v>
      </c>
      <c r="G169" s="1">
        <f t="shared" si="2"/>
        <v>52</v>
      </c>
      <c r="H169" s="1" t="s">
        <v>101</v>
      </c>
    </row>
    <row r="170" spans="1:8" x14ac:dyDescent="0.3">
      <c r="A170" s="1" t="s">
        <v>180</v>
      </c>
      <c r="B170" s="1">
        <f>-73.5344275070266</f>
        <v>-73.534427507026606</v>
      </c>
      <c r="C170" s="1">
        <v>45.619389564935901</v>
      </c>
      <c r="D170" s="1">
        <v>0</v>
      </c>
      <c r="E170" s="1">
        <v>90</v>
      </c>
      <c r="F170" s="1">
        <v>95</v>
      </c>
      <c r="G170" s="1">
        <f t="shared" si="2"/>
        <v>185</v>
      </c>
      <c r="H170" s="1" t="s">
        <v>101</v>
      </c>
    </row>
    <row r="171" spans="1:8" x14ac:dyDescent="0.3">
      <c r="A171" s="1" t="s">
        <v>181</v>
      </c>
      <c r="B171" s="1">
        <f>-73.61996922962</f>
        <v>-73.619969229619997</v>
      </c>
      <c r="C171" s="1">
        <v>45.572362625241297</v>
      </c>
      <c r="D171" s="1">
        <v>0</v>
      </c>
      <c r="E171" s="1">
        <v>88</v>
      </c>
      <c r="F171" s="1">
        <v>87</v>
      </c>
      <c r="G171" s="1">
        <f t="shared" si="2"/>
        <v>175</v>
      </c>
      <c r="H171" s="1" t="s">
        <v>101</v>
      </c>
    </row>
    <row r="172" spans="1:8" x14ac:dyDescent="0.3">
      <c r="A172" s="1" t="s">
        <v>182</v>
      </c>
      <c r="B172" s="1">
        <f>-66.9132189663747</f>
        <v>-66.9132189663747</v>
      </c>
      <c r="C172" s="1">
        <v>54.814656284045498</v>
      </c>
      <c r="D172" s="1">
        <v>0</v>
      </c>
      <c r="E172" s="1">
        <v>1901</v>
      </c>
      <c r="F172" s="1">
        <v>441</v>
      </c>
      <c r="G172" s="1">
        <f t="shared" si="2"/>
        <v>2342</v>
      </c>
      <c r="H172" s="1" t="s">
        <v>101</v>
      </c>
    </row>
    <row r="173" spans="1:8" x14ac:dyDescent="0.3">
      <c r="A173" s="1" t="s">
        <v>183</v>
      </c>
      <c r="B173" s="1">
        <f>-77.7407994769732</f>
        <v>-77.740799476973194</v>
      </c>
      <c r="C173" s="1">
        <v>48.094333267454502</v>
      </c>
      <c r="D173" s="1">
        <v>350</v>
      </c>
      <c r="E173" s="1">
        <v>68</v>
      </c>
      <c r="F173" s="1">
        <v>29</v>
      </c>
      <c r="G173" s="1">
        <f t="shared" si="2"/>
        <v>447</v>
      </c>
      <c r="H173" s="1" t="s">
        <v>101</v>
      </c>
    </row>
    <row r="174" spans="1:8" x14ac:dyDescent="0.3">
      <c r="A174" s="1" t="s">
        <v>184</v>
      </c>
      <c r="B174" s="1">
        <f>-78.1329241297761</f>
        <v>-78.1329241297761</v>
      </c>
      <c r="C174" s="1">
        <v>48.113223386657999</v>
      </c>
      <c r="D174" s="1">
        <v>969</v>
      </c>
      <c r="E174" s="1">
        <v>411</v>
      </c>
      <c r="F174" s="1">
        <v>158</v>
      </c>
      <c r="G174" s="1">
        <f t="shared" si="2"/>
        <v>1538</v>
      </c>
      <c r="H174" s="1" t="s">
        <v>101</v>
      </c>
    </row>
    <row r="175" spans="1:8" x14ac:dyDescent="0.3">
      <c r="A175" s="1" t="s">
        <v>185</v>
      </c>
      <c r="B175" s="1">
        <f>-78.4406898797851</f>
        <v>-78.440689879785097</v>
      </c>
      <c r="C175" s="1">
        <v>48.248579428847997</v>
      </c>
      <c r="D175" s="1">
        <v>292</v>
      </c>
      <c r="E175" s="1">
        <v>29</v>
      </c>
      <c r="F175" s="1">
        <v>3</v>
      </c>
      <c r="G175" s="1">
        <f t="shared" si="2"/>
        <v>324</v>
      </c>
      <c r="H175" s="1" t="s">
        <v>101</v>
      </c>
    </row>
    <row r="176" spans="1:8" x14ac:dyDescent="0.3">
      <c r="A176" s="1" t="s">
        <v>186</v>
      </c>
      <c r="B176" s="1">
        <f>-79.2206225895236</f>
        <v>-79.2206225895236</v>
      </c>
      <c r="C176" s="1">
        <v>49.564017927717202</v>
      </c>
      <c r="D176" s="1">
        <v>234</v>
      </c>
      <c r="E176" s="1">
        <v>11</v>
      </c>
      <c r="F176" s="1">
        <v>0</v>
      </c>
      <c r="G176" s="1">
        <f t="shared" si="2"/>
        <v>245</v>
      </c>
      <c r="H176" s="1" t="s">
        <v>101</v>
      </c>
    </row>
    <row r="177" spans="1:8" x14ac:dyDescent="0.3">
      <c r="A177" s="1" t="s">
        <v>187</v>
      </c>
      <c r="B177" s="1">
        <f>-77.9179300166279</f>
        <v>-77.917930016627906</v>
      </c>
      <c r="C177" s="1">
        <v>48.111483464648302</v>
      </c>
      <c r="D177" s="1">
        <v>106</v>
      </c>
      <c r="E177" s="1">
        <v>15</v>
      </c>
      <c r="F177" s="1">
        <v>0</v>
      </c>
      <c r="G177" s="1">
        <f t="shared" si="2"/>
        <v>121</v>
      </c>
      <c r="H177" s="1" t="s">
        <v>101</v>
      </c>
    </row>
    <row r="178" spans="1:8" x14ac:dyDescent="0.3">
      <c r="A178" s="1" t="s">
        <v>188</v>
      </c>
      <c r="B178" s="1">
        <f>-77.9848493931756</f>
        <v>-77.984849393175594</v>
      </c>
      <c r="C178" s="1">
        <v>49.131961049751098</v>
      </c>
      <c r="D178" s="1">
        <v>84</v>
      </c>
      <c r="E178" s="1">
        <v>22</v>
      </c>
      <c r="F178" s="1">
        <v>0</v>
      </c>
      <c r="G178" s="1">
        <f t="shared" si="2"/>
        <v>106</v>
      </c>
      <c r="H178" s="1" t="s">
        <v>101</v>
      </c>
    </row>
    <row r="179" spans="1:8" x14ac:dyDescent="0.3">
      <c r="A179" s="1" t="s">
        <v>189</v>
      </c>
      <c r="B179" s="1">
        <f>-79.197274012791</f>
        <v>-79.197274012790999</v>
      </c>
      <c r="C179" s="1">
        <v>48.205839532791003</v>
      </c>
      <c r="D179" s="1">
        <v>66</v>
      </c>
      <c r="E179" s="1">
        <v>0</v>
      </c>
      <c r="F179" s="1">
        <v>0</v>
      </c>
      <c r="G179" s="1">
        <f t="shared" si="2"/>
        <v>66</v>
      </c>
      <c r="H179" s="1" t="s">
        <v>101</v>
      </c>
    </row>
    <row r="180" spans="1:8" x14ac:dyDescent="0.3">
      <c r="A180" s="1" t="s">
        <v>190</v>
      </c>
      <c r="B180" s="1">
        <f>-77.5590943314013</f>
        <v>-77.559094331401297</v>
      </c>
      <c r="C180" s="1">
        <v>48.157840798073003</v>
      </c>
      <c r="D180" s="1">
        <v>145</v>
      </c>
      <c r="E180" s="1">
        <v>6</v>
      </c>
      <c r="F180" s="1">
        <v>0</v>
      </c>
      <c r="G180" s="1">
        <f t="shared" si="2"/>
        <v>151</v>
      </c>
      <c r="H180" s="1" t="s">
        <v>101</v>
      </c>
    </row>
    <row r="181" spans="1:8" x14ac:dyDescent="0.3">
      <c r="A181" s="1" t="s">
        <v>191</v>
      </c>
      <c r="B181" s="1">
        <f>-77.6484701307456</f>
        <v>-77.648470130745594</v>
      </c>
      <c r="C181" s="1">
        <v>48.136667086939497</v>
      </c>
      <c r="D181" s="1">
        <v>60</v>
      </c>
      <c r="E181" s="1">
        <v>21</v>
      </c>
      <c r="F181" s="1">
        <v>0</v>
      </c>
      <c r="G181" s="1">
        <f t="shared" si="2"/>
        <v>81</v>
      </c>
      <c r="H181" s="1" t="s">
        <v>101</v>
      </c>
    </row>
    <row r="182" spans="1:8" x14ac:dyDescent="0.3">
      <c r="A182" s="1" t="s">
        <v>192</v>
      </c>
      <c r="B182" s="1">
        <f>-76.6837274018921</f>
        <v>-76.683727401892099</v>
      </c>
      <c r="C182" s="1">
        <v>49.250379615366199</v>
      </c>
      <c r="D182" s="1">
        <v>206</v>
      </c>
      <c r="E182" s="1">
        <v>30</v>
      </c>
      <c r="F182" s="1">
        <v>0</v>
      </c>
      <c r="G182" s="1">
        <f t="shared" si="2"/>
        <v>236</v>
      </c>
      <c r="H182" s="1" t="s">
        <v>101</v>
      </c>
    </row>
    <row r="183" spans="1:8" x14ac:dyDescent="0.3">
      <c r="A183" s="1" t="s">
        <v>193</v>
      </c>
      <c r="B183" s="1">
        <f>-76.142720061812</f>
        <v>-76.142720061812</v>
      </c>
      <c r="C183" s="1">
        <v>49.4945104885186</v>
      </c>
      <c r="D183" s="1">
        <v>71</v>
      </c>
      <c r="E183" s="1">
        <v>31</v>
      </c>
      <c r="F183" s="1">
        <v>0</v>
      </c>
      <c r="G183" s="1">
        <f t="shared" si="2"/>
        <v>102</v>
      </c>
      <c r="H183" s="1" t="s">
        <v>101</v>
      </c>
    </row>
    <row r="184" spans="1:8" x14ac:dyDescent="0.3">
      <c r="A184" s="1" t="s">
        <v>194</v>
      </c>
      <c r="B184" s="1">
        <f>-79.2325447347737</f>
        <v>-79.232544734773697</v>
      </c>
      <c r="C184" s="1">
        <v>48.226793275471003</v>
      </c>
      <c r="D184" s="1">
        <v>71</v>
      </c>
      <c r="E184" s="1">
        <v>30</v>
      </c>
      <c r="F184" s="1">
        <v>0</v>
      </c>
      <c r="G184" s="1">
        <f t="shared" si="2"/>
        <v>101</v>
      </c>
      <c r="H184" s="1" t="s">
        <v>101</v>
      </c>
    </row>
    <row r="185" spans="1:8" x14ac:dyDescent="0.3">
      <c r="A185" s="1" t="s">
        <v>195</v>
      </c>
      <c r="B185" s="1">
        <f>-77.6667377559402</f>
        <v>-77.666737755940204</v>
      </c>
      <c r="C185" s="1">
        <v>48.527657208745502</v>
      </c>
      <c r="D185" s="1">
        <v>75</v>
      </c>
      <c r="E185" s="1">
        <v>16</v>
      </c>
      <c r="F185" s="1">
        <v>14</v>
      </c>
      <c r="G185" s="1">
        <f t="shared" si="2"/>
        <v>105</v>
      </c>
      <c r="H185" s="1" t="s">
        <v>101</v>
      </c>
    </row>
    <row r="186" spans="1:8" x14ac:dyDescent="0.3">
      <c r="A186" s="1" t="s">
        <v>196</v>
      </c>
      <c r="B186" s="1">
        <f>-77.4188739558856</f>
        <v>-77.418873955885601</v>
      </c>
      <c r="C186" s="1">
        <v>48.093251078691502</v>
      </c>
      <c r="D186" s="1">
        <v>60</v>
      </c>
      <c r="E186" s="1">
        <v>0</v>
      </c>
      <c r="F186" s="1">
        <v>0</v>
      </c>
      <c r="G186" s="1">
        <f t="shared" si="2"/>
        <v>60</v>
      </c>
      <c r="H186" s="1" t="s">
        <v>101</v>
      </c>
    </row>
    <row r="187" spans="1:8" x14ac:dyDescent="0.3">
      <c r="A187" s="1" t="s">
        <v>197</v>
      </c>
      <c r="B187" s="1">
        <f>-77.6953171450345</f>
        <v>-77.695317145034494</v>
      </c>
      <c r="C187" s="1">
        <v>48.073481422808499</v>
      </c>
      <c r="D187" s="1">
        <v>267</v>
      </c>
      <c r="E187" s="1">
        <v>0</v>
      </c>
      <c r="F187" s="1">
        <v>0</v>
      </c>
      <c r="G187" s="1">
        <f t="shared" si="2"/>
        <v>267</v>
      </c>
      <c r="H187" s="1" t="s">
        <v>101</v>
      </c>
    </row>
    <row r="188" spans="1:8" x14ac:dyDescent="0.3">
      <c r="A188" s="1" t="s">
        <v>198</v>
      </c>
      <c r="B188" s="1">
        <f>-77.6158939413981</f>
        <v>-77.615893941398099</v>
      </c>
      <c r="C188" s="1">
        <v>48.079961257332997</v>
      </c>
      <c r="D188" s="1">
        <v>339</v>
      </c>
      <c r="E188" s="1">
        <v>0</v>
      </c>
      <c r="F188" s="1">
        <v>0</v>
      </c>
      <c r="G188" s="1">
        <f t="shared" si="2"/>
        <v>339</v>
      </c>
      <c r="H188" s="1" t="s">
        <v>101</v>
      </c>
    </row>
    <row r="189" spans="1:8" x14ac:dyDescent="0.3">
      <c r="A189" s="1" t="s">
        <v>199</v>
      </c>
      <c r="B189" s="1">
        <f>-79.2311494625523</f>
        <v>-79.231149462552295</v>
      </c>
      <c r="C189" s="1">
        <v>48.508462248086701</v>
      </c>
      <c r="D189" s="1">
        <v>90</v>
      </c>
      <c r="E189" s="1">
        <v>0</v>
      </c>
      <c r="F189" s="1">
        <v>0</v>
      </c>
      <c r="G189" s="1">
        <f t="shared" si="2"/>
        <v>90</v>
      </c>
      <c r="H189" s="1" t="s">
        <v>101</v>
      </c>
    </row>
    <row r="190" spans="1:8" x14ac:dyDescent="0.3">
      <c r="A190" s="1" t="s">
        <v>200</v>
      </c>
      <c r="B190" s="1">
        <f>-78.3891458478669</f>
        <v>-78.389145847866899</v>
      </c>
      <c r="C190" s="1">
        <v>48.329200836890301</v>
      </c>
      <c r="D190" s="1">
        <v>41</v>
      </c>
      <c r="E190" s="1">
        <v>20</v>
      </c>
      <c r="F190" s="1">
        <v>0</v>
      </c>
      <c r="G190" s="1">
        <f t="shared" si="2"/>
        <v>61</v>
      </c>
      <c r="H190" s="1" t="s">
        <v>101</v>
      </c>
    </row>
    <row r="191" spans="1:8" x14ac:dyDescent="0.3">
      <c r="A191" s="1" t="s">
        <v>201</v>
      </c>
      <c r="B191" s="1">
        <f>-78.5013444711651</f>
        <v>-78.501344471165098</v>
      </c>
      <c r="C191" s="1">
        <v>48.2161546320105</v>
      </c>
      <c r="D191" s="1">
        <v>0</v>
      </c>
      <c r="E191" s="1">
        <v>35</v>
      </c>
      <c r="F191" s="1">
        <v>0</v>
      </c>
      <c r="G191" s="1">
        <f t="shared" si="2"/>
        <v>35</v>
      </c>
      <c r="H191" s="1" t="s">
        <v>101</v>
      </c>
    </row>
    <row r="192" spans="1:8" x14ac:dyDescent="0.3">
      <c r="A192" s="1" t="s">
        <v>202</v>
      </c>
      <c r="B192" s="1">
        <f>-79.0849365472478</f>
        <v>-79.084936547247807</v>
      </c>
      <c r="C192" s="1">
        <v>48.2267679765678</v>
      </c>
      <c r="D192" s="1">
        <v>528</v>
      </c>
      <c r="E192" s="1">
        <v>75</v>
      </c>
      <c r="F192" s="1">
        <v>0</v>
      </c>
      <c r="G192" s="1">
        <f t="shared" si="2"/>
        <v>603</v>
      </c>
      <c r="H192" s="1" t="s">
        <v>101</v>
      </c>
    </row>
    <row r="193" spans="1:8" x14ac:dyDescent="0.3">
      <c r="A193" s="1" t="s">
        <v>203</v>
      </c>
      <c r="B193" s="1">
        <f>-79.0755711661326</f>
        <v>-79.075571166132605</v>
      </c>
      <c r="C193" s="1">
        <v>48.3216683352967</v>
      </c>
      <c r="D193" s="1">
        <v>105</v>
      </c>
      <c r="E193" s="1">
        <v>0</v>
      </c>
      <c r="F193" s="1">
        <v>0</v>
      </c>
      <c r="G193" s="1">
        <f t="shared" si="2"/>
        <v>105</v>
      </c>
      <c r="H193" s="1" t="s">
        <v>101</v>
      </c>
    </row>
    <row r="194" spans="1:8" x14ac:dyDescent="0.3">
      <c r="A194" s="1" t="s">
        <v>204</v>
      </c>
      <c r="B194" s="1">
        <f>-78.3956564991678</f>
        <v>-78.395656499167799</v>
      </c>
      <c r="C194" s="1">
        <v>48.236311300521201</v>
      </c>
      <c r="D194" s="1">
        <v>11</v>
      </c>
      <c r="E194" s="1">
        <v>0</v>
      </c>
      <c r="F194" s="1">
        <v>0</v>
      </c>
      <c r="G194" s="1">
        <f t="shared" si="2"/>
        <v>11</v>
      </c>
      <c r="H194" s="1" t="s">
        <v>101</v>
      </c>
    </row>
    <row r="195" spans="1:8" x14ac:dyDescent="0.3">
      <c r="A195" s="1" t="s">
        <v>205</v>
      </c>
      <c r="B195" s="1">
        <f>-78.3423494856609</f>
        <v>-78.342349485660904</v>
      </c>
      <c r="C195" s="1">
        <v>48.233920956811197</v>
      </c>
      <c r="D195" s="1">
        <v>28</v>
      </c>
      <c r="E195" s="1">
        <v>0</v>
      </c>
      <c r="F195" s="1">
        <v>0</v>
      </c>
      <c r="G195" s="1">
        <f t="shared" ref="G195:G258" si="3">SUM(D195:F195)</f>
        <v>28</v>
      </c>
      <c r="H195" s="1" t="s">
        <v>101</v>
      </c>
    </row>
    <row r="196" spans="1:8" x14ac:dyDescent="0.3">
      <c r="A196" s="1" t="s">
        <v>206</v>
      </c>
      <c r="B196" s="1">
        <f>-79.0260991809416</f>
        <v>-79.0260991809416</v>
      </c>
      <c r="C196" s="1">
        <v>48.180353381323798</v>
      </c>
      <c r="D196" s="1">
        <v>5</v>
      </c>
      <c r="E196" s="1">
        <v>10</v>
      </c>
      <c r="F196" s="1">
        <v>3</v>
      </c>
      <c r="G196" s="1">
        <f t="shared" si="3"/>
        <v>18</v>
      </c>
      <c r="H196" s="1" t="s">
        <v>101</v>
      </c>
    </row>
    <row r="197" spans="1:8" x14ac:dyDescent="0.3">
      <c r="A197" s="1" t="s">
        <v>207</v>
      </c>
      <c r="B197" s="1">
        <f>-78.5252794378707</f>
        <v>-78.525279437870694</v>
      </c>
      <c r="C197" s="1">
        <v>48.2547331377747</v>
      </c>
      <c r="D197" s="1">
        <v>323</v>
      </c>
      <c r="E197" s="1">
        <v>169</v>
      </c>
      <c r="F197" s="1">
        <v>22</v>
      </c>
      <c r="G197" s="1">
        <f t="shared" si="3"/>
        <v>514</v>
      </c>
      <c r="H197" s="1" t="s">
        <v>101</v>
      </c>
    </row>
    <row r="198" spans="1:8" x14ac:dyDescent="0.3">
      <c r="A198" s="1" t="s">
        <v>208</v>
      </c>
      <c r="B198" s="1">
        <f>-79.135253748045</f>
        <v>-79.135253748045002</v>
      </c>
      <c r="C198" s="1">
        <v>48.363454035124697</v>
      </c>
      <c r="D198" s="1">
        <v>0</v>
      </c>
      <c r="E198" s="1">
        <v>47</v>
      </c>
      <c r="F198" s="1">
        <v>0</v>
      </c>
      <c r="G198" s="1">
        <f t="shared" si="3"/>
        <v>47</v>
      </c>
      <c r="H198" s="1" t="s">
        <v>101</v>
      </c>
    </row>
    <row r="199" spans="1:8" x14ac:dyDescent="0.3">
      <c r="A199" s="1" t="s">
        <v>209</v>
      </c>
      <c r="B199" s="1">
        <f>-79.056029362533</f>
        <v>-79.056029362532996</v>
      </c>
      <c r="C199" s="1">
        <v>48.354152581495498</v>
      </c>
      <c r="D199" s="1">
        <v>65</v>
      </c>
      <c r="E199" s="1">
        <v>35</v>
      </c>
      <c r="F199" s="1">
        <v>0</v>
      </c>
      <c r="G199" s="1">
        <f t="shared" si="3"/>
        <v>100</v>
      </c>
      <c r="H199" s="1" t="s">
        <v>101</v>
      </c>
    </row>
    <row r="200" spans="1:8" x14ac:dyDescent="0.3">
      <c r="A200" s="1" t="s">
        <v>210</v>
      </c>
      <c r="B200" s="1">
        <f>-79.3580251960679</f>
        <v>-79.358025196067899</v>
      </c>
      <c r="C200" s="1">
        <v>49.002458760265597</v>
      </c>
      <c r="D200" s="1">
        <v>73</v>
      </c>
      <c r="E200" s="1">
        <v>0</v>
      </c>
      <c r="F200" s="1">
        <v>0</v>
      </c>
      <c r="G200" s="1">
        <f t="shared" si="3"/>
        <v>73</v>
      </c>
      <c r="H200" s="1" t="s">
        <v>101</v>
      </c>
    </row>
    <row r="201" spans="1:8" x14ac:dyDescent="0.3">
      <c r="A201" s="1" t="s">
        <v>211</v>
      </c>
      <c r="B201" s="1">
        <f>-78.2838768490322</f>
        <v>-78.283876849032197</v>
      </c>
      <c r="C201" s="1">
        <v>48.227946608293202</v>
      </c>
      <c r="D201" s="1">
        <v>2</v>
      </c>
      <c r="E201" s="1">
        <v>8</v>
      </c>
      <c r="F201" s="1">
        <v>0</v>
      </c>
      <c r="G201" s="1">
        <f t="shared" si="3"/>
        <v>10</v>
      </c>
      <c r="H201" s="1" t="s">
        <v>101</v>
      </c>
    </row>
    <row r="202" spans="1:8" x14ac:dyDescent="0.3">
      <c r="A202" s="1" t="s">
        <v>212</v>
      </c>
      <c r="B202" s="1">
        <f>-77.8635687722129</f>
        <v>-77.863568772212901</v>
      </c>
      <c r="C202" s="1">
        <v>48.091229233611799</v>
      </c>
      <c r="D202" s="1">
        <v>2</v>
      </c>
      <c r="E202" s="1">
        <v>25</v>
      </c>
      <c r="F202" s="1">
        <v>0</v>
      </c>
      <c r="G202" s="1">
        <f t="shared" si="3"/>
        <v>27</v>
      </c>
      <c r="H202" s="1" t="s">
        <v>101</v>
      </c>
    </row>
    <row r="203" spans="1:8" x14ac:dyDescent="0.3">
      <c r="A203" s="1" t="s">
        <v>213</v>
      </c>
      <c r="B203" s="1">
        <f>-79.1269155207782</f>
        <v>-79.126915520778198</v>
      </c>
      <c r="C203" s="1">
        <v>48.281155809635798</v>
      </c>
      <c r="D203" s="1">
        <v>2</v>
      </c>
      <c r="E203" s="1">
        <v>3</v>
      </c>
      <c r="F203" s="1">
        <v>0</v>
      </c>
      <c r="G203" s="1">
        <f t="shared" si="3"/>
        <v>5</v>
      </c>
      <c r="H203" s="1" t="s">
        <v>101</v>
      </c>
    </row>
    <row r="204" spans="1:8" x14ac:dyDescent="0.3">
      <c r="A204" s="1" t="s">
        <v>214</v>
      </c>
      <c r="B204" s="1">
        <f>-67.3328275752131</f>
        <v>-67.332827575213102</v>
      </c>
      <c r="C204" s="1">
        <v>52.7738707446101</v>
      </c>
      <c r="D204" s="1">
        <v>2480</v>
      </c>
      <c r="E204" s="1">
        <v>1475</v>
      </c>
      <c r="F204" s="1">
        <v>640</v>
      </c>
      <c r="G204" s="1">
        <f t="shared" si="3"/>
        <v>4595</v>
      </c>
      <c r="H204" s="1" t="s">
        <v>101</v>
      </c>
    </row>
    <row r="205" spans="1:8" x14ac:dyDescent="0.3">
      <c r="A205" s="1" t="s">
        <v>215</v>
      </c>
      <c r="B205" s="1">
        <f>-68.056952198289</f>
        <v>-68.056952198288997</v>
      </c>
      <c r="C205" s="1">
        <v>51.852927646356498</v>
      </c>
      <c r="D205" s="1">
        <v>663</v>
      </c>
      <c r="E205" s="1">
        <v>143</v>
      </c>
      <c r="F205" s="1">
        <v>12</v>
      </c>
      <c r="G205" s="1">
        <f t="shared" si="3"/>
        <v>818</v>
      </c>
      <c r="H205" s="1" t="s">
        <v>101</v>
      </c>
    </row>
    <row r="206" spans="1:8" x14ac:dyDescent="0.3">
      <c r="A206" s="1" t="s">
        <v>216</v>
      </c>
      <c r="B206" s="1">
        <f>-67.341226183598</f>
        <v>-67.341226183597996</v>
      </c>
      <c r="C206" s="1">
        <v>52.3494117641022</v>
      </c>
      <c r="D206" s="1">
        <v>0</v>
      </c>
      <c r="E206" s="1">
        <v>269</v>
      </c>
      <c r="F206" s="1">
        <v>0</v>
      </c>
      <c r="G206" s="1">
        <f t="shared" si="3"/>
        <v>269</v>
      </c>
      <c r="H206" s="1" t="s">
        <v>101</v>
      </c>
    </row>
    <row r="207" spans="1:8" x14ac:dyDescent="0.3">
      <c r="A207" s="1" t="s">
        <v>217</v>
      </c>
      <c r="B207" s="1">
        <f>-67.2460833103259</f>
        <v>-67.246083310325901</v>
      </c>
      <c r="C207" s="1">
        <v>52.8527822043702</v>
      </c>
      <c r="D207" s="1">
        <v>300</v>
      </c>
      <c r="E207" s="1">
        <v>511</v>
      </c>
      <c r="F207" s="1">
        <v>113</v>
      </c>
      <c r="G207" s="1">
        <f t="shared" si="3"/>
        <v>924</v>
      </c>
      <c r="H207" s="1" t="s">
        <v>101</v>
      </c>
    </row>
    <row r="208" spans="1:8" x14ac:dyDescent="0.3">
      <c r="A208" s="1" t="s">
        <v>218</v>
      </c>
      <c r="B208" s="1">
        <f>-63.4143824424913</f>
        <v>-63.414382442491302</v>
      </c>
      <c r="C208" s="1">
        <v>50.555403995426701</v>
      </c>
      <c r="D208" s="1">
        <v>0</v>
      </c>
      <c r="E208" s="1">
        <v>218</v>
      </c>
      <c r="F208" s="1">
        <v>46</v>
      </c>
      <c r="G208" s="1">
        <f t="shared" si="3"/>
        <v>264</v>
      </c>
      <c r="H208" s="1" t="s">
        <v>101</v>
      </c>
    </row>
    <row r="209" spans="1:8" x14ac:dyDescent="0.3">
      <c r="A209" s="1" t="s">
        <v>219</v>
      </c>
      <c r="B209" s="1">
        <f>-71.9114703491003</f>
        <v>-71.911470349100298</v>
      </c>
      <c r="C209" s="1">
        <v>45.314657690685401</v>
      </c>
      <c r="D209" s="1">
        <v>16</v>
      </c>
      <c r="E209" s="1">
        <v>0</v>
      </c>
      <c r="F209" s="1">
        <v>0</v>
      </c>
      <c r="G209" s="1">
        <f t="shared" si="3"/>
        <v>16</v>
      </c>
      <c r="H209" s="1" t="s">
        <v>101</v>
      </c>
    </row>
    <row r="210" spans="1:8" x14ac:dyDescent="0.3">
      <c r="A210" s="1" t="s">
        <v>220</v>
      </c>
      <c r="B210" s="1">
        <f>-71.9644968085466</f>
        <v>-71.964496808546599</v>
      </c>
      <c r="C210" s="1">
        <v>45.775445386487498</v>
      </c>
      <c r="D210" s="1">
        <v>58</v>
      </c>
      <c r="E210" s="1">
        <v>441</v>
      </c>
      <c r="F210" s="1">
        <v>251</v>
      </c>
      <c r="G210" s="1">
        <f t="shared" si="3"/>
        <v>750</v>
      </c>
      <c r="H210" s="1" t="s">
        <v>101</v>
      </c>
    </row>
    <row r="211" spans="1:8" x14ac:dyDescent="0.3">
      <c r="A211" s="1" t="s">
        <v>221</v>
      </c>
      <c r="B211" s="1">
        <f>-71.3610192890592</f>
        <v>-71.3610192890592</v>
      </c>
      <c r="C211" s="1">
        <v>46.030171670444098</v>
      </c>
      <c r="D211" s="1">
        <v>0</v>
      </c>
      <c r="E211" s="1">
        <v>2000</v>
      </c>
      <c r="F211" s="1">
        <v>522</v>
      </c>
      <c r="G211" s="1">
        <f t="shared" si="3"/>
        <v>2522</v>
      </c>
      <c r="H211" s="1" t="s">
        <v>101</v>
      </c>
    </row>
    <row r="212" spans="1:8" x14ac:dyDescent="0.3">
      <c r="A212" s="1" t="s">
        <v>222</v>
      </c>
      <c r="B212" s="1">
        <f>-65.5175133974326</f>
        <v>-65.517513397432595</v>
      </c>
      <c r="C212" s="1">
        <v>48.963412882474103</v>
      </c>
      <c r="D212" s="1">
        <v>772</v>
      </c>
      <c r="E212" s="1">
        <v>616</v>
      </c>
      <c r="F212" s="1">
        <v>67</v>
      </c>
      <c r="G212" s="1">
        <f t="shared" si="3"/>
        <v>1455</v>
      </c>
      <c r="H212" s="1" t="s">
        <v>101</v>
      </c>
    </row>
    <row r="213" spans="1:8" x14ac:dyDescent="0.3">
      <c r="A213" s="1" t="s">
        <v>223</v>
      </c>
      <c r="B213" s="1">
        <f>-75.5395117378778</f>
        <v>-75.539511737877802</v>
      </c>
      <c r="C213" s="1">
        <v>46.3809367088664</v>
      </c>
      <c r="D213" s="1">
        <v>34</v>
      </c>
      <c r="E213" s="1">
        <v>78</v>
      </c>
      <c r="F213" s="1">
        <v>32</v>
      </c>
      <c r="G213" s="1">
        <f t="shared" si="3"/>
        <v>144</v>
      </c>
      <c r="H213" s="1" t="s">
        <v>101</v>
      </c>
    </row>
    <row r="214" spans="1:8" x14ac:dyDescent="0.3">
      <c r="A214" s="1" t="s">
        <v>224</v>
      </c>
      <c r="B214" s="1">
        <f>-73.4449421139612</f>
        <v>-73.444942113961204</v>
      </c>
      <c r="C214" s="1">
        <v>61.560132751086101</v>
      </c>
      <c r="D214" s="1">
        <v>112</v>
      </c>
      <c r="E214" s="1">
        <v>132</v>
      </c>
      <c r="F214" s="1">
        <v>0</v>
      </c>
      <c r="G214" s="1">
        <f t="shared" si="3"/>
        <v>244</v>
      </c>
      <c r="H214" s="1" t="s">
        <v>101</v>
      </c>
    </row>
    <row r="215" spans="1:8" x14ac:dyDescent="0.3">
      <c r="A215" s="1" t="s">
        <v>225</v>
      </c>
      <c r="B215" s="1">
        <f>-73.6384080182047</f>
        <v>-73.6384080182047</v>
      </c>
      <c r="C215" s="1">
        <v>61.681127162334199</v>
      </c>
      <c r="D215" s="1">
        <v>184</v>
      </c>
      <c r="E215" s="1">
        <v>0</v>
      </c>
      <c r="F215" s="1">
        <v>338</v>
      </c>
      <c r="G215" s="1">
        <f t="shared" si="3"/>
        <v>522</v>
      </c>
      <c r="H215" s="1" t="s">
        <v>101</v>
      </c>
    </row>
    <row r="216" spans="1:8" x14ac:dyDescent="0.3">
      <c r="A216" s="1" t="s">
        <v>226</v>
      </c>
      <c r="B216" s="1">
        <f>-73.9671417997929</f>
        <v>-73.967141799792898</v>
      </c>
      <c r="C216" s="1">
        <v>61.816367810984097</v>
      </c>
      <c r="D216" s="1">
        <v>0</v>
      </c>
      <c r="E216" s="1">
        <v>955</v>
      </c>
      <c r="F216" s="1">
        <v>24</v>
      </c>
      <c r="G216" s="1">
        <f t="shared" si="3"/>
        <v>979</v>
      </c>
      <c r="H216" s="1" t="s">
        <v>101</v>
      </c>
    </row>
    <row r="217" spans="1:8" x14ac:dyDescent="0.3">
      <c r="A217" s="1" t="s">
        <v>227</v>
      </c>
      <c r="B217" s="1">
        <f>-76.0873532535992</f>
        <v>-76.087353253599204</v>
      </c>
      <c r="C217" s="1">
        <v>52.705542596109701</v>
      </c>
      <c r="D217" s="1">
        <v>0</v>
      </c>
      <c r="E217" s="1">
        <v>338</v>
      </c>
      <c r="F217" s="1">
        <v>0</v>
      </c>
      <c r="G217" s="1">
        <f t="shared" si="3"/>
        <v>338</v>
      </c>
      <c r="H217" s="1" t="s">
        <v>101</v>
      </c>
    </row>
    <row r="218" spans="1:8" x14ac:dyDescent="0.3">
      <c r="A218" s="1" t="s">
        <v>228</v>
      </c>
      <c r="B218" s="1">
        <f>-77.7803148801999</f>
        <v>-77.780314880199896</v>
      </c>
      <c r="C218" s="1">
        <v>49.748657405721801</v>
      </c>
      <c r="D218" s="1">
        <v>551</v>
      </c>
      <c r="E218" s="1">
        <v>0</v>
      </c>
      <c r="F218" s="1">
        <v>0</v>
      </c>
      <c r="G218" s="1">
        <f t="shared" si="3"/>
        <v>551</v>
      </c>
      <c r="H218" s="1" t="s">
        <v>101</v>
      </c>
    </row>
    <row r="219" spans="1:8" x14ac:dyDescent="0.3">
      <c r="A219" s="1" t="s">
        <v>229</v>
      </c>
      <c r="B219" s="1">
        <f>-74.4736963569156</f>
        <v>-74.473696356915596</v>
      </c>
      <c r="C219" s="1">
        <v>51.003033134957803</v>
      </c>
      <c r="D219" s="1">
        <v>304</v>
      </c>
      <c r="E219" s="1">
        <v>305</v>
      </c>
      <c r="F219" s="1">
        <v>143</v>
      </c>
      <c r="G219" s="1">
        <f t="shared" si="3"/>
        <v>752</v>
      </c>
      <c r="H219" s="1" t="s">
        <v>101</v>
      </c>
    </row>
    <row r="220" spans="1:8" x14ac:dyDescent="0.3">
      <c r="A220" s="1" t="s">
        <v>230</v>
      </c>
      <c r="B220" s="1">
        <f>-74.8657459559014</f>
        <v>-74.865745955901403</v>
      </c>
      <c r="C220" s="1">
        <v>49.7922034989369</v>
      </c>
      <c r="D220" s="1">
        <v>192</v>
      </c>
      <c r="E220" s="1">
        <v>0</v>
      </c>
      <c r="F220" s="1">
        <v>0</v>
      </c>
      <c r="G220" s="1">
        <f t="shared" si="3"/>
        <v>192</v>
      </c>
      <c r="H220" s="1" t="s">
        <v>101</v>
      </c>
    </row>
    <row r="221" spans="1:8" x14ac:dyDescent="0.3">
      <c r="A221" s="1" t="s">
        <v>231</v>
      </c>
      <c r="B221" s="1">
        <f>-72.1864177304612</f>
        <v>-72.186417730461201</v>
      </c>
      <c r="C221" s="1">
        <v>52.815725316873298</v>
      </c>
      <c r="D221" s="1">
        <v>0</v>
      </c>
      <c r="E221" s="1">
        <v>269</v>
      </c>
      <c r="F221" s="1">
        <v>0</v>
      </c>
      <c r="G221" s="1">
        <f t="shared" si="3"/>
        <v>269</v>
      </c>
      <c r="H221" s="1" t="s">
        <v>101</v>
      </c>
    </row>
    <row r="222" spans="1:8" x14ac:dyDescent="0.3">
      <c r="A222" s="1" t="s">
        <v>232</v>
      </c>
      <c r="B222" s="1">
        <f>-77.6931067549966</f>
        <v>-77.693106754996606</v>
      </c>
      <c r="C222" s="1">
        <v>49.689419407938502</v>
      </c>
      <c r="D222" s="1">
        <v>85</v>
      </c>
      <c r="E222" s="1">
        <v>77</v>
      </c>
      <c r="F222" s="1">
        <v>12</v>
      </c>
      <c r="G222" s="1">
        <f t="shared" si="3"/>
        <v>174</v>
      </c>
      <c r="H222" s="1" t="s">
        <v>101</v>
      </c>
    </row>
    <row r="223" spans="1:8" x14ac:dyDescent="0.3">
      <c r="A223" s="1" t="s">
        <v>233</v>
      </c>
      <c r="B223" s="1">
        <f>-71.1584576138574</f>
        <v>-71.158457613857394</v>
      </c>
      <c r="C223" s="1">
        <v>48.533681466589101</v>
      </c>
      <c r="D223" s="1">
        <v>93</v>
      </c>
      <c r="E223" s="1">
        <v>137</v>
      </c>
      <c r="F223" s="1">
        <v>0</v>
      </c>
      <c r="G223" s="1">
        <f t="shared" si="3"/>
        <v>230</v>
      </c>
      <c r="H223" s="1" t="s">
        <v>101</v>
      </c>
    </row>
    <row r="224" spans="1:8" x14ac:dyDescent="0.3">
      <c r="A224" s="1" t="s">
        <v>234</v>
      </c>
      <c r="B224" s="1">
        <f>-74.3248848301696</f>
        <v>-74.324884830169594</v>
      </c>
      <c r="C224" s="1">
        <v>49.859697778387897</v>
      </c>
      <c r="D224" s="1">
        <v>282</v>
      </c>
      <c r="E224" s="1">
        <v>100</v>
      </c>
      <c r="F224" s="1">
        <v>0</v>
      </c>
      <c r="G224" s="1">
        <f t="shared" si="3"/>
        <v>382</v>
      </c>
      <c r="H224" s="1" t="s">
        <v>101</v>
      </c>
    </row>
    <row r="225" spans="1:8" x14ac:dyDescent="0.3">
      <c r="A225" s="1" t="s">
        <v>235</v>
      </c>
      <c r="B225" s="1">
        <f>-78.9484380485032</f>
        <v>-78.948438048503206</v>
      </c>
      <c r="C225" s="1">
        <v>49.799097115552598</v>
      </c>
      <c r="D225" s="1">
        <v>543</v>
      </c>
      <c r="E225" s="1">
        <v>122</v>
      </c>
      <c r="F225" s="1">
        <v>0</v>
      </c>
      <c r="G225" s="1">
        <f t="shared" si="3"/>
        <v>665</v>
      </c>
      <c r="H225" s="1" t="s">
        <v>101</v>
      </c>
    </row>
    <row r="226" spans="1:8" x14ac:dyDescent="0.3">
      <c r="A226" s="1" t="s">
        <v>236</v>
      </c>
      <c r="B226" s="1">
        <f>-78.3720382719205</f>
        <v>-78.372038271920502</v>
      </c>
      <c r="C226" s="1">
        <v>49.482205109441999</v>
      </c>
      <c r="D226" s="1">
        <v>220</v>
      </c>
      <c r="E226" s="1">
        <v>0</v>
      </c>
      <c r="F226" s="1">
        <v>0</v>
      </c>
      <c r="G226" s="1">
        <f t="shared" si="3"/>
        <v>220</v>
      </c>
      <c r="H226" s="1" t="s">
        <v>101</v>
      </c>
    </row>
    <row r="227" spans="1:8" x14ac:dyDescent="0.3">
      <c r="A227" s="1" t="s">
        <v>237</v>
      </c>
      <c r="B227" s="1">
        <f>-78.3978577285129</f>
        <v>-78.397857728512903</v>
      </c>
      <c r="C227" s="1">
        <v>49.443682165663397</v>
      </c>
      <c r="D227" s="1">
        <v>51</v>
      </c>
      <c r="E227" s="1">
        <v>0</v>
      </c>
      <c r="F227" s="1">
        <v>0</v>
      </c>
      <c r="G227" s="1">
        <f t="shared" si="3"/>
        <v>51</v>
      </c>
      <c r="H227" s="1" t="s">
        <v>101</v>
      </c>
    </row>
    <row r="228" spans="1:8" x14ac:dyDescent="0.3">
      <c r="A228" s="1" t="s">
        <v>238</v>
      </c>
      <c r="B228" s="1">
        <f>-78.9080775479602</f>
        <v>-78.908077547960204</v>
      </c>
      <c r="C228" s="1">
        <v>48.380518544025598</v>
      </c>
      <c r="D228" s="1">
        <v>126</v>
      </c>
      <c r="E228" s="1">
        <v>0</v>
      </c>
      <c r="F228" s="1">
        <v>0</v>
      </c>
      <c r="G228" s="1">
        <f t="shared" si="3"/>
        <v>126</v>
      </c>
      <c r="H228" s="1" t="s">
        <v>101</v>
      </c>
    </row>
    <row r="229" spans="1:8" x14ac:dyDescent="0.3">
      <c r="A229" s="1" t="s">
        <v>239</v>
      </c>
      <c r="B229" s="1">
        <f>-78.9482965497286</f>
        <v>-78.948296549728596</v>
      </c>
      <c r="C229" s="1">
        <v>48.3258017501133</v>
      </c>
      <c r="D229" s="1">
        <v>0</v>
      </c>
      <c r="E229" s="1">
        <v>20</v>
      </c>
      <c r="F229" s="1">
        <v>4</v>
      </c>
      <c r="G229" s="1">
        <f t="shared" si="3"/>
        <v>24</v>
      </c>
      <c r="H229" s="1" t="s">
        <v>101</v>
      </c>
    </row>
    <row r="230" spans="1:8" x14ac:dyDescent="0.3">
      <c r="A230" s="1" t="s">
        <v>240</v>
      </c>
      <c r="B230" s="1">
        <f>-79.0680013883698</f>
        <v>-79.068001388369794</v>
      </c>
      <c r="C230" s="1">
        <v>48.251677225319703</v>
      </c>
      <c r="D230" s="1">
        <v>0</v>
      </c>
      <c r="E230" s="1">
        <v>0</v>
      </c>
      <c r="F230" s="1">
        <v>8</v>
      </c>
      <c r="G230" s="1">
        <f t="shared" si="3"/>
        <v>8</v>
      </c>
      <c r="H230" s="1" t="s">
        <v>101</v>
      </c>
    </row>
    <row r="231" spans="1:8" x14ac:dyDescent="0.3">
      <c r="A231" s="1" t="s">
        <v>241</v>
      </c>
      <c r="B231" s="1">
        <f>-79.0315766104362</f>
        <v>-79.031576610436204</v>
      </c>
      <c r="C231" s="1">
        <v>48.211209672351004</v>
      </c>
      <c r="D231" s="1">
        <v>18</v>
      </c>
      <c r="E231" s="1">
        <v>0</v>
      </c>
      <c r="F231" s="1">
        <v>0</v>
      </c>
      <c r="G231" s="1">
        <f t="shared" si="3"/>
        <v>18</v>
      </c>
      <c r="H231" s="1" t="s">
        <v>101</v>
      </c>
    </row>
    <row r="232" spans="1:8" x14ac:dyDescent="0.3">
      <c r="A232" s="1" t="s">
        <v>242</v>
      </c>
      <c r="B232" s="1">
        <f>-77.8247629615198</f>
        <v>-77.824762961519795</v>
      </c>
      <c r="C232" s="1">
        <v>48.403324247483297</v>
      </c>
      <c r="D232" s="1">
        <v>99</v>
      </c>
      <c r="E232" s="1">
        <v>116</v>
      </c>
      <c r="F232" s="1">
        <v>44</v>
      </c>
      <c r="G232" s="1">
        <f t="shared" si="3"/>
        <v>259</v>
      </c>
      <c r="H232" s="1" t="s">
        <v>101</v>
      </c>
    </row>
    <row r="233" spans="1:8" x14ac:dyDescent="0.3">
      <c r="A233" s="1" t="s">
        <v>243</v>
      </c>
      <c r="B233" s="1">
        <f>-78.0303727144881</f>
        <v>-78.030372714488095</v>
      </c>
      <c r="C233" s="1">
        <v>48.140257390248998</v>
      </c>
      <c r="D233" s="1">
        <v>109</v>
      </c>
      <c r="E233" s="1">
        <v>0</v>
      </c>
      <c r="F233" s="1">
        <v>0</v>
      </c>
      <c r="G233" s="1">
        <f t="shared" si="3"/>
        <v>109</v>
      </c>
      <c r="H233" s="1" t="s">
        <v>101</v>
      </c>
    </row>
    <row r="234" spans="1:8" x14ac:dyDescent="0.3">
      <c r="A234" s="1" t="s">
        <v>244</v>
      </c>
      <c r="B234" s="1">
        <f>-78.0005846697066</f>
        <v>-78.000584669706598</v>
      </c>
      <c r="C234" s="1">
        <v>48.107206202381903</v>
      </c>
      <c r="D234" s="1">
        <v>179</v>
      </c>
      <c r="E234" s="1">
        <v>0</v>
      </c>
      <c r="F234" s="1">
        <v>0</v>
      </c>
      <c r="G234" s="1">
        <f t="shared" si="3"/>
        <v>179</v>
      </c>
      <c r="H234" s="1" t="s">
        <v>101</v>
      </c>
    </row>
    <row r="235" spans="1:8" x14ac:dyDescent="0.3">
      <c r="A235" s="1" t="s">
        <v>245</v>
      </c>
      <c r="B235" s="1">
        <f>-77.8414540433836</f>
        <v>-77.841454043383607</v>
      </c>
      <c r="C235" s="1">
        <v>48.053086156012199</v>
      </c>
      <c r="D235" s="1">
        <v>80</v>
      </c>
      <c r="E235" s="1">
        <v>0</v>
      </c>
      <c r="F235" s="1">
        <v>0</v>
      </c>
      <c r="G235" s="1">
        <f t="shared" si="3"/>
        <v>80</v>
      </c>
      <c r="H235" s="1" t="s">
        <v>101</v>
      </c>
    </row>
    <row r="236" spans="1:8" x14ac:dyDescent="0.3">
      <c r="A236" s="1" t="s">
        <v>246</v>
      </c>
      <c r="B236" s="1">
        <f>-77.6003277329775</f>
        <v>-77.600327732977505</v>
      </c>
      <c r="C236" s="1">
        <v>48.131531511127903</v>
      </c>
      <c r="D236" s="1">
        <v>129</v>
      </c>
      <c r="E236" s="1">
        <v>0</v>
      </c>
      <c r="F236" s="1">
        <v>0</v>
      </c>
      <c r="G236" s="1">
        <f t="shared" si="3"/>
        <v>129</v>
      </c>
      <c r="H236" s="1" t="s">
        <v>101</v>
      </c>
    </row>
    <row r="237" spans="1:8" x14ac:dyDescent="0.3">
      <c r="A237" s="1" t="s">
        <v>247</v>
      </c>
      <c r="B237" s="1">
        <f>-77.5535972463722</f>
        <v>-77.553597246372206</v>
      </c>
      <c r="C237" s="1">
        <v>48.104803253603301</v>
      </c>
      <c r="D237" s="1">
        <v>56</v>
      </c>
      <c r="E237" s="1">
        <v>0</v>
      </c>
      <c r="F237" s="1">
        <v>0</v>
      </c>
      <c r="G237" s="1">
        <f t="shared" si="3"/>
        <v>56</v>
      </c>
      <c r="H237" s="1" t="s">
        <v>101</v>
      </c>
    </row>
    <row r="238" spans="1:8" x14ac:dyDescent="0.3">
      <c r="A238" s="1" t="s">
        <v>248</v>
      </c>
      <c r="B238" s="1">
        <f>-77.4913359961313</f>
        <v>-77.491335996131298</v>
      </c>
      <c r="C238" s="1">
        <v>48.0982705372246</v>
      </c>
      <c r="D238" s="1">
        <v>25</v>
      </c>
      <c r="E238" s="1">
        <v>30</v>
      </c>
      <c r="F238" s="1">
        <v>0</v>
      </c>
      <c r="G238" s="1">
        <f t="shared" si="3"/>
        <v>55</v>
      </c>
      <c r="H238" s="1" t="s">
        <v>101</v>
      </c>
    </row>
    <row r="239" spans="1:8" x14ac:dyDescent="0.3">
      <c r="A239" s="1" t="s">
        <v>249</v>
      </c>
      <c r="B239" s="1">
        <f>-77.429777692116</f>
        <v>-77.429777692116005</v>
      </c>
      <c r="C239" s="1">
        <v>48.111718535665403</v>
      </c>
      <c r="D239" s="1">
        <v>0</v>
      </c>
      <c r="E239" s="1">
        <v>41</v>
      </c>
      <c r="F239" s="1">
        <v>0</v>
      </c>
      <c r="G239" s="1">
        <f t="shared" si="3"/>
        <v>41</v>
      </c>
      <c r="H239" s="1" t="s">
        <v>101</v>
      </c>
    </row>
    <row r="240" spans="1:8" x14ac:dyDescent="0.3">
      <c r="A240" s="1" t="s">
        <v>250</v>
      </c>
      <c r="B240" s="1">
        <f>-77.4592350931155</f>
        <v>-77.459235093115495</v>
      </c>
      <c r="C240" s="1">
        <v>48.066794763657199</v>
      </c>
      <c r="D240" s="1">
        <v>0</v>
      </c>
      <c r="E240" s="1">
        <v>21</v>
      </c>
      <c r="F240" s="1">
        <v>7</v>
      </c>
      <c r="G240" s="1">
        <f t="shared" si="3"/>
        <v>28</v>
      </c>
      <c r="H240" s="1" t="s">
        <v>101</v>
      </c>
    </row>
    <row r="241" spans="1:8" x14ac:dyDescent="0.3">
      <c r="A241" s="1" t="s">
        <v>251</v>
      </c>
      <c r="B241" s="1">
        <f>-78.4718995440342</f>
        <v>-78.471899544034201</v>
      </c>
      <c r="C241" s="1">
        <v>48.253868147651602</v>
      </c>
      <c r="D241" s="1">
        <v>0</v>
      </c>
      <c r="E241" s="1">
        <v>12</v>
      </c>
      <c r="F241" s="1">
        <v>7</v>
      </c>
      <c r="G241" s="1">
        <f t="shared" si="3"/>
        <v>19</v>
      </c>
      <c r="H241" s="1" t="s">
        <v>101</v>
      </c>
    </row>
    <row r="242" spans="1:8" x14ac:dyDescent="0.3">
      <c r="A242" s="1" t="s">
        <v>252</v>
      </c>
      <c r="B242" s="1">
        <f>-78.9421485913957</f>
        <v>-78.942148591395707</v>
      </c>
      <c r="C242" s="1">
        <v>47.361933814581498</v>
      </c>
      <c r="D242" s="1">
        <v>18</v>
      </c>
      <c r="E242" s="1">
        <v>0</v>
      </c>
      <c r="F242" s="1">
        <v>0</v>
      </c>
      <c r="G242" s="1">
        <f t="shared" si="3"/>
        <v>18</v>
      </c>
      <c r="H242" s="1" t="s">
        <v>101</v>
      </c>
    </row>
    <row r="243" spans="1:8" x14ac:dyDescent="0.3">
      <c r="A243" s="1" t="s">
        <v>253</v>
      </c>
      <c r="B243" s="1">
        <f>-71.2677525244192</f>
        <v>-71.267752524419194</v>
      </c>
      <c r="C243" s="1">
        <v>45.820824319338698</v>
      </c>
      <c r="D243" s="1">
        <v>175</v>
      </c>
      <c r="E243" s="1">
        <v>0</v>
      </c>
      <c r="F243" s="1">
        <v>4</v>
      </c>
      <c r="G243" s="1">
        <f t="shared" si="3"/>
        <v>179</v>
      </c>
      <c r="H243" s="1" t="s">
        <v>101</v>
      </c>
    </row>
    <row r="244" spans="1:8" x14ac:dyDescent="0.3">
      <c r="A244" s="1" t="s">
        <v>254</v>
      </c>
      <c r="B244" s="1">
        <f>-71.1460884686428</f>
        <v>-71.146088468642802</v>
      </c>
      <c r="C244" s="1">
        <v>48.416292440560902</v>
      </c>
      <c r="D244" s="1">
        <v>193</v>
      </c>
      <c r="E244" s="1">
        <v>122</v>
      </c>
      <c r="F244" s="1">
        <v>0</v>
      </c>
      <c r="G244" s="1">
        <f t="shared" si="3"/>
        <v>315</v>
      </c>
      <c r="H244" s="1" t="s">
        <v>101</v>
      </c>
    </row>
    <row r="245" spans="1:8" x14ac:dyDescent="0.3">
      <c r="A245" s="1" t="s">
        <v>255</v>
      </c>
      <c r="B245" s="1">
        <f>-71.202460162777</f>
        <v>-71.202460162777001</v>
      </c>
      <c r="C245" s="1">
        <v>48.344246541187701</v>
      </c>
      <c r="D245" s="1">
        <v>115</v>
      </c>
      <c r="E245" s="1">
        <v>0</v>
      </c>
      <c r="F245" s="1">
        <v>0</v>
      </c>
      <c r="G245" s="1">
        <f t="shared" si="3"/>
        <v>115</v>
      </c>
      <c r="H245" s="1" t="s">
        <v>101</v>
      </c>
    </row>
    <row r="246" spans="1:8" x14ac:dyDescent="0.3">
      <c r="A246" s="1" t="s">
        <v>256</v>
      </c>
      <c r="B246" s="1">
        <f>-66.3262404822715</f>
        <v>-66.326240482271501</v>
      </c>
      <c r="C246" s="1">
        <v>50.215034221085702</v>
      </c>
      <c r="D246" s="1">
        <v>168</v>
      </c>
      <c r="E246" s="1">
        <v>0</v>
      </c>
      <c r="F246" s="1">
        <v>0</v>
      </c>
      <c r="G246" s="1">
        <f t="shared" si="3"/>
        <v>168</v>
      </c>
      <c r="H246" s="1" t="s">
        <v>101</v>
      </c>
    </row>
    <row r="247" spans="1:8" x14ac:dyDescent="0.3">
      <c r="A247" s="1" t="s">
        <v>257</v>
      </c>
      <c r="B247" s="1">
        <f>-71.0378508102739</f>
        <v>-71.037850810273895</v>
      </c>
      <c r="C247" s="1">
        <v>46.247523627362703</v>
      </c>
      <c r="D247" s="1">
        <v>96</v>
      </c>
      <c r="E247" s="1">
        <v>0</v>
      </c>
      <c r="F247" s="1">
        <v>0</v>
      </c>
      <c r="G247" s="1">
        <f t="shared" si="3"/>
        <v>96</v>
      </c>
      <c r="H247" s="1" t="s">
        <v>101</v>
      </c>
    </row>
    <row r="248" spans="1:8" x14ac:dyDescent="0.3">
      <c r="A248" s="1" t="s">
        <v>258</v>
      </c>
      <c r="B248" s="1">
        <f>-71.0887260719192</f>
        <v>-71.088726071919197</v>
      </c>
      <c r="C248" s="1">
        <v>46.2262286060622</v>
      </c>
      <c r="D248" s="1">
        <v>0</v>
      </c>
      <c r="E248" s="1">
        <v>50</v>
      </c>
      <c r="F248" s="1">
        <v>0</v>
      </c>
      <c r="G248" s="1">
        <f t="shared" si="3"/>
        <v>50</v>
      </c>
      <c r="H248" s="1" t="s">
        <v>101</v>
      </c>
    </row>
    <row r="249" spans="1:8" x14ac:dyDescent="0.3">
      <c r="A249" s="1" t="s">
        <v>259</v>
      </c>
      <c r="B249" s="1">
        <f>-71.0076776801917</f>
        <v>-71.007677680191705</v>
      </c>
      <c r="C249" s="1">
        <v>46.272799138963101</v>
      </c>
      <c r="D249" s="1">
        <v>0</v>
      </c>
      <c r="E249" s="1">
        <v>54</v>
      </c>
      <c r="F249" s="1">
        <v>0</v>
      </c>
      <c r="G249" s="1">
        <f t="shared" si="3"/>
        <v>54</v>
      </c>
      <c r="H249" s="1" t="s">
        <v>101</v>
      </c>
    </row>
    <row r="250" spans="1:8" x14ac:dyDescent="0.3">
      <c r="A250" s="1" t="s">
        <v>260</v>
      </c>
      <c r="B250" s="1">
        <f>-71.839771713093</f>
        <v>-71.839771713093</v>
      </c>
      <c r="C250" s="1">
        <v>45.8193814267036</v>
      </c>
      <c r="D250" s="1">
        <v>0</v>
      </c>
      <c r="E250" s="1">
        <v>20</v>
      </c>
      <c r="F250" s="1">
        <v>16</v>
      </c>
      <c r="G250" s="1">
        <f t="shared" si="3"/>
        <v>36</v>
      </c>
      <c r="H250" s="1" t="s">
        <v>101</v>
      </c>
    </row>
    <row r="251" spans="1:8" x14ac:dyDescent="0.3">
      <c r="A251" s="1" t="s">
        <v>261</v>
      </c>
      <c r="B251" s="1">
        <f>-71.6042634862127</f>
        <v>-71.604263486212702</v>
      </c>
      <c r="C251" s="1">
        <v>45.6210241311543</v>
      </c>
      <c r="D251" s="1">
        <v>0</v>
      </c>
      <c r="E251" s="1">
        <v>115</v>
      </c>
      <c r="F251" s="1">
        <v>50</v>
      </c>
      <c r="G251" s="1">
        <f t="shared" si="3"/>
        <v>165</v>
      </c>
      <c r="H251" s="1" t="s">
        <v>101</v>
      </c>
    </row>
    <row r="252" spans="1:8" x14ac:dyDescent="0.3">
      <c r="A252" s="1" t="s">
        <v>262</v>
      </c>
      <c r="B252" s="1">
        <f>-71.5900696180462</f>
        <v>-71.590069618046201</v>
      </c>
      <c r="C252" s="1">
        <v>45.655947307534099</v>
      </c>
      <c r="D252" s="1">
        <v>0</v>
      </c>
      <c r="E252" s="1">
        <v>20</v>
      </c>
      <c r="F252" s="1">
        <v>9</v>
      </c>
      <c r="G252" s="1">
        <f t="shared" si="3"/>
        <v>29</v>
      </c>
      <c r="H252" s="1" t="s">
        <v>101</v>
      </c>
    </row>
    <row r="253" spans="1:8" x14ac:dyDescent="0.3">
      <c r="A253" s="1" t="s">
        <v>263</v>
      </c>
      <c r="B253" s="1">
        <f>-72.5560253345184</f>
        <v>-72.556025334518395</v>
      </c>
      <c r="C253" s="1">
        <v>45.640274851442399</v>
      </c>
      <c r="D253" s="1">
        <v>0</v>
      </c>
      <c r="E253" s="1">
        <v>20</v>
      </c>
      <c r="F253" s="1">
        <v>16</v>
      </c>
      <c r="G253" s="1">
        <f t="shared" si="3"/>
        <v>36</v>
      </c>
      <c r="H253" s="1" t="s">
        <v>101</v>
      </c>
    </row>
    <row r="254" spans="1:8" x14ac:dyDescent="0.3">
      <c r="A254" s="1" t="s">
        <v>264</v>
      </c>
      <c r="B254" s="1">
        <f>-73.435608732904</f>
        <v>-73.435608732904001</v>
      </c>
      <c r="C254" s="1">
        <v>45.318409654323403</v>
      </c>
      <c r="D254" s="1">
        <v>0</v>
      </c>
      <c r="E254" s="1">
        <v>0</v>
      </c>
      <c r="F254" s="1">
        <v>117</v>
      </c>
      <c r="G254" s="1">
        <f t="shared" si="3"/>
        <v>117</v>
      </c>
      <c r="H254" s="1" t="s">
        <v>101</v>
      </c>
    </row>
    <row r="255" spans="1:8" x14ac:dyDescent="0.3">
      <c r="A255" s="1" t="s">
        <v>265</v>
      </c>
      <c r="B255" s="1">
        <f>-73.6342340402944</f>
        <v>-73.634234040294402</v>
      </c>
      <c r="C255" s="1">
        <v>45.172351318497697</v>
      </c>
      <c r="D255" s="1">
        <v>0</v>
      </c>
      <c r="E255" s="1">
        <v>0</v>
      </c>
      <c r="F255" s="1">
        <v>46</v>
      </c>
      <c r="G255" s="1">
        <f t="shared" si="3"/>
        <v>46</v>
      </c>
      <c r="H255" s="1" t="s">
        <v>101</v>
      </c>
    </row>
    <row r="256" spans="1:8" x14ac:dyDescent="0.3">
      <c r="A256" s="1" t="s">
        <v>266</v>
      </c>
      <c r="B256" s="1">
        <f>-73.6455766167713</f>
        <v>-73.645576616771294</v>
      </c>
      <c r="C256" s="1">
        <v>45.138370009799601</v>
      </c>
      <c r="D256" s="1">
        <v>0</v>
      </c>
      <c r="E256" s="1">
        <v>0</v>
      </c>
      <c r="F256" s="1">
        <v>17</v>
      </c>
      <c r="G256" s="1">
        <f t="shared" si="3"/>
        <v>17</v>
      </c>
      <c r="H256" s="1" t="s">
        <v>101</v>
      </c>
    </row>
    <row r="257" spans="1:8" x14ac:dyDescent="0.3">
      <c r="A257" s="1" t="s">
        <v>267</v>
      </c>
      <c r="B257" s="1">
        <f>-73.7461882105388</f>
        <v>-73.746188210538804</v>
      </c>
      <c r="C257" s="1">
        <v>45.012539533728599</v>
      </c>
      <c r="D257" s="1">
        <v>0</v>
      </c>
      <c r="E257" s="1">
        <v>0</v>
      </c>
      <c r="F257" s="1">
        <v>88</v>
      </c>
      <c r="G257" s="1">
        <f t="shared" si="3"/>
        <v>88</v>
      </c>
      <c r="H257" s="1" t="s">
        <v>101</v>
      </c>
    </row>
    <row r="258" spans="1:8" x14ac:dyDescent="0.3">
      <c r="A258" s="1" t="s">
        <v>268</v>
      </c>
      <c r="B258" s="1">
        <f>-74.4315461212999</f>
        <v>-74.431546121299903</v>
      </c>
      <c r="C258" s="1">
        <v>45.386011596914898</v>
      </c>
      <c r="D258" s="1">
        <v>0</v>
      </c>
      <c r="E258" s="1">
        <v>40</v>
      </c>
      <c r="F258" s="1">
        <v>30</v>
      </c>
      <c r="G258" s="1">
        <f t="shared" si="3"/>
        <v>70</v>
      </c>
      <c r="H258" s="1" t="s">
        <v>101</v>
      </c>
    </row>
    <row r="259" spans="1:8" x14ac:dyDescent="0.3">
      <c r="A259" s="1" t="s">
        <v>269</v>
      </c>
      <c r="B259" s="1">
        <f>-73.3351639874809</f>
        <v>-73.335163987480897</v>
      </c>
      <c r="C259" s="1">
        <v>45.665201155804702</v>
      </c>
      <c r="D259" s="1">
        <v>0</v>
      </c>
      <c r="E259" s="1">
        <v>0</v>
      </c>
      <c r="F259" s="1">
        <v>123</v>
      </c>
      <c r="G259" s="1">
        <f t="shared" ref="G259:G322" si="4">SUM(D259:F259)</f>
        <v>123</v>
      </c>
      <c r="H259" s="1" t="s">
        <v>101</v>
      </c>
    </row>
    <row r="260" spans="1:8" x14ac:dyDescent="0.3">
      <c r="A260" s="1" t="s">
        <v>270</v>
      </c>
      <c r="B260" s="1">
        <f>-72.8691158644503</f>
        <v>-72.869115864450293</v>
      </c>
      <c r="C260" s="1">
        <v>45.583899494703502</v>
      </c>
      <c r="D260" s="1">
        <v>0</v>
      </c>
      <c r="E260" s="1">
        <v>79</v>
      </c>
      <c r="F260" s="1">
        <v>59</v>
      </c>
      <c r="G260" s="1">
        <f t="shared" si="4"/>
        <v>138</v>
      </c>
      <c r="H260" s="1" t="s">
        <v>101</v>
      </c>
    </row>
    <row r="261" spans="1:8" x14ac:dyDescent="0.3">
      <c r="A261" s="1" t="s">
        <v>271</v>
      </c>
      <c r="B261" s="1">
        <f>-73.0076972514598</f>
        <v>-73.007697251459803</v>
      </c>
      <c r="C261" s="1">
        <v>45.109676477456702</v>
      </c>
      <c r="D261" s="1">
        <v>0</v>
      </c>
      <c r="E261" s="1">
        <v>44</v>
      </c>
      <c r="F261" s="1">
        <v>59</v>
      </c>
      <c r="G261" s="1">
        <f t="shared" si="4"/>
        <v>103</v>
      </c>
      <c r="H261" s="1" t="s">
        <v>101</v>
      </c>
    </row>
    <row r="262" spans="1:8" x14ac:dyDescent="0.3">
      <c r="A262" s="1" t="s">
        <v>272</v>
      </c>
      <c r="B262" s="1">
        <f>-73.0465428564868</f>
        <v>-73.046542856486795</v>
      </c>
      <c r="C262" s="1">
        <v>45.076221991319699</v>
      </c>
      <c r="D262" s="1">
        <v>0</v>
      </c>
      <c r="E262" s="1">
        <v>63</v>
      </c>
      <c r="F262" s="1">
        <v>21</v>
      </c>
      <c r="G262" s="1">
        <f t="shared" si="4"/>
        <v>84</v>
      </c>
      <c r="H262" s="1" t="s">
        <v>101</v>
      </c>
    </row>
    <row r="263" spans="1:8" x14ac:dyDescent="0.3">
      <c r="A263" s="1" t="s">
        <v>273</v>
      </c>
      <c r="B263" s="1">
        <f>-71.9376566330516</f>
        <v>-71.937656633051603</v>
      </c>
      <c r="C263" s="1">
        <v>45.3387138144316</v>
      </c>
      <c r="D263" s="1">
        <v>0</v>
      </c>
      <c r="E263" s="1">
        <v>46</v>
      </c>
      <c r="F263" s="1">
        <v>22</v>
      </c>
      <c r="G263" s="1">
        <f t="shared" si="4"/>
        <v>68</v>
      </c>
      <c r="H263" s="1" t="s">
        <v>101</v>
      </c>
    </row>
    <row r="264" spans="1:8" x14ac:dyDescent="0.3">
      <c r="A264" s="1" t="s">
        <v>274</v>
      </c>
      <c r="B264" s="1">
        <f>-71.9271834179704</f>
        <v>-71.927183417970397</v>
      </c>
      <c r="C264" s="1">
        <v>45.357382016670101</v>
      </c>
      <c r="D264" s="1">
        <v>0</v>
      </c>
      <c r="E264" s="1">
        <v>43</v>
      </c>
      <c r="F264" s="1">
        <v>11</v>
      </c>
      <c r="G264" s="1">
        <f t="shared" si="4"/>
        <v>54</v>
      </c>
      <c r="H264" s="1" t="s">
        <v>101</v>
      </c>
    </row>
    <row r="265" spans="1:8" x14ac:dyDescent="0.3">
      <c r="A265" s="1" t="s">
        <v>275</v>
      </c>
      <c r="B265" s="1">
        <f>-71.8204955233676</f>
        <v>-71.820495523367597</v>
      </c>
      <c r="C265" s="1">
        <v>45.291585002414898</v>
      </c>
      <c r="D265" s="1">
        <v>0</v>
      </c>
      <c r="E265" s="1">
        <v>0</v>
      </c>
      <c r="F265" s="1">
        <v>40</v>
      </c>
      <c r="G265" s="1">
        <f t="shared" si="4"/>
        <v>40</v>
      </c>
      <c r="H265" s="1" t="s">
        <v>101</v>
      </c>
    </row>
    <row r="266" spans="1:8" x14ac:dyDescent="0.3">
      <c r="A266" s="1" t="s">
        <v>276</v>
      </c>
      <c r="B266" s="1">
        <f>-75.771543065928</f>
        <v>-75.771543065928</v>
      </c>
      <c r="C266" s="1">
        <v>48.988822368166801</v>
      </c>
      <c r="D266" s="1">
        <v>0</v>
      </c>
      <c r="E266" s="1">
        <v>12</v>
      </c>
      <c r="F266" s="1">
        <v>17</v>
      </c>
      <c r="G266" s="1">
        <f t="shared" si="4"/>
        <v>29</v>
      </c>
      <c r="H266" s="1" t="s">
        <v>101</v>
      </c>
    </row>
    <row r="267" spans="1:8" x14ac:dyDescent="0.3">
      <c r="A267" s="1" t="s">
        <v>277</v>
      </c>
      <c r="B267" s="1">
        <f>-66.7925333027303</f>
        <v>-66.792533302730305</v>
      </c>
      <c r="C267" s="1">
        <v>50.040175031739203</v>
      </c>
      <c r="D267" s="1">
        <v>79</v>
      </c>
      <c r="E267" s="1">
        <v>0</v>
      </c>
      <c r="F267" s="1">
        <v>0</v>
      </c>
      <c r="G267" s="1">
        <f t="shared" si="4"/>
        <v>79</v>
      </c>
      <c r="H267" s="1" t="s">
        <v>101</v>
      </c>
    </row>
    <row r="268" spans="1:8" x14ac:dyDescent="0.3">
      <c r="A268" s="1" t="s">
        <v>278</v>
      </c>
      <c r="B268" s="1">
        <f>-73.4039776653513</f>
        <v>-73.403977665351306</v>
      </c>
      <c r="C268" s="1">
        <v>46.2849856609526</v>
      </c>
      <c r="D268" s="1">
        <v>0</v>
      </c>
      <c r="E268" s="1">
        <v>0</v>
      </c>
      <c r="F268" s="1">
        <v>129</v>
      </c>
      <c r="G268" s="1">
        <f t="shared" si="4"/>
        <v>129</v>
      </c>
      <c r="H268" s="1" t="s">
        <v>101</v>
      </c>
    </row>
    <row r="269" spans="1:8" x14ac:dyDescent="0.3">
      <c r="A269" s="1" t="s">
        <v>279</v>
      </c>
      <c r="B269" s="1">
        <f>-73.5244634276755</f>
        <v>-73.524463427675499</v>
      </c>
      <c r="C269" s="1">
        <v>45.344850389345602</v>
      </c>
      <c r="D269" s="1">
        <v>0</v>
      </c>
      <c r="E269" s="1">
        <v>0</v>
      </c>
      <c r="F269" s="1">
        <v>93</v>
      </c>
      <c r="G269" s="1">
        <f t="shared" si="4"/>
        <v>93</v>
      </c>
      <c r="H269" s="1" t="s">
        <v>101</v>
      </c>
    </row>
    <row r="270" spans="1:8" x14ac:dyDescent="0.3">
      <c r="A270" s="1" t="s">
        <v>280</v>
      </c>
      <c r="B270" s="1">
        <f>-73.6962658000158</f>
        <v>-73.696265800015794</v>
      </c>
      <c r="C270" s="1">
        <v>45.583916253424597</v>
      </c>
      <c r="D270" s="1">
        <v>0</v>
      </c>
      <c r="E270" s="1">
        <v>0</v>
      </c>
      <c r="F270" s="1">
        <v>154</v>
      </c>
      <c r="G270" s="1">
        <f t="shared" si="4"/>
        <v>154</v>
      </c>
      <c r="H270" s="1" t="s">
        <v>101</v>
      </c>
    </row>
    <row r="271" spans="1:8" x14ac:dyDescent="0.3">
      <c r="A271" s="1" t="s">
        <v>281</v>
      </c>
      <c r="B271" s="1">
        <f>-73.6231180297123</f>
        <v>-73.623118029712302</v>
      </c>
      <c r="C271" s="1">
        <v>45.666839107097502</v>
      </c>
      <c r="D271" s="1">
        <v>0</v>
      </c>
      <c r="E271" s="1">
        <v>0</v>
      </c>
      <c r="F271" s="1">
        <v>59</v>
      </c>
      <c r="G271" s="1">
        <f t="shared" si="4"/>
        <v>59</v>
      </c>
      <c r="H271" s="1" t="s">
        <v>101</v>
      </c>
    </row>
    <row r="272" spans="1:8" x14ac:dyDescent="0.3">
      <c r="A272" s="1" t="s">
        <v>282</v>
      </c>
      <c r="B272" s="1">
        <f>-73.6836798104161</f>
        <v>-73.683679810416095</v>
      </c>
      <c r="C272" s="1">
        <v>45.643025504748699</v>
      </c>
      <c r="D272" s="1">
        <v>0</v>
      </c>
      <c r="E272" s="1">
        <v>0</v>
      </c>
      <c r="F272" s="1">
        <v>146</v>
      </c>
      <c r="G272" s="1">
        <f t="shared" si="4"/>
        <v>146</v>
      </c>
      <c r="H272" s="1" t="s">
        <v>101</v>
      </c>
    </row>
    <row r="273" spans="1:8" x14ac:dyDescent="0.3">
      <c r="A273" s="1" t="s">
        <v>283</v>
      </c>
      <c r="B273" s="1">
        <f>-74.3461037612269</f>
        <v>-74.3461037612269</v>
      </c>
      <c r="C273" s="1">
        <v>45.262667015837899</v>
      </c>
      <c r="D273" s="1">
        <v>0</v>
      </c>
      <c r="E273" s="1">
        <v>0</v>
      </c>
      <c r="F273" s="1">
        <v>258</v>
      </c>
      <c r="G273" s="1">
        <f t="shared" si="4"/>
        <v>258</v>
      </c>
      <c r="H273" s="1" t="s">
        <v>101</v>
      </c>
    </row>
    <row r="274" spans="1:8" x14ac:dyDescent="0.3">
      <c r="A274" s="1" t="s">
        <v>284</v>
      </c>
      <c r="B274" s="1">
        <f>-74.176644112784</f>
        <v>-74.176644112784004</v>
      </c>
      <c r="C274" s="1">
        <v>45.384080457520803</v>
      </c>
      <c r="D274" s="1">
        <v>0</v>
      </c>
      <c r="E274" s="1">
        <v>153</v>
      </c>
      <c r="F274" s="1">
        <v>0</v>
      </c>
      <c r="G274" s="1">
        <f t="shared" si="4"/>
        <v>153</v>
      </c>
      <c r="H274" s="1" t="s">
        <v>101</v>
      </c>
    </row>
    <row r="275" spans="1:8" x14ac:dyDescent="0.3">
      <c r="A275" s="1" t="s">
        <v>285</v>
      </c>
      <c r="B275" s="1">
        <f>-74.1598079901942</f>
        <v>-74.159807990194196</v>
      </c>
      <c r="C275" s="1">
        <v>45.417739743200002</v>
      </c>
      <c r="D275" s="1">
        <v>0</v>
      </c>
      <c r="E275" s="1">
        <v>0</v>
      </c>
      <c r="F275" s="1">
        <v>37</v>
      </c>
      <c r="G275" s="1">
        <f t="shared" si="4"/>
        <v>37</v>
      </c>
      <c r="H275" s="1" t="s">
        <v>101</v>
      </c>
    </row>
    <row r="276" spans="1:8" x14ac:dyDescent="0.3">
      <c r="A276" s="1" t="s">
        <v>286</v>
      </c>
      <c r="B276" s="1">
        <f>-75.8443508441156</f>
        <v>-75.844350844115596</v>
      </c>
      <c r="C276" s="1">
        <v>45.433506296980603</v>
      </c>
      <c r="D276" s="1">
        <v>0</v>
      </c>
      <c r="E276" s="1">
        <v>0</v>
      </c>
      <c r="F276" s="1">
        <v>109</v>
      </c>
      <c r="G276" s="1">
        <f t="shared" si="4"/>
        <v>109</v>
      </c>
      <c r="H276" s="1" t="s">
        <v>101</v>
      </c>
    </row>
    <row r="277" spans="1:8" x14ac:dyDescent="0.3">
      <c r="A277" s="1" t="s">
        <v>287</v>
      </c>
      <c r="B277" s="1">
        <f>-74.7631513707975</f>
        <v>-74.763151370797502</v>
      </c>
      <c r="C277" s="1">
        <v>45.598293513372298</v>
      </c>
      <c r="D277" s="1">
        <v>0</v>
      </c>
      <c r="E277" s="1">
        <v>45</v>
      </c>
      <c r="F277" s="1">
        <v>0</v>
      </c>
      <c r="G277" s="1">
        <f t="shared" si="4"/>
        <v>45</v>
      </c>
      <c r="H277" s="1" t="s">
        <v>102</v>
      </c>
    </row>
    <row r="278" spans="1:8" x14ac:dyDescent="0.3">
      <c r="A278" s="1" t="s">
        <v>288</v>
      </c>
      <c r="B278" s="1">
        <f>-75.9848710600459</f>
        <v>-75.984871060045904</v>
      </c>
      <c r="C278" s="1">
        <v>45.231253425497798</v>
      </c>
      <c r="D278" s="1">
        <v>0</v>
      </c>
      <c r="E278" s="1">
        <v>0</v>
      </c>
      <c r="F278" s="1">
        <v>128</v>
      </c>
      <c r="G278" s="1">
        <f t="shared" si="4"/>
        <v>128</v>
      </c>
      <c r="H278" s="1" t="s">
        <v>102</v>
      </c>
    </row>
    <row r="279" spans="1:8" x14ac:dyDescent="0.3">
      <c r="A279" s="1" t="s">
        <v>289</v>
      </c>
      <c r="B279" s="1">
        <f>-76.850372080872</f>
        <v>-76.850372080872006</v>
      </c>
      <c r="C279" s="1">
        <v>44.306005168752797</v>
      </c>
      <c r="D279" s="1">
        <v>0</v>
      </c>
      <c r="E279" s="1">
        <v>20</v>
      </c>
      <c r="F279" s="1">
        <v>0</v>
      </c>
      <c r="G279" s="1">
        <f t="shared" si="4"/>
        <v>20</v>
      </c>
      <c r="H279" s="1" t="s">
        <v>102</v>
      </c>
    </row>
    <row r="280" spans="1:8" x14ac:dyDescent="0.3">
      <c r="A280" s="1" t="s">
        <v>290</v>
      </c>
      <c r="B280" s="1">
        <f>-77.53615486478</f>
        <v>-77.536154864780002</v>
      </c>
      <c r="C280" s="1">
        <v>44.494446619677497</v>
      </c>
      <c r="D280" s="1">
        <v>0</v>
      </c>
      <c r="E280" s="1">
        <v>0</v>
      </c>
      <c r="F280" s="1">
        <v>46</v>
      </c>
      <c r="G280" s="1">
        <f t="shared" si="4"/>
        <v>46</v>
      </c>
      <c r="H280" s="1" t="s">
        <v>102</v>
      </c>
    </row>
    <row r="281" spans="1:8" x14ac:dyDescent="0.3">
      <c r="A281" s="1" t="s">
        <v>291</v>
      </c>
      <c r="B281" s="1">
        <f>-77.6568473933763</f>
        <v>-77.656847393376296</v>
      </c>
      <c r="C281" s="1">
        <v>44.473371827202001</v>
      </c>
      <c r="D281" s="1">
        <v>0</v>
      </c>
      <c r="E281" s="1">
        <v>257</v>
      </c>
      <c r="F281" s="1">
        <v>35</v>
      </c>
      <c r="G281" s="1">
        <f t="shared" si="4"/>
        <v>292</v>
      </c>
      <c r="H281" s="1" t="s">
        <v>102</v>
      </c>
    </row>
    <row r="282" spans="1:8" x14ac:dyDescent="0.3">
      <c r="A282" s="1" t="s">
        <v>292</v>
      </c>
      <c r="B282" s="1">
        <f>-78.0746243295476</f>
        <v>-78.074624329547603</v>
      </c>
      <c r="C282" s="1">
        <v>44.310591053214402</v>
      </c>
      <c r="D282" s="1">
        <v>0</v>
      </c>
      <c r="E282" s="1">
        <v>0</v>
      </c>
      <c r="F282" s="1">
        <v>49</v>
      </c>
      <c r="G282" s="1">
        <f t="shared" si="4"/>
        <v>49</v>
      </c>
      <c r="H282" s="1" t="s">
        <v>102</v>
      </c>
    </row>
    <row r="283" spans="1:8" x14ac:dyDescent="0.3">
      <c r="A283" s="1" t="s">
        <v>293</v>
      </c>
      <c r="B283" s="1">
        <f>-78.5918427067363</f>
        <v>-78.591842706736301</v>
      </c>
      <c r="C283" s="1">
        <v>44.212524524545302</v>
      </c>
      <c r="D283" s="1">
        <v>0</v>
      </c>
      <c r="E283" s="1">
        <v>0</v>
      </c>
      <c r="F283" s="1">
        <v>50</v>
      </c>
      <c r="G283" s="1">
        <f t="shared" si="4"/>
        <v>50</v>
      </c>
      <c r="H283" s="1" t="s">
        <v>102</v>
      </c>
    </row>
    <row r="284" spans="1:8" x14ac:dyDescent="0.3">
      <c r="A284" s="1" t="s">
        <v>294</v>
      </c>
      <c r="B284" s="1">
        <f>-78.6933108848911</f>
        <v>-78.693310884891105</v>
      </c>
      <c r="C284" s="1">
        <v>43.885841531561198</v>
      </c>
      <c r="D284" s="1">
        <v>0</v>
      </c>
      <c r="E284" s="1">
        <v>0</v>
      </c>
      <c r="F284" s="1">
        <v>100</v>
      </c>
      <c r="G284" s="1">
        <f t="shared" si="4"/>
        <v>100</v>
      </c>
      <c r="H284" s="1" t="s">
        <v>102</v>
      </c>
    </row>
    <row r="285" spans="1:8" x14ac:dyDescent="0.3">
      <c r="A285" s="1" t="s">
        <v>295</v>
      </c>
      <c r="B285" s="1">
        <f>-79.1148418579119</f>
        <v>-79.114841857911898</v>
      </c>
      <c r="C285" s="1">
        <v>44.039313881971999</v>
      </c>
      <c r="D285" s="1">
        <v>0</v>
      </c>
      <c r="E285" s="1">
        <v>0</v>
      </c>
      <c r="F285" s="1">
        <v>260</v>
      </c>
      <c r="G285" s="1">
        <f t="shared" si="4"/>
        <v>260</v>
      </c>
      <c r="H285" s="1" t="s">
        <v>102</v>
      </c>
    </row>
    <row r="286" spans="1:8" x14ac:dyDescent="0.3">
      <c r="A286" s="1" t="s">
        <v>296</v>
      </c>
      <c r="B286" s="1">
        <f>-79.252488676571</f>
        <v>-79.252488676571005</v>
      </c>
      <c r="C286" s="1">
        <v>44.023343085490801</v>
      </c>
      <c r="D286" s="1">
        <v>0</v>
      </c>
      <c r="E286" s="1">
        <v>0</v>
      </c>
      <c r="F286" s="1">
        <v>226</v>
      </c>
      <c r="G286" s="1">
        <f t="shared" si="4"/>
        <v>226</v>
      </c>
      <c r="H286" s="1" t="s">
        <v>102</v>
      </c>
    </row>
    <row r="287" spans="1:8" x14ac:dyDescent="0.3">
      <c r="A287" s="1" t="s">
        <v>297</v>
      </c>
      <c r="B287" s="1">
        <f>-79.9669558449896</f>
        <v>-79.966955844989599</v>
      </c>
      <c r="C287" s="1">
        <v>43.5377125230766</v>
      </c>
      <c r="D287" s="1">
        <v>0</v>
      </c>
      <c r="E287" s="1">
        <v>0</v>
      </c>
      <c r="F287" s="1">
        <v>448</v>
      </c>
      <c r="G287" s="1">
        <f t="shared" si="4"/>
        <v>448</v>
      </c>
      <c r="H287" s="1" t="s">
        <v>102</v>
      </c>
    </row>
    <row r="288" spans="1:8" x14ac:dyDescent="0.3">
      <c r="A288" s="1" t="s">
        <v>298</v>
      </c>
      <c r="B288" s="1">
        <f>-80.1589240984987</f>
        <v>-80.158924098498701</v>
      </c>
      <c r="C288" s="1">
        <v>43.445038384028898</v>
      </c>
      <c r="D288" s="1">
        <v>0</v>
      </c>
      <c r="E288" s="1">
        <v>0</v>
      </c>
      <c r="F288" s="1">
        <v>415</v>
      </c>
      <c r="G288" s="1">
        <f t="shared" si="4"/>
        <v>415</v>
      </c>
      <c r="H288" s="1" t="s">
        <v>102</v>
      </c>
    </row>
    <row r="289" spans="1:8" x14ac:dyDescent="0.3">
      <c r="A289" s="1" t="s">
        <v>299</v>
      </c>
      <c r="B289" s="1">
        <f>-80.4114404237871</f>
        <v>-80.411440423787099</v>
      </c>
      <c r="C289" s="1">
        <v>43.461465093971803</v>
      </c>
      <c r="D289" s="1">
        <v>0</v>
      </c>
      <c r="E289" s="1">
        <v>0</v>
      </c>
      <c r="F289" s="1">
        <v>55</v>
      </c>
      <c r="G289" s="1">
        <f t="shared" si="4"/>
        <v>55</v>
      </c>
      <c r="H289" s="1" t="s">
        <v>102</v>
      </c>
    </row>
    <row r="290" spans="1:8" x14ac:dyDescent="0.3">
      <c r="A290" s="1" t="s">
        <v>300</v>
      </c>
      <c r="B290" s="1">
        <f>-80.3948659845018</f>
        <v>-80.394865984501806</v>
      </c>
      <c r="C290" s="1">
        <v>43.329688695480002</v>
      </c>
      <c r="D290" s="1">
        <v>0</v>
      </c>
      <c r="E290" s="1">
        <v>0</v>
      </c>
      <c r="F290" s="1">
        <v>118</v>
      </c>
      <c r="G290" s="1">
        <f t="shared" si="4"/>
        <v>118</v>
      </c>
      <c r="H290" s="1" t="s">
        <v>102</v>
      </c>
    </row>
    <row r="291" spans="1:8" x14ac:dyDescent="0.3">
      <c r="A291" s="1" t="s">
        <v>301</v>
      </c>
      <c r="B291" s="1">
        <f>-80.3705955108052</f>
        <v>-80.370595510805202</v>
      </c>
      <c r="C291" s="1">
        <v>43.355535741240999</v>
      </c>
      <c r="D291" s="1">
        <v>0</v>
      </c>
      <c r="E291" s="1">
        <v>0</v>
      </c>
      <c r="F291" s="1">
        <v>208</v>
      </c>
      <c r="G291" s="1">
        <f t="shared" si="4"/>
        <v>208</v>
      </c>
      <c r="H291" s="1" t="s">
        <v>102</v>
      </c>
    </row>
    <row r="292" spans="1:8" x14ac:dyDescent="0.3">
      <c r="A292" s="1" t="s">
        <v>302</v>
      </c>
      <c r="B292" s="1">
        <f>-80.2999785745257</f>
        <v>-80.299978574525696</v>
      </c>
      <c r="C292" s="1">
        <v>43.323960688608501</v>
      </c>
      <c r="D292" s="1">
        <v>0</v>
      </c>
      <c r="E292" s="1">
        <v>0</v>
      </c>
      <c r="F292" s="1">
        <v>56</v>
      </c>
      <c r="G292" s="1">
        <f t="shared" si="4"/>
        <v>56</v>
      </c>
      <c r="H292" s="1" t="s">
        <v>102</v>
      </c>
    </row>
    <row r="293" spans="1:8" x14ac:dyDescent="0.3">
      <c r="A293" s="1" t="s">
        <v>303</v>
      </c>
      <c r="B293" s="1">
        <f>-80.4094004674178</f>
        <v>-80.409400467417797</v>
      </c>
      <c r="C293" s="1">
        <v>43.180116261760702</v>
      </c>
      <c r="D293" s="1">
        <v>0</v>
      </c>
      <c r="E293" s="1">
        <v>0</v>
      </c>
      <c r="F293" s="1">
        <v>62</v>
      </c>
      <c r="G293" s="1">
        <f t="shared" si="4"/>
        <v>62</v>
      </c>
      <c r="H293" s="1" t="s">
        <v>102</v>
      </c>
    </row>
    <row r="294" spans="1:8" x14ac:dyDescent="0.3">
      <c r="A294" s="1" t="s">
        <v>304</v>
      </c>
      <c r="B294" s="1">
        <f>-80.0142211223727</f>
        <v>-80.014221122372703</v>
      </c>
      <c r="C294" s="1">
        <v>43.314831188415397</v>
      </c>
      <c r="D294" s="1">
        <v>0</v>
      </c>
      <c r="E294" s="1">
        <v>0</v>
      </c>
      <c r="F294" s="1">
        <v>435</v>
      </c>
      <c r="G294" s="1">
        <f t="shared" si="4"/>
        <v>435</v>
      </c>
      <c r="H294" s="1" t="s">
        <v>102</v>
      </c>
    </row>
    <row r="295" spans="1:8" x14ac:dyDescent="0.3">
      <c r="A295" s="1" t="s">
        <v>305</v>
      </c>
      <c r="B295" s="1">
        <f>-79.2981534449841</f>
        <v>-79.298153444984095</v>
      </c>
      <c r="C295" s="1">
        <v>42.8959844558198</v>
      </c>
      <c r="D295" s="1">
        <v>0</v>
      </c>
      <c r="E295" s="1">
        <v>0</v>
      </c>
      <c r="F295" s="1">
        <v>113</v>
      </c>
      <c r="G295" s="1">
        <f t="shared" si="4"/>
        <v>113</v>
      </c>
      <c r="H295" s="1" t="s">
        <v>102</v>
      </c>
    </row>
    <row r="296" spans="1:8" x14ac:dyDescent="0.3">
      <c r="A296" s="1" t="s">
        <v>306</v>
      </c>
      <c r="B296" s="1">
        <f>-79.0098015157443</f>
        <v>-79.0098015157443</v>
      </c>
      <c r="C296" s="1">
        <v>42.922481103861003</v>
      </c>
      <c r="D296" s="1">
        <v>0</v>
      </c>
      <c r="E296" s="1">
        <v>0</v>
      </c>
      <c r="F296" s="1">
        <v>63</v>
      </c>
      <c r="G296" s="1">
        <f t="shared" si="4"/>
        <v>63</v>
      </c>
      <c r="H296" s="1" t="s">
        <v>102</v>
      </c>
    </row>
    <row r="297" spans="1:8" x14ac:dyDescent="0.3">
      <c r="A297" s="1" t="s">
        <v>307</v>
      </c>
      <c r="B297" s="1">
        <f>-79.1666867259592</f>
        <v>-79.166686725959195</v>
      </c>
      <c r="C297" s="1">
        <v>43.126555697873201</v>
      </c>
      <c r="D297" s="1">
        <v>0</v>
      </c>
      <c r="E297" s="1">
        <v>0</v>
      </c>
      <c r="F297" s="1">
        <v>233</v>
      </c>
      <c r="G297" s="1">
        <f t="shared" si="4"/>
        <v>233</v>
      </c>
      <c r="H297" s="1" t="s">
        <v>102</v>
      </c>
    </row>
    <row r="298" spans="1:8" x14ac:dyDescent="0.3">
      <c r="A298" s="1" t="s">
        <v>308</v>
      </c>
      <c r="B298" s="1">
        <f>-79.0720761906611</f>
        <v>-79.072076190661093</v>
      </c>
      <c r="C298" s="1">
        <v>43.148457008591002</v>
      </c>
      <c r="D298" s="1">
        <v>333</v>
      </c>
      <c r="E298" s="1">
        <v>0</v>
      </c>
      <c r="F298" s="1">
        <v>0</v>
      </c>
      <c r="G298" s="1">
        <f t="shared" si="4"/>
        <v>333</v>
      </c>
      <c r="H298" s="1" t="s">
        <v>102</v>
      </c>
    </row>
    <row r="299" spans="1:8" x14ac:dyDescent="0.3">
      <c r="A299" s="1" t="s">
        <v>309</v>
      </c>
      <c r="B299" s="1">
        <f>-79.4029000986639</f>
        <v>-79.402900098663906</v>
      </c>
      <c r="C299" s="1">
        <v>43.1358244862082</v>
      </c>
      <c r="D299" s="1">
        <v>0</v>
      </c>
      <c r="E299" s="1">
        <v>0</v>
      </c>
      <c r="F299" s="1">
        <v>69</v>
      </c>
      <c r="G299" s="1">
        <f t="shared" si="4"/>
        <v>69</v>
      </c>
      <c r="H299" s="1" t="s">
        <v>102</v>
      </c>
    </row>
    <row r="300" spans="1:8" x14ac:dyDescent="0.3">
      <c r="A300" s="1" t="s">
        <v>310</v>
      </c>
      <c r="B300" s="1">
        <f>-79.4895183147988</f>
        <v>-79.489518314798801</v>
      </c>
      <c r="C300" s="1">
        <v>43.112490239586599</v>
      </c>
      <c r="D300" s="1">
        <v>0</v>
      </c>
      <c r="E300" s="1">
        <v>0</v>
      </c>
      <c r="F300" s="1">
        <v>63</v>
      </c>
      <c r="G300" s="1">
        <f t="shared" si="4"/>
        <v>63</v>
      </c>
      <c r="H300" s="1" t="s">
        <v>102</v>
      </c>
    </row>
    <row r="301" spans="1:8" x14ac:dyDescent="0.3">
      <c r="A301" s="1" t="s">
        <v>311</v>
      </c>
      <c r="B301" s="1">
        <f>-79.9300414278646</f>
        <v>-79.930041427864595</v>
      </c>
      <c r="C301" s="1">
        <v>42.943356776430299</v>
      </c>
      <c r="D301" s="1">
        <v>0</v>
      </c>
      <c r="E301" s="1">
        <v>0</v>
      </c>
      <c r="F301" s="1">
        <v>139</v>
      </c>
      <c r="G301" s="1">
        <f t="shared" si="4"/>
        <v>139</v>
      </c>
      <c r="H301" s="1" t="s">
        <v>102</v>
      </c>
    </row>
    <row r="302" spans="1:8" x14ac:dyDescent="0.3">
      <c r="A302" s="1" t="s">
        <v>312</v>
      </c>
      <c r="B302" s="1">
        <f>-80.0349533097317</f>
        <v>-80.034953309731705</v>
      </c>
      <c r="C302" s="1">
        <v>42.963641280500298</v>
      </c>
      <c r="D302" s="1">
        <v>0</v>
      </c>
      <c r="E302" s="1">
        <v>0</v>
      </c>
      <c r="F302" s="1">
        <v>52</v>
      </c>
      <c r="G302" s="1">
        <f t="shared" si="4"/>
        <v>52</v>
      </c>
      <c r="H302" s="1" t="s">
        <v>102</v>
      </c>
    </row>
    <row r="303" spans="1:8" x14ac:dyDescent="0.3">
      <c r="A303" s="1" t="s">
        <v>167</v>
      </c>
      <c r="B303" s="1">
        <f>-83.0924642542658</f>
        <v>-83.092464254265806</v>
      </c>
      <c r="C303" s="1">
        <v>42.119219430490197</v>
      </c>
      <c r="D303" s="1">
        <v>103</v>
      </c>
      <c r="E303" s="1">
        <v>0</v>
      </c>
      <c r="F303" s="1">
        <v>137</v>
      </c>
      <c r="G303" s="1">
        <f t="shared" si="4"/>
        <v>240</v>
      </c>
      <c r="H303" s="1" t="s">
        <v>102</v>
      </c>
    </row>
    <row r="304" spans="1:8" x14ac:dyDescent="0.3">
      <c r="A304" s="1" t="s">
        <v>168</v>
      </c>
      <c r="B304" s="1">
        <f>-83.0084490995719</f>
        <v>-83.008449099571905</v>
      </c>
      <c r="C304" s="1">
        <v>42.157348310111203</v>
      </c>
      <c r="D304" s="1">
        <v>0</v>
      </c>
      <c r="E304" s="1">
        <v>0</v>
      </c>
      <c r="F304" s="1">
        <v>99</v>
      </c>
      <c r="G304" s="1">
        <f t="shared" si="4"/>
        <v>99</v>
      </c>
      <c r="H304" s="1" t="s">
        <v>102</v>
      </c>
    </row>
    <row r="305" spans="1:8" x14ac:dyDescent="0.3">
      <c r="A305" s="1" t="s">
        <v>169</v>
      </c>
      <c r="B305" s="1">
        <f>-82.8654002337143</f>
        <v>-82.865400233714297</v>
      </c>
      <c r="C305" s="1">
        <v>42.089976826550398</v>
      </c>
      <c r="D305" s="1">
        <v>0</v>
      </c>
      <c r="E305" s="1">
        <v>60</v>
      </c>
      <c r="F305" s="1">
        <v>0</v>
      </c>
      <c r="G305" s="1">
        <f t="shared" si="4"/>
        <v>60</v>
      </c>
      <c r="H305" s="1" t="s">
        <v>102</v>
      </c>
    </row>
    <row r="306" spans="1:8" x14ac:dyDescent="0.3">
      <c r="A306" s="1" t="s">
        <v>170</v>
      </c>
      <c r="B306" s="1">
        <f>-82.6473965346079</f>
        <v>-82.647396534607907</v>
      </c>
      <c r="C306" s="1">
        <v>42.090459513820903</v>
      </c>
      <c r="D306" s="1">
        <v>0</v>
      </c>
      <c r="E306" s="1">
        <v>0</v>
      </c>
      <c r="F306" s="1">
        <v>54</v>
      </c>
      <c r="G306" s="1">
        <f t="shared" si="4"/>
        <v>54</v>
      </c>
      <c r="H306" s="1" t="s">
        <v>102</v>
      </c>
    </row>
    <row r="307" spans="1:8" x14ac:dyDescent="0.3">
      <c r="A307" s="1" t="s">
        <v>171</v>
      </c>
      <c r="B307" s="1">
        <f>-81.0469460336644</f>
        <v>-81.046946033664398</v>
      </c>
      <c r="C307" s="1">
        <v>43.040172780309902</v>
      </c>
      <c r="D307" s="1">
        <v>0</v>
      </c>
      <c r="E307" s="1">
        <v>0</v>
      </c>
      <c r="F307" s="1">
        <v>139</v>
      </c>
      <c r="G307" s="1">
        <f t="shared" si="4"/>
        <v>139</v>
      </c>
      <c r="H307" s="1" t="s">
        <v>102</v>
      </c>
    </row>
    <row r="308" spans="1:8" x14ac:dyDescent="0.3">
      <c r="A308" s="1" t="s">
        <v>172</v>
      </c>
      <c r="B308" s="1">
        <f>-80.8579957233689</f>
        <v>-80.857995723368902</v>
      </c>
      <c r="C308" s="1">
        <v>43.066740119050401</v>
      </c>
      <c r="D308" s="1">
        <v>0</v>
      </c>
      <c r="E308" s="1">
        <v>0</v>
      </c>
      <c r="F308" s="1">
        <v>329</v>
      </c>
      <c r="G308" s="1">
        <f t="shared" si="4"/>
        <v>329</v>
      </c>
      <c r="H308" s="1" t="s">
        <v>102</v>
      </c>
    </row>
    <row r="309" spans="1:8" x14ac:dyDescent="0.3">
      <c r="A309" s="1" t="s">
        <v>173</v>
      </c>
      <c r="B309" s="1">
        <f>-80.9006811299866</f>
        <v>-80.900681129986594</v>
      </c>
      <c r="C309" s="1">
        <v>43.101346149351897</v>
      </c>
      <c r="D309" s="1">
        <v>0</v>
      </c>
      <c r="E309" s="1">
        <v>0</v>
      </c>
      <c r="F309" s="1">
        <v>127</v>
      </c>
      <c r="G309" s="1">
        <f t="shared" si="4"/>
        <v>127</v>
      </c>
      <c r="H309" s="1" t="s">
        <v>102</v>
      </c>
    </row>
    <row r="310" spans="1:8" x14ac:dyDescent="0.3">
      <c r="A310" s="1" t="s">
        <v>174</v>
      </c>
      <c r="B310" s="1">
        <f>-81.1622482834874</f>
        <v>-81.162248283487401</v>
      </c>
      <c r="C310" s="1">
        <v>43.244657898115101</v>
      </c>
      <c r="D310" s="1">
        <v>0</v>
      </c>
      <c r="E310" s="1">
        <v>0</v>
      </c>
      <c r="F310" s="1">
        <v>115</v>
      </c>
      <c r="G310" s="1">
        <f t="shared" si="4"/>
        <v>115</v>
      </c>
      <c r="H310" s="1" t="s">
        <v>102</v>
      </c>
    </row>
    <row r="311" spans="1:8" x14ac:dyDescent="0.3">
      <c r="A311" s="1" t="s">
        <v>313</v>
      </c>
      <c r="B311" s="1">
        <f>-80.7629243001307</f>
        <v>-80.762924300130706</v>
      </c>
      <c r="C311" s="1">
        <v>43.104097283354498</v>
      </c>
      <c r="D311" s="1">
        <v>0</v>
      </c>
      <c r="E311" s="1">
        <v>0</v>
      </c>
      <c r="F311" s="1">
        <v>68</v>
      </c>
      <c r="G311" s="1">
        <f t="shared" si="4"/>
        <v>68</v>
      </c>
      <c r="H311" s="1" t="s">
        <v>102</v>
      </c>
    </row>
    <row r="312" spans="1:8" x14ac:dyDescent="0.3">
      <c r="A312" s="1" t="s">
        <v>314</v>
      </c>
      <c r="B312" s="1">
        <f>-85.9200559666151</f>
        <v>-85.920055966615095</v>
      </c>
      <c r="C312" s="1">
        <v>48.697168744960202</v>
      </c>
      <c r="D312" s="1">
        <v>448</v>
      </c>
      <c r="E312" s="1">
        <v>147</v>
      </c>
      <c r="F312" s="1">
        <v>41</v>
      </c>
      <c r="G312" s="1">
        <f t="shared" si="4"/>
        <v>636</v>
      </c>
      <c r="H312" s="1" t="s">
        <v>102</v>
      </c>
    </row>
    <row r="313" spans="1:8" x14ac:dyDescent="0.3">
      <c r="A313" s="1" t="s">
        <v>315</v>
      </c>
      <c r="B313" s="1">
        <f>-87.1050578650049</f>
        <v>-87.105057865004895</v>
      </c>
      <c r="C313" s="1">
        <v>48.799456287244098</v>
      </c>
      <c r="D313" s="1">
        <v>34</v>
      </c>
      <c r="E313" s="1">
        <v>50</v>
      </c>
      <c r="F313" s="1">
        <v>0</v>
      </c>
      <c r="G313" s="1">
        <f t="shared" si="4"/>
        <v>84</v>
      </c>
      <c r="H313" s="1" t="s">
        <v>102</v>
      </c>
    </row>
    <row r="314" spans="1:8" x14ac:dyDescent="0.3">
      <c r="A314" s="1" t="s">
        <v>316</v>
      </c>
      <c r="B314" s="1">
        <f>-85.7747262150821</f>
        <v>-85.774726215082097</v>
      </c>
      <c r="C314" s="1">
        <v>49.160124595011403</v>
      </c>
      <c r="D314" s="1">
        <v>342</v>
      </c>
      <c r="E314" s="1">
        <v>55</v>
      </c>
      <c r="F314" s="1">
        <v>0</v>
      </c>
      <c r="G314" s="1">
        <f t="shared" si="4"/>
        <v>397</v>
      </c>
      <c r="H314" s="1" t="s">
        <v>102</v>
      </c>
    </row>
    <row r="315" spans="1:8" x14ac:dyDescent="0.3">
      <c r="A315" s="1" t="s">
        <v>317</v>
      </c>
      <c r="B315" s="1">
        <f>-74.7463206231185</f>
        <v>-74.746320623118507</v>
      </c>
      <c r="C315" s="1">
        <v>45.082792837931002</v>
      </c>
      <c r="D315" s="1">
        <v>0</v>
      </c>
      <c r="E315" s="1">
        <v>0</v>
      </c>
      <c r="F315" s="1">
        <v>78</v>
      </c>
      <c r="G315" s="1">
        <f t="shared" si="4"/>
        <v>78</v>
      </c>
      <c r="H315" s="1" t="s">
        <v>102</v>
      </c>
    </row>
    <row r="316" spans="1:8" x14ac:dyDescent="0.3">
      <c r="A316" s="1" t="s">
        <v>318</v>
      </c>
      <c r="B316" s="1">
        <f>-84.4422834191501</f>
        <v>-84.442283419150101</v>
      </c>
      <c r="C316" s="1">
        <v>48.306794469389096</v>
      </c>
      <c r="D316" s="1">
        <v>70</v>
      </c>
      <c r="E316" s="1">
        <v>52</v>
      </c>
      <c r="F316" s="1">
        <v>0</v>
      </c>
      <c r="G316" s="1">
        <f t="shared" si="4"/>
        <v>122</v>
      </c>
      <c r="H316" s="1" t="s">
        <v>102</v>
      </c>
    </row>
    <row r="317" spans="1:8" x14ac:dyDescent="0.3">
      <c r="A317" s="1" t="s">
        <v>319</v>
      </c>
      <c r="B317" s="1">
        <f>-75.2074416103644</f>
        <v>-75.207441610364398</v>
      </c>
      <c r="C317" s="1">
        <v>45.233601257382098</v>
      </c>
      <c r="D317" s="1">
        <v>0</v>
      </c>
      <c r="E317" s="1">
        <v>0</v>
      </c>
      <c r="F317" s="1">
        <v>48</v>
      </c>
      <c r="G317" s="1">
        <f t="shared" si="4"/>
        <v>48</v>
      </c>
      <c r="H317" s="1" t="s">
        <v>102</v>
      </c>
    </row>
    <row r="318" spans="1:8" x14ac:dyDescent="0.3">
      <c r="A318" s="1" t="s">
        <v>320</v>
      </c>
      <c r="B318" s="1">
        <f>-75.5726458168434</f>
        <v>-75.572645816843405</v>
      </c>
      <c r="C318" s="1">
        <v>45.303925023165</v>
      </c>
      <c r="D318" s="1">
        <v>0</v>
      </c>
      <c r="E318" s="1">
        <v>0</v>
      </c>
      <c r="F318" s="1">
        <v>295</v>
      </c>
      <c r="G318" s="1">
        <f t="shared" si="4"/>
        <v>295</v>
      </c>
      <c r="H318" s="1" t="s">
        <v>102</v>
      </c>
    </row>
    <row r="319" spans="1:8" x14ac:dyDescent="0.3">
      <c r="A319" s="1" t="s">
        <v>321</v>
      </c>
      <c r="B319" s="1">
        <f>-75.5469249674584</f>
        <v>-75.546924967458395</v>
      </c>
      <c r="C319" s="1">
        <v>45.069378499931503</v>
      </c>
      <c r="D319" s="1">
        <v>0</v>
      </c>
      <c r="E319" s="1">
        <v>0</v>
      </c>
      <c r="F319" s="1">
        <v>50</v>
      </c>
      <c r="G319" s="1">
        <f t="shared" si="4"/>
        <v>50</v>
      </c>
      <c r="H319" s="1" t="s">
        <v>102</v>
      </c>
    </row>
    <row r="320" spans="1:8" x14ac:dyDescent="0.3">
      <c r="A320" s="1" t="s">
        <v>322</v>
      </c>
      <c r="B320" s="1">
        <f>-75.6191649552156</f>
        <v>-75.619164955215595</v>
      </c>
      <c r="C320" s="1">
        <v>44.976047165270501</v>
      </c>
      <c r="D320" s="1">
        <v>0</v>
      </c>
      <c r="E320" s="1">
        <v>0</v>
      </c>
      <c r="F320" s="1">
        <v>59</v>
      </c>
      <c r="G320" s="1">
        <f t="shared" si="4"/>
        <v>59</v>
      </c>
      <c r="H320" s="1" t="s">
        <v>102</v>
      </c>
    </row>
    <row r="321" spans="1:8" x14ac:dyDescent="0.3">
      <c r="A321" s="1" t="s">
        <v>323</v>
      </c>
      <c r="B321" s="1">
        <f>-75.5664929826068</f>
        <v>-75.566492982606803</v>
      </c>
      <c r="C321" s="1">
        <v>45.446716928026198</v>
      </c>
      <c r="D321" s="1">
        <v>0</v>
      </c>
      <c r="E321" s="1">
        <v>0</v>
      </c>
      <c r="F321" s="1">
        <v>74</v>
      </c>
      <c r="G321" s="1">
        <f t="shared" si="4"/>
        <v>74</v>
      </c>
      <c r="H321" s="1" t="s">
        <v>102</v>
      </c>
    </row>
    <row r="322" spans="1:8" x14ac:dyDescent="0.3">
      <c r="A322" s="1" t="s">
        <v>324</v>
      </c>
      <c r="B322" s="1">
        <f>-75.7728523383329</f>
        <v>-75.772852338332896</v>
      </c>
      <c r="C322" s="1">
        <v>45.235999558576601</v>
      </c>
      <c r="D322" s="1">
        <v>106</v>
      </c>
      <c r="E322" s="1">
        <v>0</v>
      </c>
      <c r="F322" s="1">
        <v>322</v>
      </c>
      <c r="G322" s="1">
        <f t="shared" si="4"/>
        <v>428</v>
      </c>
      <c r="H322" s="1" t="s">
        <v>102</v>
      </c>
    </row>
    <row r="323" spans="1:8" x14ac:dyDescent="0.3">
      <c r="A323" s="1" t="s">
        <v>325</v>
      </c>
      <c r="B323" s="1">
        <f>-75.8198604714411</f>
        <v>-75.819860471441103</v>
      </c>
      <c r="C323" s="1">
        <v>45.278257997588597</v>
      </c>
      <c r="D323" s="1">
        <v>0</v>
      </c>
      <c r="E323" s="1">
        <v>0</v>
      </c>
      <c r="F323" s="1">
        <v>160</v>
      </c>
      <c r="G323" s="1">
        <f t="shared" ref="G323:G386" si="5">SUM(D323:F323)</f>
        <v>160</v>
      </c>
      <c r="H323" s="1" t="s">
        <v>102</v>
      </c>
    </row>
    <row r="324" spans="1:8" x14ac:dyDescent="0.3">
      <c r="A324" s="1" t="s">
        <v>326</v>
      </c>
      <c r="B324" s="1">
        <f>-75.9664346707575</f>
        <v>-75.966434670757494</v>
      </c>
      <c r="C324" s="1">
        <v>45.267912179972903</v>
      </c>
      <c r="D324" s="1">
        <v>14</v>
      </c>
      <c r="E324" s="1">
        <v>0</v>
      </c>
      <c r="F324" s="1">
        <v>43</v>
      </c>
      <c r="G324" s="1">
        <f t="shared" si="5"/>
        <v>57</v>
      </c>
      <c r="H324" s="1" t="s">
        <v>102</v>
      </c>
    </row>
    <row r="325" spans="1:8" x14ac:dyDescent="0.3">
      <c r="A325" s="1" t="s">
        <v>327</v>
      </c>
      <c r="B325" s="1">
        <f>-75.9581837409461</f>
        <v>-75.958183740946097</v>
      </c>
      <c r="C325" s="1">
        <v>45.2919526831026</v>
      </c>
      <c r="D325" s="1">
        <v>0</v>
      </c>
      <c r="E325" s="1">
        <v>0</v>
      </c>
      <c r="F325" s="1">
        <v>89</v>
      </c>
      <c r="G325" s="1">
        <f t="shared" si="5"/>
        <v>89</v>
      </c>
      <c r="H325" s="1" t="s">
        <v>102</v>
      </c>
    </row>
    <row r="326" spans="1:8" x14ac:dyDescent="0.3">
      <c r="A326" s="1" t="s">
        <v>328</v>
      </c>
      <c r="B326" s="1">
        <f>-76.4972646955515</f>
        <v>-76.497264695551493</v>
      </c>
      <c r="C326" s="1">
        <v>45.151457172652798</v>
      </c>
      <c r="D326" s="1">
        <v>0</v>
      </c>
      <c r="E326" s="1">
        <v>76</v>
      </c>
      <c r="F326" s="1">
        <v>23</v>
      </c>
      <c r="G326" s="1">
        <f t="shared" si="5"/>
        <v>99</v>
      </c>
      <c r="H326" s="1" t="s">
        <v>102</v>
      </c>
    </row>
    <row r="327" spans="1:8" x14ac:dyDescent="0.3">
      <c r="A327" s="1" t="s">
        <v>329</v>
      </c>
      <c r="B327" s="1">
        <f>-77.1319309713289</f>
        <v>-77.131930971328899</v>
      </c>
      <c r="C327" s="1">
        <v>44.056410743527699</v>
      </c>
      <c r="D327" s="1">
        <v>0</v>
      </c>
      <c r="E327" s="1">
        <v>0</v>
      </c>
      <c r="F327" s="1">
        <v>102</v>
      </c>
      <c r="G327" s="1">
        <f t="shared" si="5"/>
        <v>102</v>
      </c>
      <c r="H327" s="1" t="s">
        <v>102</v>
      </c>
    </row>
    <row r="328" spans="1:8" x14ac:dyDescent="0.3">
      <c r="A328" s="1" t="s">
        <v>330</v>
      </c>
      <c r="B328" s="1">
        <f>-77.8804726448986</f>
        <v>-77.880472644898603</v>
      </c>
      <c r="C328" s="1">
        <v>43.985539231098898</v>
      </c>
      <c r="D328" s="1">
        <v>0</v>
      </c>
      <c r="E328" s="1">
        <v>0</v>
      </c>
      <c r="F328" s="1">
        <v>152</v>
      </c>
      <c r="G328" s="1">
        <f t="shared" si="5"/>
        <v>152</v>
      </c>
      <c r="H328" s="1" t="s">
        <v>102</v>
      </c>
    </row>
    <row r="329" spans="1:8" x14ac:dyDescent="0.3">
      <c r="A329" s="1" t="s">
        <v>331</v>
      </c>
      <c r="B329" s="1">
        <f>-78.6784915087218</f>
        <v>-78.678491508721805</v>
      </c>
      <c r="C329" s="1">
        <v>44.067011248729301</v>
      </c>
      <c r="D329" s="1">
        <v>0</v>
      </c>
      <c r="E329" s="1">
        <v>0</v>
      </c>
      <c r="F329" s="1">
        <v>463</v>
      </c>
      <c r="G329" s="1">
        <f t="shared" si="5"/>
        <v>463</v>
      </c>
      <c r="H329" s="1" t="s">
        <v>102</v>
      </c>
    </row>
    <row r="330" spans="1:8" x14ac:dyDescent="0.3">
      <c r="A330" s="1" t="s">
        <v>332</v>
      </c>
      <c r="B330" s="1">
        <f>-80.2444617932231</f>
        <v>-80.244461793223095</v>
      </c>
      <c r="C330" s="1">
        <v>44.383605030090401</v>
      </c>
      <c r="D330" s="1">
        <v>0</v>
      </c>
      <c r="E330" s="1">
        <v>0</v>
      </c>
      <c r="F330" s="1">
        <v>50</v>
      </c>
      <c r="G330" s="1">
        <f t="shared" si="5"/>
        <v>50</v>
      </c>
      <c r="H330" s="1" t="s">
        <v>102</v>
      </c>
    </row>
    <row r="331" spans="1:8" x14ac:dyDescent="0.3">
      <c r="A331" s="1" t="s">
        <v>333</v>
      </c>
      <c r="B331" s="1">
        <f>-80.8602296782637</f>
        <v>-80.860229678263707</v>
      </c>
      <c r="C331" s="1">
        <v>44.565389256196703</v>
      </c>
      <c r="D331" s="1">
        <v>0</v>
      </c>
      <c r="E331" s="1">
        <v>0</v>
      </c>
      <c r="F331" s="1">
        <v>56</v>
      </c>
      <c r="G331" s="1">
        <f t="shared" si="5"/>
        <v>56</v>
      </c>
      <c r="H331" s="1" t="s">
        <v>102</v>
      </c>
    </row>
    <row r="332" spans="1:8" x14ac:dyDescent="0.3">
      <c r="A332" s="1" t="s">
        <v>334</v>
      </c>
      <c r="B332" s="1">
        <f>-79.4954461484016</f>
        <v>-79.495446148401598</v>
      </c>
      <c r="C332" s="1">
        <v>44.680599348917298</v>
      </c>
      <c r="D332" s="1">
        <v>0</v>
      </c>
      <c r="E332" s="1">
        <v>0</v>
      </c>
      <c r="F332" s="1">
        <v>230</v>
      </c>
      <c r="G332" s="1">
        <f t="shared" si="5"/>
        <v>230</v>
      </c>
      <c r="H332" s="1" t="s">
        <v>102</v>
      </c>
    </row>
    <row r="333" spans="1:8" x14ac:dyDescent="0.3">
      <c r="A333" s="1" t="s">
        <v>335</v>
      </c>
      <c r="B333" s="1">
        <f>-79.6526962197857</f>
        <v>-79.652696219785696</v>
      </c>
      <c r="C333" s="1">
        <v>44.7706598795627</v>
      </c>
      <c r="D333" s="1">
        <v>0</v>
      </c>
      <c r="E333" s="1">
        <v>0</v>
      </c>
      <c r="F333" s="1">
        <v>109</v>
      </c>
      <c r="G333" s="1">
        <f t="shared" si="5"/>
        <v>109</v>
      </c>
      <c r="H333" s="1" t="s">
        <v>102</v>
      </c>
    </row>
    <row r="334" spans="1:8" x14ac:dyDescent="0.3">
      <c r="A334" s="1" t="s">
        <v>336</v>
      </c>
      <c r="B334" s="1">
        <f>-79.4132467574382</f>
        <v>-79.413246757438202</v>
      </c>
      <c r="C334" s="1">
        <v>44.738569038742597</v>
      </c>
      <c r="D334" s="1">
        <v>0</v>
      </c>
      <c r="E334" s="1">
        <v>0</v>
      </c>
      <c r="F334" s="1">
        <v>84</v>
      </c>
      <c r="G334" s="1">
        <f t="shared" si="5"/>
        <v>84</v>
      </c>
      <c r="H334" s="1" t="s">
        <v>102</v>
      </c>
    </row>
    <row r="335" spans="1:8" x14ac:dyDescent="0.3">
      <c r="A335" s="1" t="s">
        <v>337</v>
      </c>
      <c r="B335" s="1">
        <f>-79.1520663821186</f>
        <v>-79.152066382118605</v>
      </c>
      <c r="C335" s="1">
        <v>44.532256619406503</v>
      </c>
      <c r="D335" s="1">
        <v>0</v>
      </c>
      <c r="E335" s="1">
        <v>0</v>
      </c>
      <c r="F335" s="1">
        <v>108</v>
      </c>
      <c r="G335" s="1">
        <f t="shared" si="5"/>
        <v>108</v>
      </c>
      <c r="H335" s="1" t="s">
        <v>102</v>
      </c>
    </row>
    <row r="336" spans="1:8" x14ac:dyDescent="0.3">
      <c r="A336" s="1" t="s">
        <v>338</v>
      </c>
      <c r="B336" s="1">
        <f>-79.0946871737863</f>
        <v>-79.094687173786298</v>
      </c>
      <c r="C336" s="1">
        <v>44.592053630670001</v>
      </c>
      <c r="D336" s="1">
        <v>0</v>
      </c>
      <c r="E336" s="1">
        <v>0</v>
      </c>
      <c r="F336" s="1">
        <v>296</v>
      </c>
      <c r="G336" s="1">
        <f t="shared" si="5"/>
        <v>296</v>
      </c>
      <c r="H336" s="1" t="s">
        <v>102</v>
      </c>
    </row>
    <row r="337" spans="1:8" x14ac:dyDescent="0.3">
      <c r="A337" s="1" t="s">
        <v>339</v>
      </c>
      <c r="B337" s="1">
        <f>-79.0693056552314</f>
        <v>-79.069305655231403</v>
      </c>
      <c r="C337" s="1">
        <v>44.2274390323511</v>
      </c>
      <c r="D337" s="1">
        <v>0</v>
      </c>
      <c r="E337" s="1">
        <v>0</v>
      </c>
      <c r="F337" s="1">
        <v>275</v>
      </c>
      <c r="G337" s="1">
        <f t="shared" si="5"/>
        <v>275</v>
      </c>
      <c r="H337" s="1" t="s">
        <v>102</v>
      </c>
    </row>
    <row r="338" spans="1:8" x14ac:dyDescent="0.3">
      <c r="A338" s="1" t="s">
        <v>340</v>
      </c>
      <c r="B338" s="1">
        <f>-77.9486430432684</f>
        <v>-77.948643043268405</v>
      </c>
      <c r="C338" s="1">
        <v>44.669660550898897</v>
      </c>
      <c r="D338" s="1">
        <v>0</v>
      </c>
      <c r="E338" s="1">
        <v>234</v>
      </c>
      <c r="F338" s="1">
        <v>0</v>
      </c>
      <c r="G338" s="1">
        <f t="shared" si="5"/>
        <v>234</v>
      </c>
      <c r="H338" s="1" t="s">
        <v>102</v>
      </c>
    </row>
    <row r="339" spans="1:8" x14ac:dyDescent="0.3">
      <c r="A339" s="1" t="s">
        <v>341</v>
      </c>
      <c r="B339" s="1">
        <f>-75.9825771833921</f>
        <v>-75.982577183392095</v>
      </c>
      <c r="C339" s="1">
        <v>44.649391830075999</v>
      </c>
      <c r="D339" s="1">
        <v>0</v>
      </c>
      <c r="E339" s="1">
        <v>0</v>
      </c>
      <c r="F339" s="1">
        <v>43</v>
      </c>
      <c r="G339" s="1">
        <f t="shared" si="5"/>
        <v>43</v>
      </c>
      <c r="H339" s="1" t="s">
        <v>102</v>
      </c>
    </row>
    <row r="340" spans="1:8" x14ac:dyDescent="0.3">
      <c r="A340" s="1" t="s">
        <v>342</v>
      </c>
      <c r="B340" s="1">
        <f>-76.1285872245354</f>
        <v>-76.128587224535394</v>
      </c>
      <c r="C340" s="1">
        <v>45.257225291064302</v>
      </c>
      <c r="D340" s="1">
        <v>0</v>
      </c>
      <c r="E340" s="1">
        <v>0</v>
      </c>
      <c r="F340" s="1">
        <v>88</v>
      </c>
      <c r="G340" s="1">
        <f t="shared" si="5"/>
        <v>88</v>
      </c>
      <c r="H340" s="1" t="s">
        <v>102</v>
      </c>
    </row>
    <row r="341" spans="1:8" x14ac:dyDescent="0.3">
      <c r="A341" s="1" t="s">
        <v>343</v>
      </c>
      <c r="B341" s="1">
        <f>-79.5537610151442</f>
        <v>-79.553761015144204</v>
      </c>
      <c r="C341" s="1">
        <v>44.557955763418803</v>
      </c>
      <c r="D341" s="1">
        <v>0</v>
      </c>
      <c r="E341" s="1">
        <v>281</v>
      </c>
      <c r="F341" s="1">
        <v>0</v>
      </c>
      <c r="G341" s="1">
        <f t="shared" si="5"/>
        <v>281</v>
      </c>
      <c r="H341" s="1" t="s">
        <v>102</v>
      </c>
    </row>
    <row r="342" spans="1:8" x14ac:dyDescent="0.3">
      <c r="A342" s="1" t="s">
        <v>344</v>
      </c>
      <c r="B342" s="1">
        <f>-79.2080391214398</f>
        <v>-79.208039121439796</v>
      </c>
      <c r="C342" s="1">
        <v>44.686199943876098</v>
      </c>
      <c r="D342" s="1">
        <v>0</v>
      </c>
      <c r="E342" s="1">
        <v>0</v>
      </c>
      <c r="F342" s="1">
        <v>161</v>
      </c>
      <c r="G342" s="1">
        <f t="shared" si="5"/>
        <v>161</v>
      </c>
      <c r="H342" s="1" t="s">
        <v>102</v>
      </c>
    </row>
    <row r="343" spans="1:8" x14ac:dyDescent="0.3">
      <c r="A343" s="1" t="s">
        <v>345</v>
      </c>
      <c r="B343" s="1">
        <f>-79.092066268054</f>
        <v>-79.092066268053998</v>
      </c>
      <c r="C343" s="1">
        <v>45.726979638360604</v>
      </c>
      <c r="D343" s="1">
        <v>38</v>
      </c>
      <c r="E343" s="1">
        <v>0</v>
      </c>
      <c r="F343" s="1">
        <v>0</v>
      </c>
      <c r="G343" s="1">
        <f t="shared" si="5"/>
        <v>38</v>
      </c>
      <c r="H343" s="1" t="s">
        <v>102</v>
      </c>
    </row>
    <row r="344" spans="1:8" x14ac:dyDescent="0.3">
      <c r="A344" s="1" t="s">
        <v>346</v>
      </c>
      <c r="B344" s="1">
        <f>-79.4812030721511</f>
        <v>-79.481203072151104</v>
      </c>
      <c r="C344" s="1">
        <v>46.428578618388102</v>
      </c>
      <c r="D344" s="1">
        <v>0</v>
      </c>
      <c r="E344" s="1">
        <v>0</v>
      </c>
      <c r="F344" s="1">
        <v>200</v>
      </c>
      <c r="G344" s="1">
        <f t="shared" si="5"/>
        <v>200</v>
      </c>
      <c r="H344" s="1" t="s">
        <v>102</v>
      </c>
    </row>
    <row r="345" spans="1:8" x14ac:dyDescent="0.3">
      <c r="A345" s="1" t="s">
        <v>347</v>
      </c>
      <c r="B345" s="1">
        <f>-83.2068831421478</f>
        <v>-83.206883142147802</v>
      </c>
      <c r="C345" s="1">
        <v>45.900773378535</v>
      </c>
      <c r="D345" s="1">
        <v>17</v>
      </c>
      <c r="E345" s="1">
        <v>0</v>
      </c>
      <c r="F345" s="1">
        <v>281</v>
      </c>
      <c r="G345" s="1">
        <f t="shared" si="5"/>
        <v>298</v>
      </c>
      <c r="H345" s="1" t="s">
        <v>102</v>
      </c>
    </row>
    <row r="346" spans="1:8" x14ac:dyDescent="0.3">
      <c r="A346" s="1" t="s">
        <v>348</v>
      </c>
      <c r="B346" s="1">
        <f>-81.5779325265609</f>
        <v>-81.5779325265609</v>
      </c>
      <c r="C346" s="1">
        <v>45.958590573214899</v>
      </c>
      <c r="D346" s="1">
        <v>0</v>
      </c>
      <c r="E346" s="1">
        <v>0</v>
      </c>
      <c r="F346" s="1">
        <v>50</v>
      </c>
      <c r="G346" s="1">
        <f t="shared" si="5"/>
        <v>50</v>
      </c>
      <c r="H346" s="1" t="s">
        <v>102</v>
      </c>
    </row>
    <row r="347" spans="1:8" x14ac:dyDescent="0.3">
      <c r="A347" s="1" t="s">
        <v>349</v>
      </c>
      <c r="B347" s="1">
        <f>-80.8025024766636</f>
        <v>-80.802502476663605</v>
      </c>
      <c r="C347" s="1">
        <v>46.584007475110504</v>
      </c>
      <c r="D347" s="1">
        <v>230</v>
      </c>
      <c r="E347" s="1">
        <v>418</v>
      </c>
      <c r="F347" s="1">
        <v>0</v>
      </c>
      <c r="G347" s="1">
        <f t="shared" si="5"/>
        <v>648</v>
      </c>
      <c r="H347" s="1" t="s">
        <v>102</v>
      </c>
    </row>
    <row r="348" spans="1:8" x14ac:dyDescent="0.3">
      <c r="A348" s="1" t="s">
        <v>350</v>
      </c>
      <c r="B348" s="1">
        <f>-80.8267660681652</f>
        <v>-80.826766068165199</v>
      </c>
      <c r="C348" s="1">
        <v>46.559739295348102</v>
      </c>
      <c r="D348" s="1">
        <v>0</v>
      </c>
      <c r="E348" s="1">
        <v>305</v>
      </c>
      <c r="F348" s="1">
        <v>0</v>
      </c>
      <c r="G348" s="1">
        <f t="shared" si="5"/>
        <v>305</v>
      </c>
      <c r="H348" s="1" t="s">
        <v>102</v>
      </c>
    </row>
    <row r="349" spans="1:8" x14ac:dyDescent="0.3">
      <c r="A349" s="1" t="s">
        <v>351</v>
      </c>
      <c r="B349" s="1">
        <f>-81.0052938641393</f>
        <v>-81.005293864139304</v>
      </c>
      <c r="C349" s="1">
        <v>46.527949167574398</v>
      </c>
      <c r="D349" s="1">
        <v>0</v>
      </c>
      <c r="E349" s="1">
        <v>333</v>
      </c>
      <c r="F349" s="1">
        <v>0</v>
      </c>
      <c r="G349" s="1">
        <f t="shared" si="5"/>
        <v>333</v>
      </c>
      <c r="H349" s="1" t="s">
        <v>102</v>
      </c>
    </row>
    <row r="350" spans="1:8" x14ac:dyDescent="0.3">
      <c r="A350" s="1" t="s">
        <v>352</v>
      </c>
      <c r="B350" s="1">
        <f>-81.0787813422672</f>
        <v>-81.078781342267206</v>
      </c>
      <c r="C350" s="1">
        <v>46.482321460773598</v>
      </c>
      <c r="D350" s="1">
        <v>2587</v>
      </c>
      <c r="E350" s="1">
        <v>1325</v>
      </c>
      <c r="F350" s="1">
        <v>34</v>
      </c>
      <c r="G350" s="1">
        <f t="shared" si="5"/>
        <v>3946</v>
      </c>
      <c r="H350" s="1" t="s">
        <v>102</v>
      </c>
    </row>
    <row r="351" spans="1:8" x14ac:dyDescent="0.3">
      <c r="A351" s="1" t="s">
        <v>353</v>
      </c>
      <c r="B351" s="1">
        <f>-81.3446368810253</f>
        <v>-81.344636881025295</v>
      </c>
      <c r="C351" s="1">
        <v>46.657849660996398</v>
      </c>
      <c r="D351" s="1">
        <v>358</v>
      </c>
      <c r="E351" s="1">
        <v>55</v>
      </c>
      <c r="F351" s="1">
        <v>167</v>
      </c>
      <c r="G351" s="1">
        <f t="shared" si="5"/>
        <v>580</v>
      </c>
      <c r="H351" s="1" t="s">
        <v>102</v>
      </c>
    </row>
    <row r="352" spans="1:8" x14ac:dyDescent="0.3">
      <c r="A352" s="1" t="s">
        <v>354</v>
      </c>
      <c r="B352" s="1">
        <f>-81.3657798688177</f>
        <v>-81.365779868817697</v>
      </c>
      <c r="C352" s="1">
        <v>46.571803923297502</v>
      </c>
      <c r="D352" s="1">
        <v>0</v>
      </c>
      <c r="E352" s="1">
        <v>291</v>
      </c>
      <c r="F352" s="1">
        <v>0</v>
      </c>
      <c r="G352" s="1">
        <f t="shared" si="5"/>
        <v>291</v>
      </c>
      <c r="H352" s="1" t="s">
        <v>102</v>
      </c>
    </row>
    <row r="353" spans="1:8" x14ac:dyDescent="0.3">
      <c r="A353" s="1" t="s">
        <v>355</v>
      </c>
      <c r="B353" s="1">
        <f>-82.6034332758874</f>
        <v>-82.603433275887397</v>
      </c>
      <c r="C353" s="1">
        <v>46.464817269274597</v>
      </c>
      <c r="D353" s="1">
        <v>879</v>
      </c>
      <c r="E353" s="1">
        <v>0</v>
      </c>
      <c r="F353" s="1">
        <v>0</v>
      </c>
      <c r="G353" s="1">
        <f t="shared" si="5"/>
        <v>879</v>
      </c>
      <c r="H353" s="1" t="s">
        <v>102</v>
      </c>
    </row>
    <row r="354" spans="1:8" x14ac:dyDescent="0.3">
      <c r="A354" s="1" t="s">
        <v>356</v>
      </c>
      <c r="B354" s="1">
        <f>-81.0362629621536</f>
        <v>-81.0362629621536</v>
      </c>
      <c r="C354" s="1">
        <v>46.7645537379491</v>
      </c>
      <c r="D354" s="1">
        <v>0</v>
      </c>
      <c r="E354" s="1">
        <v>0</v>
      </c>
      <c r="F354" s="1">
        <v>19</v>
      </c>
      <c r="G354" s="1">
        <f t="shared" si="5"/>
        <v>19</v>
      </c>
      <c r="H354" s="1" t="s">
        <v>102</v>
      </c>
    </row>
    <row r="355" spans="1:8" x14ac:dyDescent="0.3">
      <c r="A355" s="1" t="s">
        <v>357</v>
      </c>
      <c r="B355" s="1">
        <f>-82.0818266151924</f>
        <v>-82.081826615192398</v>
      </c>
      <c r="C355" s="1">
        <v>48.2041335960173</v>
      </c>
      <c r="D355" s="1">
        <v>0</v>
      </c>
      <c r="E355" s="1">
        <v>149</v>
      </c>
      <c r="F355" s="1">
        <v>16</v>
      </c>
      <c r="G355" s="1">
        <f t="shared" si="5"/>
        <v>165</v>
      </c>
      <c r="H355" s="1" t="s">
        <v>102</v>
      </c>
    </row>
    <row r="356" spans="1:8" x14ac:dyDescent="0.3">
      <c r="A356" s="1" t="s">
        <v>358</v>
      </c>
      <c r="B356" s="1">
        <f>-81.0020330111178</f>
        <v>-81.002033011117803</v>
      </c>
      <c r="C356" s="1">
        <v>47.8816567315166</v>
      </c>
      <c r="D356" s="1">
        <v>0</v>
      </c>
      <c r="E356" s="1">
        <v>46</v>
      </c>
      <c r="F356" s="1">
        <v>0</v>
      </c>
      <c r="G356" s="1">
        <f t="shared" si="5"/>
        <v>46</v>
      </c>
      <c r="H356" s="1" t="s">
        <v>102</v>
      </c>
    </row>
    <row r="357" spans="1:8" x14ac:dyDescent="0.3">
      <c r="A357" s="1" t="s">
        <v>359</v>
      </c>
      <c r="B357" s="1">
        <f>-80.6865191041965</f>
        <v>-80.686519104196506</v>
      </c>
      <c r="C357" s="1">
        <v>47.947431232175703</v>
      </c>
      <c r="D357" s="1">
        <v>83</v>
      </c>
      <c r="E357" s="1">
        <v>102</v>
      </c>
      <c r="F357" s="1">
        <v>13</v>
      </c>
      <c r="G357" s="1">
        <f t="shared" si="5"/>
        <v>198</v>
      </c>
      <c r="H357" s="1" t="s">
        <v>102</v>
      </c>
    </row>
    <row r="358" spans="1:8" x14ac:dyDescent="0.3">
      <c r="A358" s="1" t="s">
        <v>360</v>
      </c>
      <c r="B358" s="1">
        <f>-79.9214962876021</f>
        <v>-79.921496287602096</v>
      </c>
      <c r="C358" s="1">
        <v>48.079077624875602</v>
      </c>
      <c r="D358" s="1">
        <v>814</v>
      </c>
      <c r="E358" s="1">
        <v>201</v>
      </c>
      <c r="F358" s="1">
        <v>117</v>
      </c>
      <c r="G358" s="1">
        <f t="shared" si="5"/>
        <v>1132</v>
      </c>
      <c r="H358" s="1" t="s">
        <v>102</v>
      </c>
    </row>
    <row r="359" spans="1:8" x14ac:dyDescent="0.3">
      <c r="A359" s="1" t="s">
        <v>361</v>
      </c>
      <c r="B359" s="1">
        <f>-82.0924756056892</f>
        <v>-82.092475605689202</v>
      </c>
      <c r="C359" s="1">
        <v>48.665833342659802</v>
      </c>
      <c r="D359" s="1">
        <v>19</v>
      </c>
      <c r="E359" s="1">
        <v>20</v>
      </c>
      <c r="F359" s="1">
        <v>0</v>
      </c>
      <c r="G359" s="1">
        <f t="shared" si="5"/>
        <v>39</v>
      </c>
      <c r="H359" s="1" t="s">
        <v>102</v>
      </c>
    </row>
    <row r="360" spans="1:8" x14ac:dyDescent="0.3">
      <c r="A360" s="1" t="s">
        <v>362</v>
      </c>
      <c r="B360" s="1">
        <f>-81.602815919209</f>
        <v>-81.602815919208993</v>
      </c>
      <c r="C360" s="1">
        <v>48.593580171630002</v>
      </c>
      <c r="D360" s="1">
        <v>417</v>
      </c>
      <c r="E360" s="1">
        <v>0</v>
      </c>
      <c r="F360" s="1">
        <v>0</v>
      </c>
      <c r="G360" s="1">
        <f t="shared" si="5"/>
        <v>417</v>
      </c>
      <c r="H360" s="1" t="s">
        <v>102</v>
      </c>
    </row>
    <row r="361" spans="1:8" x14ac:dyDescent="0.3">
      <c r="A361" s="1" t="s">
        <v>363</v>
      </c>
      <c r="B361" s="1">
        <f>-81.2314686144786</f>
        <v>-81.231468614478601</v>
      </c>
      <c r="C361" s="1">
        <v>48.458387447694101</v>
      </c>
      <c r="D361" s="1">
        <v>723</v>
      </c>
      <c r="E361" s="1">
        <v>276</v>
      </c>
      <c r="F361" s="1">
        <v>71</v>
      </c>
      <c r="G361" s="1">
        <f t="shared" si="5"/>
        <v>1070</v>
      </c>
      <c r="H361" s="1" t="s">
        <v>102</v>
      </c>
    </row>
    <row r="362" spans="1:8" x14ac:dyDescent="0.3">
      <c r="A362" s="1" t="s">
        <v>364</v>
      </c>
      <c r="B362" s="1">
        <f>-81.3141772873682</f>
        <v>-81.314177287368196</v>
      </c>
      <c r="C362" s="1">
        <v>48.471173294691297</v>
      </c>
      <c r="D362" s="1">
        <v>205</v>
      </c>
      <c r="E362" s="1">
        <v>0</v>
      </c>
      <c r="F362" s="1">
        <v>84</v>
      </c>
      <c r="G362" s="1">
        <f t="shared" si="5"/>
        <v>289</v>
      </c>
      <c r="H362" s="1" t="s">
        <v>102</v>
      </c>
    </row>
    <row r="363" spans="1:8" x14ac:dyDescent="0.3">
      <c r="A363" s="1" t="s">
        <v>365</v>
      </c>
      <c r="B363" s="1">
        <f>-81.2798298649206</f>
        <v>-81.2798298649206</v>
      </c>
      <c r="C363" s="1">
        <v>48.501328015200301</v>
      </c>
      <c r="D363" s="1">
        <v>725</v>
      </c>
      <c r="E363" s="1">
        <v>376</v>
      </c>
      <c r="F363" s="1">
        <v>0</v>
      </c>
      <c r="G363" s="1">
        <f t="shared" si="5"/>
        <v>1101</v>
      </c>
      <c r="H363" s="1" t="s">
        <v>102</v>
      </c>
    </row>
    <row r="364" spans="1:8" x14ac:dyDescent="0.3">
      <c r="A364" s="1" t="s">
        <v>366</v>
      </c>
      <c r="B364" s="1">
        <f>-81.0934921210502</f>
        <v>-81.093492121050204</v>
      </c>
      <c r="C364" s="1">
        <v>48.562067669866302</v>
      </c>
      <c r="D364" s="1">
        <v>1870</v>
      </c>
      <c r="E364" s="1">
        <v>610</v>
      </c>
      <c r="F364" s="1">
        <v>53</v>
      </c>
      <c r="G364" s="1">
        <f t="shared" si="5"/>
        <v>2533</v>
      </c>
      <c r="H364" s="1" t="s">
        <v>102</v>
      </c>
    </row>
    <row r="365" spans="1:8" x14ac:dyDescent="0.3">
      <c r="A365" s="1" t="s">
        <v>367</v>
      </c>
      <c r="B365" s="1">
        <f>-81.3736375179996</f>
        <v>-81.373637517999597</v>
      </c>
      <c r="C365" s="1">
        <v>48.688103328327401</v>
      </c>
      <c r="D365" s="1">
        <v>31</v>
      </c>
      <c r="E365" s="1">
        <v>570</v>
      </c>
      <c r="F365" s="1">
        <v>0</v>
      </c>
      <c r="G365" s="1">
        <f t="shared" si="5"/>
        <v>601</v>
      </c>
      <c r="H365" s="1" t="s">
        <v>102</v>
      </c>
    </row>
    <row r="366" spans="1:8" x14ac:dyDescent="0.3">
      <c r="A366" s="1" t="s">
        <v>368</v>
      </c>
      <c r="B366" s="1">
        <f>-80.7601998343238</f>
        <v>-80.760199834323799</v>
      </c>
      <c r="C366" s="1">
        <v>48.5530035388405</v>
      </c>
      <c r="D366" s="1">
        <v>153</v>
      </c>
      <c r="E366" s="1">
        <v>0</v>
      </c>
      <c r="F366" s="1">
        <v>0</v>
      </c>
      <c r="G366" s="1">
        <f t="shared" si="5"/>
        <v>153</v>
      </c>
      <c r="H366" s="1" t="s">
        <v>102</v>
      </c>
    </row>
    <row r="367" spans="1:8" x14ac:dyDescent="0.3">
      <c r="A367" s="1" t="s">
        <v>369</v>
      </c>
      <c r="B367" s="1">
        <f>-80.3311899800601</f>
        <v>-80.331189980060103</v>
      </c>
      <c r="C367" s="1">
        <v>48.529935258946999</v>
      </c>
      <c r="D367" s="1">
        <v>131</v>
      </c>
      <c r="E367" s="1">
        <v>113</v>
      </c>
      <c r="F367" s="1">
        <v>45</v>
      </c>
      <c r="G367" s="1">
        <f t="shared" si="5"/>
        <v>289</v>
      </c>
      <c r="H367" s="1" t="s">
        <v>102</v>
      </c>
    </row>
    <row r="368" spans="1:8" x14ac:dyDescent="0.3">
      <c r="A368" s="1" t="s">
        <v>370</v>
      </c>
      <c r="B368" s="1">
        <f>-80.2830428688462</f>
        <v>-80.283042868846195</v>
      </c>
      <c r="C368" s="1">
        <v>48.492112204415498</v>
      </c>
      <c r="D368" s="1">
        <v>38</v>
      </c>
      <c r="E368" s="1">
        <v>69</v>
      </c>
      <c r="F368" s="1">
        <v>1</v>
      </c>
      <c r="G368" s="1">
        <f t="shared" si="5"/>
        <v>108</v>
      </c>
      <c r="H368" s="1" t="s">
        <v>102</v>
      </c>
    </row>
    <row r="369" spans="1:8" x14ac:dyDescent="0.3">
      <c r="A369" s="1" t="s">
        <v>371</v>
      </c>
      <c r="B369" s="1">
        <f>-80.4041910554983</f>
        <v>-80.404191055498302</v>
      </c>
      <c r="C369" s="1">
        <v>48.455413609162797</v>
      </c>
      <c r="D369" s="1">
        <v>0</v>
      </c>
      <c r="E369" s="1">
        <v>25</v>
      </c>
      <c r="F369" s="1">
        <v>0</v>
      </c>
      <c r="G369" s="1">
        <f t="shared" si="5"/>
        <v>25</v>
      </c>
      <c r="H369" s="1" t="s">
        <v>102</v>
      </c>
    </row>
    <row r="370" spans="1:8" x14ac:dyDescent="0.3">
      <c r="A370" s="1" t="s">
        <v>372</v>
      </c>
      <c r="B370" s="1">
        <f>-80.2480715279095</f>
        <v>-80.248071527909502</v>
      </c>
      <c r="C370" s="1">
        <v>48.559605372683102</v>
      </c>
      <c r="D370" s="1">
        <v>0</v>
      </c>
      <c r="E370" s="1">
        <v>76</v>
      </c>
      <c r="F370" s="1">
        <v>16</v>
      </c>
      <c r="G370" s="1">
        <f t="shared" si="5"/>
        <v>92</v>
      </c>
      <c r="H370" s="1" t="s">
        <v>102</v>
      </c>
    </row>
    <row r="371" spans="1:8" x14ac:dyDescent="0.3">
      <c r="A371" s="1" t="s">
        <v>373</v>
      </c>
      <c r="B371" s="1">
        <f>-80.2129946344154</f>
        <v>-80.212994634415395</v>
      </c>
      <c r="C371" s="1">
        <v>48.599018000539097</v>
      </c>
      <c r="D371" s="1">
        <v>5</v>
      </c>
      <c r="E371" s="1">
        <v>0</v>
      </c>
      <c r="F371" s="1">
        <v>0</v>
      </c>
      <c r="G371" s="1">
        <f t="shared" si="5"/>
        <v>5</v>
      </c>
      <c r="H371" s="1" t="s">
        <v>102</v>
      </c>
    </row>
    <row r="372" spans="1:8" x14ac:dyDescent="0.3">
      <c r="A372" s="1" t="s">
        <v>374</v>
      </c>
      <c r="B372" s="1">
        <f>-79.7318220715928</f>
        <v>-79.731822071592802</v>
      </c>
      <c r="C372" s="1">
        <v>48.486827680629801</v>
      </c>
      <c r="D372" s="1">
        <v>179</v>
      </c>
      <c r="E372" s="1">
        <v>0</v>
      </c>
      <c r="F372" s="1">
        <v>0</v>
      </c>
      <c r="G372" s="1">
        <f t="shared" si="5"/>
        <v>179</v>
      </c>
      <c r="H372" s="1" t="s">
        <v>102</v>
      </c>
    </row>
    <row r="373" spans="1:8" x14ac:dyDescent="0.3">
      <c r="A373" s="1" t="s">
        <v>375</v>
      </c>
      <c r="B373" s="1">
        <f>-79.7182836008656</f>
        <v>-79.718283600865604</v>
      </c>
      <c r="C373" s="1">
        <v>50.013403443650802</v>
      </c>
      <c r="D373" s="1">
        <v>750</v>
      </c>
      <c r="E373" s="1">
        <v>922</v>
      </c>
      <c r="F373" s="1">
        <v>160</v>
      </c>
      <c r="G373" s="1">
        <f t="shared" si="5"/>
        <v>1832</v>
      </c>
      <c r="H373" s="1" t="s">
        <v>102</v>
      </c>
    </row>
    <row r="374" spans="1:8" x14ac:dyDescent="0.3">
      <c r="A374" s="1" t="s">
        <v>376</v>
      </c>
      <c r="B374" s="1">
        <f>-82.8250200973809</f>
        <v>-82.8250200973809</v>
      </c>
      <c r="C374" s="1">
        <v>49.2887147985045</v>
      </c>
      <c r="D374" s="1">
        <v>293</v>
      </c>
      <c r="E374" s="1">
        <v>212</v>
      </c>
      <c r="F374" s="1">
        <v>47</v>
      </c>
      <c r="G374" s="1">
        <f t="shared" si="5"/>
        <v>552</v>
      </c>
      <c r="H374" s="1" t="s">
        <v>102</v>
      </c>
    </row>
    <row r="375" spans="1:8" x14ac:dyDescent="0.3">
      <c r="A375" s="1" t="s">
        <v>377</v>
      </c>
      <c r="B375" s="1">
        <f>-83.9015890537586</f>
        <v>-83.901589053758599</v>
      </c>
      <c r="C375" s="1">
        <v>52.821581485143497</v>
      </c>
      <c r="D375" s="1">
        <v>331</v>
      </c>
      <c r="E375" s="1">
        <v>360</v>
      </c>
      <c r="F375" s="1">
        <v>75</v>
      </c>
      <c r="G375" s="1">
        <f t="shared" si="5"/>
        <v>766</v>
      </c>
      <c r="H375" s="1" t="s">
        <v>102</v>
      </c>
    </row>
    <row r="376" spans="1:8" x14ac:dyDescent="0.3">
      <c r="A376" s="1" t="s">
        <v>378</v>
      </c>
      <c r="B376" s="1">
        <f>-84.3992438553074</f>
        <v>-84.399243855307404</v>
      </c>
      <c r="C376" s="1">
        <v>46.513771991037302</v>
      </c>
      <c r="D376" s="1">
        <v>0</v>
      </c>
      <c r="E376" s="1">
        <v>402</v>
      </c>
      <c r="F376" s="1">
        <v>0</v>
      </c>
      <c r="G376" s="1">
        <f t="shared" si="5"/>
        <v>402</v>
      </c>
      <c r="H376" s="1" t="s">
        <v>102</v>
      </c>
    </row>
    <row r="377" spans="1:8" x14ac:dyDescent="0.3">
      <c r="A377" s="1" t="s">
        <v>379</v>
      </c>
      <c r="B377" s="1">
        <f>-84.3462812818424</f>
        <v>-84.346281281842394</v>
      </c>
      <c r="C377" s="1">
        <v>46.5837626063512</v>
      </c>
      <c r="D377" s="1">
        <v>0</v>
      </c>
      <c r="E377" s="1">
        <v>228</v>
      </c>
      <c r="F377" s="1">
        <v>0</v>
      </c>
      <c r="G377" s="1">
        <f t="shared" si="5"/>
        <v>228</v>
      </c>
      <c r="H377" s="1" t="s">
        <v>102</v>
      </c>
    </row>
    <row r="378" spans="1:8" x14ac:dyDescent="0.3">
      <c r="A378" s="1" t="s">
        <v>380</v>
      </c>
      <c r="B378" s="1">
        <f>-90.3669593693959</f>
        <v>-90.3669593693959</v>
      </c>
      <c r="C378" s="1">
        <v>51.5027833069229</v>
      </c>
      <c r="D378" s="1">
        <v>177</v>
      </c>
      <c r="E378" s="1">
        <v>0</v>
      </c>
      <c r="F378" s="1">
        <v>0</v>
      </c>
      <c r="G378" s="1">
        <f t="shared" si="5"/>
        <v>177</v>
      </c>
      <c r="H378" s="1" t="s">
        <v>102</v>
      </c>
    </row>
    <row r="379" spans="1:8" x14ac:dyDescent="0.3">
      <c r="A379" s="1" t="s">
        <v>381</v>
      </c>
      <c r="B379" s="1">
        <f>-90.0770540796356</f>
        <v>-90.077054079635602</v>
      </c>
      <c r="C379" s="1">
        <v>51.415304168511803</v>
      </c>
      <c r="D379" s="1">
        <v>87</v>
      </c>
      <c r="E379" s="1">
        <v>0</v>
      </c>
      <c r="F379" s="1">
        <v>0</v>
      </c>
      <c r="G379" s="1">
        <f t="shared" si="5"/>
        <v>87</v>
      </c>
      <c r="H379" s="1" t="s">
        <v>102</v>
      </c>
    </row>
    <row r="380" spans="1:8" x14ac:dyDescent="0.3">
      <c r="A380" s="1" t="s">
        <v>382</v>
      </c>
      <c r="B380" s="1">
        <f>-93.7501393165116</f>
        <v>-93.750139316511607</v>
      </c>
      <c r="C380" s="1">
        <v>51.0659547067037</v>
      </c>
      <c r="D380" s="1">
        <v>347</v>
      </c>
      <c r="E380" s="1">
        <v>0</v>
      </c>
      <c r="F380" s="1">
        <v>0</v>
      </c>
      <c r="G380" s="1">
        <f t="shared" si="5"/>
        <v>347</v>
      </c>
      <c r="H380" s="1" t="s">
        <v>102</v>
      </c>
    </row>
    <row r="381" spans="1:8" x14ac:dyDescent="0.3">
      <c r="A381" s="1" t="s">
        <v>383</v>
      </c>
      <c r="B381" s="1">
        <f>-93.73914543518</f>
        <v>-93.739145435180006</v>
      </c>
      <c r="C381" s="1">
        <v>51.125672055556699</v>
      </c>
      <c r="D381" s="1">
        <v>22</v>
      </c>
      <c r="E381" s="1">
        <v>0</v>
      </c>
      <c r="F381" s="1">
        <v>0</v>
      </c>
      <c r="G381" s="1">
        <f t="shared" si="5"/>
        <v>22</v>
      </c>
      <c r="H381" s="1" t="s">
        <v>102</v>
      </c>
    </row>
    <row r="382" spans="1:8" x14ac:dyDescent="0.3">
      <c r="A382" s="1" t="s">
        <v>384</v>
      </c>
      <c r="B382" s="1">
        <f>-93.3699393534605</f>
        <v>-93.369939353460495</v>
      </c>
      <c r="C382" s="1">
        <v>50.815991622880901</v>
      </c>
      <c r="D382" s="1">
        <v>1310</v>
      </c>
      <c r="E382" s="1">
        <v>276</v>
      </c>
      <c r="F382" s="1">
        <v>101</v>
      </c>
      <c r="G382" s="1">
        <f t="shared" si="5"/>
        <v>1687</v>
      </c>
      <c r="H382" s="1" t="s">
        <v>102</v>
      </c>
    </row>
    <row r="383" spans="1:8" x14ac:dyDescent="0.3">
      <c r="A383" s="1" t="s">
        <v>385</v>
      </c>
      <c r="B383" s="1">
        <f>-90.9544692294101</f>
        <v>-90.954469229410094</v>
      </c>
      <c r="C383" s="1">
        <v>49.867981611030103</v>
      </c>
      <c r="D383" s="1">
        <v>225</v>
      </c>
      <c r="E383" s="1">
        <v>278</v>
      </c>
      <c r="F383" s="1">
        <v>9</v>
      </c>
      <c r="G383" s="1">
        <f t="shared" si="5"/>
        <v>512</v>
      </c>
      <c r="H383" s="1" t="s">
        <v>102</v>
      </c>
    </row>
    <row r="384" spans="1:8" x14ac:dyDescent="0.3">
      <c r="A384" s="1" t="s">
        <v>386</v>
      </c>
      <c r="B384" s="1">
        <f>-89.3178016132881</f>
        <v>-89.317801613288097</v>
      </c>
      <c r="C384" s="1">
        <v>48.565752339961101</v>
      </c>
      <c r="D384" s="1">
        <v>0</v>
      </c>
      <c r="E384" s="1">
        <v>354</v>
      </c>
      <c r="F384" s="1">
        <v>0</v>
      </c>
      <c r="G384" s="1">
        <f t="shared" si="5"/>
        <v>354</v>
      </c>
      <c r="H384" s="1" t="s">
        <v>102</v>
      </c>
    </row>
    <row r="385" spans="1:8" x14ac:dyDescent="0.3">
      <c r="A385" s="1" t="s">
        <v>387</v>
      </c>
      <c r="B385" s="1">
        <f>-89.0122882700509</f>
        <v>-89.012288270050902</v>
      </c>
      <c r="C385" s="1">
        <v>48.551868090941298</v>
      </c>
      <c r="D385" s="1">
        <v>0</v>
      </c>
      <c r="E385" s="1">
        <v>101</v>
      </c>
      <c r="F385" s="1">
        <v>0</v>
      </c>
      <c r="G385" s="1">
        <f t="shared" si="5"/>
        <v>101</v>
      </c>
      <c r="H385" s="1" t="s">
        <v>102</v>
      </c>
    </row>
    <row r="386" spans="1:8" x14ac:dyDescent="0.3">
      <c r="A386" s="1" t="s">
        <v>388</v>
      </c>
      <c r="B386" s="1">
        <f>-90.210897370394</f>
        <v>-90.210897370393994</v>
      </c>
      <c r="C386" s="1">
        <v>48.581899473491397</v>
      </c>
      <c r="D386" s="1">
        <v>151</v>
      </c>
      <c r="E386" s="1">
        <v>0</v>
      </c>
      <c r="F386" s="1">
        <v>0</v>
      </c>
      <c r="G386" s="1">
        <f t="shared" si="5"/>
        <v>151</v>
      </c>
      <c r="H386" s="1" t="s">
        <v>102</v>
      </c>
    </row>
    <row r="387" spans="1:8" x14ac:dyDescent="0.3">
      <c r="A387" s="1" t="s">
        <v>389</v>
      </c>
      <c r="B387" s="1">
        <f>-89.6221798480306</f>
        <v>-89.622179848030598</v>
      </c>
      <c r="C387" s="1">
        <v>49.159523151423201</v>
      </c>
      <c r="D387" s="1">
        <v>384</v>
      </c>
      <c r="E387" s="1">
        <v>282</v>
      </c>
      <c r="F387" s="1">
        <v>44</v>
      </c>
      <c r="G387" s="1">
        <f t="shared" ref="G387:G402" si="6">SUM(D387:F387)</f>
        <v>710</v>
      </c>
      <c r="H387" s="1" t="s">
        <v>102</v>
      </c>
    </row>
    <row r="388" spans="1:8" x14ac:dyDescent="0.3">
      <c r="A388" s="1" t="s">
        <v>390</v>
      </c>
      <c r="B388" s="1">
        <f>-81.1552505552485</f>
        <v>-81.1552505552485</v>
      </c>
      <c r="C388" s="1">
        <v>48.3208498587354</v>
      </c>
      <c r="D388" s="1">
        <v>23</v>
      </c>
      <c r="E388" s="1">
        <v>0</v>
      </c>
      <c r="F388" s="1">
        <v>0</v>
      </c>
      <c r="G388" s="1">
        <f t="shared" si="6"/>
        <v>23</v>
      </c>
      <c r="H388" s="1" t="s">
        <v>102</v>
      </c>
    </row>
    <row r="389" spans="1:8" x14ac:dyDescent="0.3">
      <c r="A389" s="1" t="s">
        <v>391</v>
      </c>
      <c r="B389" s="1">
        <f>-84.539659615724</f>
        <v>-84.539659615724005</v>
      </c>
      <c r="C389" s="1">
        <v>48.3553297703995</v>
      </c>
      <c r="D389" s="1">
        <v>0</v>
      </c>
      <c r="E389" s="1">
        <v>66</v>
      </c>
      <c r="F389" s="1">
        <v>0</v>
      </c>
      <c r="G389" s="1">
        <f t="shared" si="6"/>
        <v>66</v>
      </c>
      <c r="H389" s="1" t="s">
        <v>102</v>
      </c>
    </row>
    <row r="390" spans="1:8" x14ac:dyDescent="0.3">
      <c r="A390" s="1" t="s">
        <v>392</v>
      </c>
      <c r="B390" s="1">
        <f>-81.5524047737662</f>
        <v>-81.552404773766199</v>
      </c>
      <c r="C390" s="1">
        <v>48.381642273695597</v>
      </c>
      <c r="D390" s="1">
        <v>6</v>
      </c>
      <c r="E390" s="1">
        <v>18</v>
      </c>
      <c r="F390" s="1">
        <v>0</v>
      </c>
      <c r="G390" s="1">
        <f t="shared" si="6"/>
        <v>24</v>
      </c>
      <c r="H390" s="1" t="s">
        <v>102</v>
      </c>
    </row>
    <row r="391" spans="1:8" x14ac:dyDescent="0.3">
      <c r="A391" s="1" t="s">
        <v>393</v>
      </c>
      <c r="B391" s="1">
        <f>-81.1716623196081</f>
        <v>-81.171662319608103</v>
      </c>
      <c r="C391" s="1">
        <v>48.7441410253372</v>
      </c>
      <c r="D391" s="1">
        <v>9</v>
      </c>
      <c r="E391" s="1">
        <v>23</v>
      </c>
      <c r="F391" s="1">
        <v>0</v>
      </c>
      <c r="G391" s="1">
        <f t="shared" si="6"/>
        <v>32</v>
      </c>
      <c r="H391" s="1" t="s">
        <v>102</v>
      </c>
    </row>
    <row r="392" spans="1:8" x14ac:dyDescent="0.3">
      <c r="A392" s="1" t="s">
        <v>394</v>
      </c>
      <c r="B392" s="1">
        <f>-80.0204157797814</f>
        <v>-80.020415779781402</v>
      </c>
      <c r="C392" s="1">
        <v>48.1620894346349</v>
      </c>
      <c r="D392" s="1">
        <v>138</v>
      </c>
      <c r="E392" s="1">
        <v>0</v>
      </c>
      <c r="F392" s="1">
        <v>0</v>
      </c>
      <c r="G392" s="1">
        <f t="shared" si="6"/>
        <v>138</v>
      </c>
      <c r="H392" s="1" t="s">
        <v>102</v>
      </c>
    </row>
    <row r="393" spans="1:8" x14ac:dyDescent="0.3">
      <c r="A393" s="1" t="s">
        <v>395</v>
      </c>
      <c r="B393" s="1">
        <f>-83.2587606965591</f>
        <v>-83.258760696559094</v>
      </c>
      <c r="C393" s="1">
        <v>47.871518220063898</v>
      </c>
      <c r="D393" s="1">
        <v>0</v>
      </c>
      <c r="E393" s="1">
        <v>3</v>
      </c>
      <c r="F393" s="1">
        <v>0</v>
      </c>
      <c r="G393" s="1">
        <f t="shared" si="6"/>
        <v>3</v>
      </c>
      <c r="H393" s="1" t="s">
        <v>102</v>
      </c>
    </row>
    <row r="394" spans="1:8" x14ac:dyDescent="0.3">
      <c r="A394" s="1" t="s">
        <v>396</v>
      </c>
      <c r="B394" s="1">
        <f>-85.4300525508398</f>
        <v>-85.430052550839804</v>
      </c>
      <c r="C394" s="1">
        <v>48.105713840606299</v>
      </c>
      <c r="D394" s="1">
        <v>250</v>
      </c>
      <c r="E394" s="1">
        <v>42</v>
      </c>
      <c r="F394" s="1">
        <v>0</v>
      </c>
      <c r="G394" s="1">
        <f t="shared" si="6"/>
        <v>292</v>
      </c>
      <c r="H394" s="1" t="s">
        <v>102</v>
      </c>
    </row>
    <row r="395" spans="1:8" x14ac:dyDescent="0.3">
      <c r="A395" s="1" t="s">
        <v>397</v>
      </c>
      <c r="B395" s="1">
        <f>-90.3525987028662</f>
        <v>-90.352598702866203</v>
      </c>
      <c r="C395" s="1">
        <v>52.605387424342602</v>
      </c>
      <c r="D395" s="1">
        <v>215</v>
      </c>
      <c r="E395" s="1">
        <v>47</v>
      </c>
      <c r="F395" s="1">
        <v>6</v>
      </c>
      <c r="G395" s="1">
        <f t="shared" si="6"/>
        <v>268</v>
      </c>
      <c r="H395" s="1" t="s">
        <v>102</v>
      </c>
    </row>
    <row r="396" spans="1:8" x14ac:dyDescent="0.3">
      <c r="A396" s="1" t="s">
        <v>398</v>
      </c>
      <c r="B396" s="1">
        <f>-83.7465677269815</f>
        <v>-83.746567726981496</v>
      </c>
      <c r="C396" s="1">
        <v>46.306020820196103</v>
      </c>
      <c r="D396" s="1">
        <v>0</v>
      </c>
      <c r="E396" s="1">
        <v>49</v>
      </c>
      <c r="F396" s="1">
        <v>54</v>
      </c>
      <c r="G396" s="1">
        <f t="shared" si="6"/>
        <v>103</v>
      </c>
      <c r="H396" s="1" t="s">
        <v>102</v>
      </c>
    </row>
    <row r="397" spans="1:8" x14ac:dyDescent="0.3">
      <c r="A397" s="1" t="s">
        <v>399</v>
      </c>
      <c r="B397" s="1">
        <f>-83.4245889401259</f>
        <v>-83.424588940125901</v>
      </c>
      <c r="C397" s="1">
        <v>46.276135535327398</v>
      </c>
      <c r="D397" s="1">
        <v>0</v>
      </c>
      <c r="E397" s="1">
        <v>146</v>
      </c>
      <c r="F397" s="1">
        <v>0</v>
      </c>
      <c r="G397" s="1">
        <f t="shared" si="6"/>
        <v>146</v>
      </c>
      <c r="H397" s="1" t="s">
        <v>102</v>
      </c>
    </row>
    <row r="398" spans="1:8" x14ac:dyDescent="0.3">
      <c r="A398" s="1" t="s">
        <v>400</v>
      </c>
      <c r="B398" s="1">
        <f>-81.346790484365</f>
        <v>-81.346790484365002</v>
      </c>
      <c r="C398" s="1">
        <v>46.430020987250501</v>
      </c>
      <c r="D398" s="1">
        <v>0</v>
      </c>
      <c r="E398" s="1">
        <v>30</v>
      </c>
      <c r="F398" s="1">
        <v>10</v>
      </c>
      <c r="G398" s="1">
        <f t="shared" si="6"/>
        <v>40</v>
      </c>
      <c r="H398" s="1" t="s">
        <v>102</v>
      </c>
    </row>
    <row r="399" spans="1:8" x14ac:dyDescent="0.3">
      <c r="A399" s="1" t="s">
        <v>401</v>
      </c>
      <c r="B399" s="1">
        <f>-80.2317098458145</f>
        <v>-80.231709845814507</v>
      </c>
      <c r="C399" s="1">
        <v>44.141940538925802</v>
      </c>
      <c r="D399" s="1">
        <v>0</v>
      </c>
      <c r="E399" s="1">
        <v>0</v>
      </c>
      <c r="F399" s="1">
        <v>80</v>
      </c>
      <c r="G399" s="1">
        <f t="shared" si="6"/>
        <v>80</v>
      </c>
      <c r="H399" s="1" t="s">
        <v>102</v>
      </c>
    </row>
    <row r="400" spans="1:8" x14ac:dyDescent="0.3">
      <c r="A400" s="1" t="s">
        <v>402</v>
      </c>
      <c r="B400" s="1">
        <f>-79.9865982877972</f>
        <v>-79.986598287797193</v>
      </c>
      <c r="C400" s="1">
        <v>43.848658910878001</v>
      </c>
      <c r="D400" s="1">
        <v>0</v>
      </c>
      <c r="E400" s="1">
        <v>0</v>
      </c>
      <c r="F400" s="1">
        <v>830</v>
      </c>
      <c r="G400" s="1">
        <f t="shared" si="6"/>
        <v>830</v>
      </c>
      <c r="H400" s="1" t="s">
        <v>102</v>
      </c>
    </row>
    <row r="401" spans="1:8" x14ac:dyDescent="0.3">
      <c r="A401" s="1" t="s">
        <v>403</v>
      </c>
      <c r="B401" s="1">
        <f>-80.0023559616254</f>
        <v>-80.002355961625398</v>
      </c>
      <c r="C401" s="1">
        <v>43.617866339977802</v>
      </c>
      <c r="D401" s="1">
        <v>0</v>
      </c>
      <c r="E401" s="1">
        <v>0</v>
      </c>
      <c r="F401" s="1">
        <v>169</v>
      </c>
      <c r="G401" s="1">
        <f t="shared" si="6"/>
        <v>169</v>
      </c>
      <c r="H401" s="1" t="s">
        <v>102</v>
      </c>
    </row>
    <row r="402" spans="1:8" x14ac:dyDescent="0.3">
      <c r="A402" s="1" t="s">
        <v>404</v>
      </c>
      <c r="B402" s="1">
        <f>-80.1460640848065</f>
        <v>-80.146064084806497</v>
      </c>
      <c r="C402" s="1">
        <v>43.808922791977999</v>
      </c>
      <c r="D402" s="1">
        <v>0</v>
      </c>
      <c r="E402" s="1">
        <v>0</v>
      </c>
      <c r="F402" s="1">
        <v>68</v>
      </c>
      <c r="G402" s="1">
        <f t="shared" si="6"/>
        <v>68</v>
      </c>
      <c r="H402" s="1" t="s">
        <v>102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2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9 0 d c a 0 7 - e c 2 e - 4 0 c 7 - 9 d 5 7 - 7 7 6 2 a 3 5 b 7 e 3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 5 4 . 5 7 4 5 6 4 8 5 1 5 4 0 9 4 8 < / L a t i t u d e > < L o n g i t u d e > - 8 7 . 4 7 4 1 3 8 1 8 6 2 2 1 9 0 7 < / L o n g i t u d e > < R o t a t i o n > - 2 . 7 7 5 5 5 7 5 6 1 5 6 2 8 9 1 4 E - 1 7 < / R o t a t i o n > < P i v o t A n g l e > 0 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K U S U R B V H h e 7 b 1 n l B z X l S Z 4 0 2 f 5 q i x v U F V A w R M g A Z A A v R N F U V K v R t 6 2 1 N 2 n Z 3 d m z s y v / b d n Z 8 / Z 3 b N n z / 6 b / b G z f b p 3 z 8 6 0 R N m W o y T K t U R v Q R A E A Z D w V S j v f W V W p c + 9 3 3 3 x M i O j I t K U B d X 6 C o E w G Z k R 8 e J 9 7 5 p 3 3 3 2 u 3 7 z 1 X o Z s U N F 0 k m K x D C W T S U q n 0 5 T J Z P I W l 4 v o 4 d 4 Y v T 7 g J 7 s f w D l A d 3 2 K D r Y k Z H u r M T U 1 R c 3 N z e R 2 u 4 0 j G w N u 9 Y W b Q T r Y n K Q b M 1 7 j 6 H p 8 / G D U 2 L K H K h c X X Z 3 y 0 S F + Z j e X E U r h h R t B d Q L D + h t p P u F F v v Z T f P y V W 0 E K V a X p W F t c j g F P 7 o + S h x 9 P 3 + N j f T H e z 5 C H f 1 v j V f 5 e P E 1 0 i O 9 / O u K m Z M p F K z H T C V u E h s o 0 n e i I 0 1 r C R V 4 P 0 T t D f r m f r c D 7 Y z 6 a j f C P 7 h D w n q z A + 3 r q o H q e 6 9 M + m g 5 7 6 N G + O L 1 0 q 4 K O t K a o O 5 S W u i b v 4 v 0 b c p 4 V t j W x p u U I J Z g D d k T S w O Z r T K Z 9 T U l q q u a 3 6 Y C R J Q + / X H W Z 0 S X n y l o u r l y 5 S i 0 t L b Z k S i T i x l Z p Q N m e 6 I x T h V 8 1 F H X B 3 H O a M b 9 W + I W v r U Z k H Y m 7 5 e U A M a 5 8 Z r z S n y M X o M 9 b 5 e 8 8 w e S Z X n F n y Y R 7 A Z n 0 N s B v I Y 9 M 4 8 s e 6 m x I k t + b o Z q K N N 3 b F a f 7 e 7 a m k l u x s O q W + 6 n 0 E w 0 v e C m V c d E b t w P G p 5 t D j U O Z 7 y R Q p 6 O o 9 7 x G g x j n h u m F G w G q C a S 5 k f S Y 6 n + G A r V 3 G d v 5 k P d p X t x u D 8 W T Q U q l 0 l l C m W H d v z 3 n p e P c o q K F r e M X C u h z K r m C P n U g y i 9 C 1 Y C x R b 4 p 2 c o h w T d d L i 5 d v E y H D x + y b W U A n 8 9 P C / N z x l 5 p a G L J U B 9 M y / 2 e 7 o 7 R 3 s a k 8 U k O 7 4 3 4 6 I 8 s b V 4 f C N C H k z 7 j a A 6 V V d W y v m 9 P r k I H f P l P n E h x Z V z M N S w R Q 5 J E 4 v z y D C J p e F k S W T F u a Z T w A n s a U t R W k 6 I 1 / g 0 N S M I A k 2 y r A Q m I C n e g K U F c R S i a d N H 5 U W b Y B r E Y d U s d G m G C 7 i S s 9 R j A E b z b o X n V c I Y q + W U x W C b J u n / W I 5 w A T n H D 5 X Z 7 8 7 g j y 2 8 t K l 9 1 2 0 l a X a W s q m e W U o B 1 r Q E 1 p a 0 2 L Y W 8 y i + 2 m l m N b Q i Q O B c 6 X u 7 5 E a 7 o a 6 r J B R c e Z J X x / T G W c l x 5 U S F K w X v v X a B T p 0 4 a e 8 7 A / X u 9 G 3 9 J 4 d U o v T N S R W m X j 9 y Z J D 2 y d 4 3 8 / h y J Q K x a b l X P M P m A V C p J H s / 6 6 0 H d y y 8 p B V T 4 N 7 l 1 X 2 U J 1 s h k h i o 1 y t I c q o Z G e 2 2 K 7 m r L q c s f T P q l n E v B I p d z F T d o 7 3 K Z o 5 w B 3 P N W A O 8 O v x 0 2 G g N I 9 0 Z W B x 3 a t 6 I 4 y 6 p j R 1 0 q 7 9 l 3 C k 6 N 8 n 1 7 E q L i o s x w D p b G q g w d 7 0 i y J s O N C v P i t Q E W P O E P j W 8 o c O 3 G D 6 r F H 6 y k O L + v V C q V J Z F e A C u J z M D L j n G j j t Y G Z A J u z f n k l 0 E m t M C a T P d 0 J k Q S V H L r / R C / 7 F L J d P 7 8 e 3 T y 5 A l j z x k r S 4 u b I h P I W F 0 Z p O 5 G V d i u T I L W U k q 1 Q d l E 1 9 a E E G i l 0 H g A k O x 2 c C o x v C i Q C R I G x Y r 3 u o f t T T O 8 n v x v g 0 y v 9 g f k / G K o Z 2 0 B 5 0 F 1 A U Z Z O 3 i c V U q o L x U W q V k u 8 L u a T H U s 1 f H b G y U D G t 0 2 b j h 2 g 0 y A U 5 1 + l 7 U R v F v 1 l A p z E Z c 8 + 3 s j X l m j k S U 3 7 h t n q c X 1 2 7 c v Z H + x q u U E c V 2 R C u V E K s D p J p y O m 2 E 1 y t 9 j d W F P P d t h 3 E o X a u H + + f d / o K c / 8 X F p K Y o B r U c h R 8 U M G 5 v N 1 f Y k t n 5 X t + o + V r 8 e 3 2 + o c n h O v o 9 0 G m W k 9 j 1 M 4 B R v m + 0 b A O r R 5 Q k / X 9 P + f v a G k t T H d q i G n R T B I 8 M 5 M S C N V a b k B k g D 6 m k v X w d q F U i 6 n 6 8 H O 8 2 4 9 U 0 B t h s 0 j I F Z r 0 i t U 3 v i e Z W w G E C o l 2 / Z S / G d g l O d C j B X f P z a I A y 0 l P L y C 0 6 z 7 Y j t p w 6 s 0 Y 2 R M E 0 s z R j f E A m l 4 K + o E e m k 1 T z A S i S g H D L B a 7 a 3 M U E n u S X X Q I W B 6 t f P l Q M 3 O s + G 7 m W W b g 7 P J H j l l V f p E 8 8 8 7 f j g V s R i h b 1 x 1 2 e 4 8 v M j g l h W g E y X J n K t J R o A t P Z M d 7 n 3 W 1 x x 9 M 1 C K n k 8 v B j S E G S a X s n / T U i g e 1 i d c 7 r z C c v 5 8 O C Z g e t D m u N 3 Q A Q 7 M s E x A G l 3 e 3 6 9 V E 6 m X e J k C b J U O t S a k N + 4 N e s T d Q a / 2 2 j Y C R t F k r 8 O 9 f J U V 0 I c F r c K e E n t g O 8 8 t G 9 7 n C i l w q l O x 1 i 4 o 4 5 q 4 L w k W k 0 D 7 w z 7 u W F O k t s f M o 6 Y C O W t 7 m P J l B E y 4 Y v m i z h d s B D g U u 9 u Y E K F 0 j R r q b h Q / a A a n h 1 S a p S d 8 a 1 x 9 u w 5 e u y x R 4 2 9 4 s D 9 V 1 R U G n v 2 O N M d l x d p l V J r a 2 w 8 M u 5 u z 9 k t w H 3 c 6 k J C A N 0 N h S t g i 0 2 F h 7 f o / h 5 7 2 + e R v f m V 6 Q k t B Q 2 8 x k Y y i h 8 e N i c 8 z L 8 B 9 X k h 4 q Y L F g c B y r a L N Q C Q X V c N 2 G Y g + W V u O C I J 5 9 8 t B W i t g y y l o O b j W u 1 s C 5 V b X a 6 y B C 2 x r d w 1 W P m A Z T n q o u r q O u p o a D A + U Q 0 o / + c u 6 i Y H r P s a d s f P j w X o J R b l r 7 D O P 8 I 6 t h 2 g D g E P O r h 5 L 1 6 8 R G f O 3 F e y Z I K q W k j V 0 x g 0 v D h W B I M V x p Y z 0 C I 7 A Z V + y C I l Z l c 9 9 B q X w Z w D I a w l N z C b f 2 + x p P L + h e N u L k d v n g 2 V Y C l 7 k y U C y v g D r p R Q t 3 C d Y v Z I p Z / V W i 5 S e F h b u F G B d 3 M z Q A N 5 h a 9 / j B s i E H u w T I 8 d b N G P s b T c T Z R a t 7 G v F z R R r 3 C D 5 1 0 d 5 A Z a + Q t c v 3 v 7 / U x l y z 1 Z 2 0 m r f P l f V D B v a 9 g d K x f 3 c k V o M F z u G t e v X a e D h w 6 W T C Z g N R L O u q 6 d g M r W x Z K z y s E w j 8 d i 5 A / k + l b C L P L f H Q 6 w 6 m Q c M M H H d R / q o L a P U E n R S M A m P N S S F J d y g G 0 W E M I M U d 1 Y S s B F 2 8 Q V u q U 6 T R 2 8 D 7 U N H q 8 U q 2 l O A A E O s C r 9 1 q A i F p 4 C 3 R P a O X K 0 L S G V G / 0 6 9 3 W h E 1 g O 2 w I q 7 5 U p 7 4 a 6 L q y o 5 X J Y j b n F 4 4 c y K R f z L F 0 h y d E w 7 C b s 6 p v 5 G L a z i x z J U G / l J C 1 m m m h 1 e Y B c r 3 9 4 I x P 1 H G A J l R Z C g S C a U H K 6 Z W 3 F V h D q 8 b 4 Y V 8 7 c 7 w w M 3 K Y 9 e 7 r I 5 8 s V r v e F l 8 g V X a P E X 3 z a O L I e i / P z V B / K 6 b N 2 m G K b B X Z Q l C u v 9 c 5 h X P f U R b M 2 k U a C K / i r t 7 g C G / t m o K y f 7 G M b h y s u 7 B W 4 v m F H o J L D w z b I q i 1 a 8 G q W C p A y I B M c B A D s O H T 0 g o R o U P D 9 t t q k E B X E x + d W n O h M U F O V E p P w t L 1 t q M 1 m 4 J 6 g 4 q E R s D q B z A C R J p b d l O L 1 I G s R h Y h c C h q 5 Y W h m m 6 z L 4 q 0 s F Y M s 3 W e Z W L D J d g t 2 h A L 0 c f N a b W e o w p u m + 7 v X 6 K 2 b 0 0 y o w U w m E l H S q V z P n t 2 x j c D P Z N I h L H N z c 1 R V V c X q V / l 9 J q u r E a q s r D L 2 C g P 2 2 7 3 c g r / M F R q d r 4 + a b J n w y j J V 1 9 Q a e z m g 4 o O Q y / z C E Z 3 w N k s J M w 4 z g f x M B r N T Q x W 5 6 j q A + t Z S k 2 Y b T d l T K D 4 t v R 7 q j Y v 6 B s n V y n Y Y H C D V T E q 4 u G e 4 k p l h b Y D s P I P A i Y 4 E v T / u o 8 O t C T G W 0 d d j h y F W 0 d C P B G c N 7 h e O o o 0 A 9 a u X y 2 W J b Y v j 7 U k a X v D k e T B L w S W + X 4 T 8 7 C b s S G U + p s m k j z B T 6 I m + V W U L v n g j k 4 n F 0 k I m s 7 o n J 1 r W V m w V o Q D o 0 Z m 1 G Q q w u l V d X V h t c 0 I p K h 8 A i Y G X b f b y w a C G l P C w 3 n a M K z z C l x B x U Q h X p v w 0 v u S m p w 7 E u I B z Z Q F H A l p / b S N a A c c F b I 0 m b t H f H V b X Q B 8 U Y h 7 1 S w J J H t 0 X E y K a C Q M V 7 r F 9 K r 5 P A 9 c D W Q u h k a V a X U W G 9 h n S 0 Q 6 I W s B j x J h 3 c B d f G P M 7 P k M h Q O W D C / 0 I E x n l Y C Z / M c B z t s z 3 s Z u w I x S g j 1 v X o N S T T K g 0 F 5 b b 6 o z Q K E a W r S Q T g N Y Z D g X r f d g h 8 J 3 v k v f i J W M v h 1 L I B E c J 3 P a I t z v C F R g V 0 8 8 a H t S t F T 6 2 r 0 l 5 + J Y W F 2 V d C P u N c 8 1 k A u A c A B n s A O L A i y g V 1 v D I w f a C e m h + j T i m K y J U U Q 0 d L A u g s r 7 E E s 6 J T H A S Q O X D p 5 U s N N F X V I h 4 c E 4 g f A w 2 3 R q f d 6 Y n T i G W X C B h T 6 h 0 N Q 4 q G 7 o P 4 I w a Z x X Y 7 H o u B u / u c k l Q T t 3 H e w K U e s 6 E s j o g r D 9 m 3 d 8 u w L 6 o q a 2 l t b U 1 i k S U + 9 o O n p s 3 Z Z 3 q 3 i N r j S R a h h K A A F T 0 v Z x k 4 3 l s y a v U T W 7 x Y b d A R Y L k A G p q a m R d C D p a Y M n S o s L h A T I 8 w q Q C G e 7 m 3 0 U / D R o 0 d C U A 3 V x J 8 R L g Y L D z c O G Y f l n o 0 I V N Z g W u g Q 5 x J + g + q 7 u Y W N r T + t Z g a X F 3 I B W e C v Y e b K L a Q H l 2 E T y Q 4 m 3 k Z 3 h n O C A N p p 1 N a A W c K t s R g 7 g V s O O G l u B h I w D c r U l k P t n 6 x Z 0 A L j k T 8 d N r r 7 3 O K p + z H Z Q 6 c I B i f / V N y p h 8 / 4 D X 5 M A o B N R R h D 4 B Z 3 p i 0 o c D v f 2 x v q j 0 p W g E g h W s B h f W / 6 E i H u f K i v A b O 6 B / B o S C Z w 6 B l u h I t Y b 9 9 B g E K w V m S a V x v M O + f w v Q V 4 q b u A B J D D v Q D j g f n j Y A K j D c 6 3 g 2 D x N 3 Y L a 0 8 r U C 3 Q x + D + I 6 X X l q q h N Q Z p D u d g 3 I T q I Y B 6 y f X 5 t W j q y s h L J D u c c 3 i 9 b q B J 0 5 c 5 p m Z 6 a M I 6 U h F i 2 v D w M t v 7 l i w 2 V t C I M 8 h M M r x h b j u V 8 b G z l A 4 s C B s B H g e k F f C U 0 2 A 7 Y I 3 O J O 3 j M n T x 7 U Q d h f N y z 9 U v q e 8 d k k k 0 u 3 r v B + v n F b h U n d 5 A o y t a K G a + B e I V E 3 A k R v r C X c M l 6 r H P c 8 u h 7 u R F j r v t 5 f S 9 p I K O v J O 4 1 E M i k e v q b m V k p Y V D j 3 8 7 8 x t t b D 3 G + 0 E c A 5 Y A U G 0 U 0 n m s R Z 4 7 n V T 7 H p R Z r 5 Y M T 4 t D D s + q z s 8 M h e Z + l i R m e d G p 4 B 9 V T D F A H D 5 W Z s W G D n U N A N C W w p k O W D C R + d N R w j T W w v 9 b K t d H G c b U w m A Q Y R A i D a T Y R c b Q K L q 2 5 R k X F d d E M U Q 3 2 F C p f 6 a A B x n X g m L t O v / 9 v / 6 X 9 R B x U 0 q Z z I t Z 2 k q 0 m N S 9 j Q a 6 + + L j Z R M B g Q r x + Q O X h A 1 n a I r K x s m l R W w K Z q r M z Q + d E g t f X W 0 l x 9 P U 3 U 9 l E z b I s i 9 Q G f w x C H C 3 2 r A H e 7 B k Y E Q 3 W r C a h 3 A U d L q Y D L H Z I V x n 8 F q 1 c g E C Q g g I Y A g b w A O p n h W A C J c W 1 E a W w G G I w I a T i x 7 B F J V c j 2 A 0 B 2 N A h 6 h M J u o V S P H 1 B f k V S x f H e C d E I l B H k m J i b o Y 0 8 9 Q b F 4 n G p q a m l s d N w 4 w x n + D f R Z a a B i F s I D 0 2 9 R 8 N n v U f e b r 9 K 9 v / / / i p J J A 2 5 j 4 B K 3 9 l u F 4 U W P R O e D A E t r q r V 3 6 o O y g z W i H / 1 v t S b 7 D w S F e x 3 j v A B U 6 K u s L u K a 6 7 v B y w e q G G w 0 j D K G S x 6 R J F b g H C y w 4 T D I 0 x o s f O c h d 3 8 X x g J K 5 d M o R q r t J B 1 + O R Q K 0 Q G W R G g N 4 U J H Z O + + F 1 9 k c V r Y T s l k S t S x T I D 6 I T a C x e V t h f f K V X n B Q C a d F H u i H D R a A n A 3 g z 2 s + q H T F R 3 H G L m L / q d y g C i E C 6 O + b B W w h n s B 9 8 A j i X Q A T D b d e I C 4 C I L d K s D b N 8 f 3 c o 5 V z b E l T 5 5 q 2 s + q 5 V t D C P V y 0 c U x H 9 W a H E W 7 g e K c M D a 4 e L B p K 0 9 3 Q 1 r h 5 c H 9 j N f W V J m k 6 p o 6 b s E 8 F P / E 0 z J M A h 4 3 J 6 + b 1 2 a k b D H A 5 X x z p n i U M 0 o C a g o q g I c l 5 h q G M 5 e B z t r y C I X K h R C c i + O + b I y g B l p 0 3 D f 6 i w 6 2 l G + 0 I 6 7 w S C v C y 9 Q + 7 E R I H / P r x n v A m C l 4 P + E E 0 a Q q V T K X A x A V Q 0 m E W C x 9 l 1 i 9 Q 2 A t j i N p S y u r 1 1 V b q 8 l v G d Z x x N h 1 P f f u K n + m 9 q x r K 5 y O b w U e 6 I l L 6 z u 2 5 K Z T 7 S u 0 t L R I L S 2 t x q c 5 R M J h q t p g J I U V 6 N / B c A y o F 3 Z A i 1 7 x 7 H f J f 2 w / e f e 0 k 6 t n j w R v H m t L y K h d n 9 8 v 4 6 H K R p x t F l j 8 R S L j I Y E Q d Q D X P D I Z v d w f E I 8 e x j + B D M U A O w T D a L Q E s B r 5 s J k w u A 9 k g a t a d y S b I b G J L D V w / e 0 E G j Z 0 d p t d / H c K i t l R G t C U s m + 0 G F m 2 k 0 x A l T 8 t L W K A h Q 0 8 f E 5 j m k A m x O y Z s b o a l q Q s 5 d 4 j + n U K q X y w J S q C H v I + c k b I h E h w n H 9 t y k f B i g o h 0 2 o k Q k u L C 8 Y 3 8 h G 3 C B E Q N B F N k v 8 H P 6 L U f / m B c d Q Z 6 B i G 3 Q N p Z Y 4 P R C S 5 X Z + U F X A o Y E Q t i I Q F 4 3 e G F u A m d 4 m X E I 4 J x B + i s 9 u O T E A X q 5 n w R m q P 3 3 Y B r + 5 O J B N Q T r 3 K s 6 G A 7 S a O H U B 0 L H D f I g R n c n J S 3 O d O Q A A s h l l o V F Z W U 0 O o U Y J a y 4 V U L g c 1 H R X S 8 4 V P Z + 0 m D B I 8 z K q W u Q + r k u + z r l 5 1 M k f C K 3 n u / g z b H V C p M E Y J t g H C c K a i S P p B N L T 3 l H G W M 3 B d N R g w I c T Q Q H A t C A V p V V m g L w s p x T Q w Q n p u F a F A X n E I z B k 5 8 M x q n R N E g u 9 8 t b j j Y c c V 1 8 / P R e S o / t D u p O 0 m G V 4 o 1 B J U E F S 6 G x d e o i e e e M z 4 t D A i E V Y B j R g + p 8 x D h Y A n Q 1 j M / l 9 + m 1 x / + 5 d S 2 Q s B r W g h d z j K y q o K I H U Y 1 K + N 2 i H 4 P o Z 5 4 P t 2 Y U o o O 5 3 L z w x I H c Q b N l R m J M O S F f B E H m d y o o H A / W n A c 4 h R y o j J g x c Q z o u b b O s g o P h f M u x U v + w x f u / 4 k 2 I s R K a d A N J c 4 b 7 w I l u r 4 9 T b 2 2 N 8 U h w g U z w e 5 y V W N p k A P D K S N o 5 + 4 a / y y P T y r Y D Y d K + y H a O D O 9 H / A z 2 / E G I m y a k 9 i Q N z P o l W 0 O O N 0 G 8 E 2 w X Z X X W o j x W I L t A 4 P 6 r I g D w Q V u A 3 Q T Q 9 R s o M 9 P d c n f L b k g n A c + G 3 k Q 4 L i T Y 1 0 L C h I x d S 7 f K 4 X 4 J 4 I a W s C W j + D B N 3 j P 9 E Q h U j 1 H Y T D e 8 J i T J R 6 d q C c + I y 3 8 g Q D o Q g B U r o k 0 K L j k o I 4 x 5 r T R h E c q O C v z k Y o I 5 a N a r W y y f c n P F I c G s p i E T T N L Q U E E 8 c x h 9 B v Y K U 0 J 2 w Z i C c C E l a k N o L w a h m Y K h 7 B Z t N q 3 x Z H b K D m E A E 2 m r g + 2 t s S o l v l G 0 7 B P a + f j s o j U Q 5 g K 2 I F G X W + D m k p Z 5 c 9 m R J D 0 L h m Z x S G v y p o 6 B z g g s d P C l K q O 0 m E 9 D X m K D W 2 r Q a B j 1 3 i 3 p 6 u z f m P T M w N z t D j U 3 N x t 5 6 I P k k H G x 2 t h P K B n Y c j H E N F I F D W e Y B x M T Q d A S 8 I o o c Q K U v J d A T G W R R g Z E s F E G 6 O o G N B u y m C j 9 J Z T 7 a m p A W E e 5 m j B 3 S Q b i w t z C s P m Y Q A N E e c P a s o D u C D x U K i Y K N V s E C H r 8 b Y m n X F 0 p m n z n J B 1 9 h l b L 4 U / z p w 1 H t 4 0 o i K t 9 O E K Y Q 8 N J j K T e N s H 7 u 5 l b 2 g w 8 + 3 B S Z A J A J Q b + T 4 2 P G E d X n g S w / w O k 9 M S H T w V / 9 o y z 1 S 5 O S 1 2 J v S C X g 1 G R C y y x R A u v L 0 B Z w E E D a 6 H o L k i C 3 G 1 A s h K a K J d h J l o I g n 5 V M w K U J v 3 g Z 0 V e D o R H v j / q y A / H Q P 3 W F 1 d E X M D b K I B M A 2 w s j c e H R K x Z f i O y + a a 4 Q 4 g m c 9 9 I F V v W m w 2 6 R o G G + z q k u + / F d f 4 Y S O p p F 2 b e 8 W 8 T C S 4 f r F m p N R x 1 X y N o a I c N m A b W x r a N T t j G S F 2 N s 0 J 8 D 1 F Z k 6 J n 4 e Z E i G K J 9 c v G 8 G N 5 9 T f l 2 C I Y 0 Y / g C b K d S S u f S q O p w x S w Y U C t B E r j Z U d F L t T + c h o J o o P / p L V Z V 4 b E r B b C D S g U k G Y C q A G 0 B Y V M f c i O E d M 7 a j j v A 5 Q U 1 + c + w R + F m c w e A D l 0 A q h E q 7 V 1 3 H a H V M q M R 7 I A c G R p 6 J C + c F w B m u J j e d 1 y 2 U T k 8 T z 8 l 2 1 b c 0 x k X w i F 2 r p Q 6 l E 4 m y M / G O 8 Y A Q W r o N u p g c y J r p z k B j o q X b g W K x u a B q G Z H B t I r w 4 l Q K N P Q w d A q d d V G q c a X I C 8 h v 0 S S Q v 4 V + n j T O I V 8 9 n 1 o T o C z A v f w Z 9 j D 9 b N 3 w l I 8 u 2 U / H e I W H W N f z r E 6 g 5 w K 7 u Q y R S I R a m t r M 8 7 g S j 8 + Q b 4 / v k A p n 4 + S X / + q c b Q w c O 9 O R u T K S l g G M T p 9 v h V A 2 B A i 0 + 2 A j t r 6 Y I Z 6 j D F G m O 4 H 6 l y 5 Q K c v 0 n Y h H g 5 S 1 I y + p g T 1 z / r I 7 4 r S w 3 1 I K q J i 8 x a W V 6 m h t p L W / v 4 7 V F / p p n S w g j 5 4 9 H M 0 s 7 h K U Y + z 3 f l n 5 O B c b w y 3 + a 4 h k 6 a m 4 K r k v t v T k K L p C F e M q 9 f W d e p 6 3 3 t P 1 h m T 1 C k E 9 E c V I k t N T b V 8 n m S J A n V w O + B E J k g q 9 P t g K D x s L L j W N 0 I m A J E X k G p W M o G o v U a G 2 3 i G 1 U 2 W m l p N A 5 k A k A l w R 9 f o U L u H u p t 8 5 M r k q 7 y F s I 1 t 0 U c a I q G c J N F 2 S 6 h I e I k W b 7 9 D o d 6 T 1 N F c S / v r F u i F 9 + f o C 4 / v M 8 7 I w f v a 6 5 R 8 9 B F p z W H 4 b z V W w 2 H y B f x F M x 0 5 Y X R 4 k L q 6 e 4 0 9 Z 4 A E U A n h z Q N g X 2 1 1 M S M I 9 u S e G L 0 9 q N T H U E W S u k M p l m i F L 3 R t e E m y 5 6 7 G M 9 I o T c W Q 4 9 C e O Y 3 e G Z p L / s u U a I U k l C O h t p t M c P V C F 4 + s x S m 8 O E G e m X M U 7 L i P n k h O U O X D z m E 5 0 O F h G D t h Z W V Z x l E V g v 8 X v y L X 0 p K x p 5 C p q 6 P 4 Z z 8 j z 4 3 w o d j a G t X w M S c g / T G c K a 0 1 i h g Y L n 9 9 o V H U V m u f E / Z A I n g 0 A W Q U w i v B a N m d S O r o T y / T m f 0 B K f N S o G 2 k F 2 / C E e E S D y g y R Z k R S v Z T Y 0 M t 3 V z 5 M 6 m y 4 L q z a 4 R C y E s 0 6 Z Z I Z l y q 0 r V C D + z 3 F f U g Y S 4 i p 9 w K x e D / 6 c / J h a y e B Z B q b 6 P Y U x / P h u J A J V x c W K C W t v a 8 O a d Q 6 V C m u F 3 0 B 2 H i g X a W O j p j D w i E 3 9 D l j v P N z w Y i w S W / E w Z + K D N O d x 8 I S T B s O X j 5 J t u s G X t v Y m / V L L V U J y n t b + D n C O z I c 9 x J s C M U O L P 9 z a M D 3 F y 7 E E O n e d v b o m L V C g H D s v E c T i 9 v d m b a 2 F o P 5 P K z I 5 P 5 p 9 A 3 N X V 1 g g b / / n n 6 0 L B L 4 C H s 6 N o j Z E K B L S 7 M S 7 Q 7 f J K 4 X d h / 4 W h K 8 t Z p M i G r E I Z 7 m 8 v c 7 t l 2 q h I u u F p o a q l 8 N b n S 5 W x f L s d 9 t E I h q n R H Z Q r U O z X 1 1 0 5 j V z p 2 0 S s / t p D j M l p y n S b Y f D e + F 1 4 i u n r V 2 E P H a U b G M D k R r 6 m 5 x d j K R + D Z 7 x l b 6 4 E 8 5 C g C J B H B b y O G L h A N U / T i D X F h m 9 M S o 1 W q b + B K V J n z E C J d 8 h 6 6 y j Z Y L k P S t W n f u r l 1 r U D f z k 4 h Q 1 5 a m s 9 N C l Y q T u 2 D y m f / H K u Z G k m k M o M M V b F F O t k y n x d g + y 8 T D h J q u 0 n m 5 6 u a O y b r A i n p W 8 F k w W a u u M f G K D M + K d v + 5 3 5 J / l 8 + L z k P c H v W + Z I m T F E R Z n j 6 B / B A x t 5 6 g M j g B n L P 7 W + M U 1 9 z R v q e H p p 8 Q / p 3 k D k V Q C C r E 0 J N I a q q V o k x E Z G N 8 q v i 9 h s h U J C a i X g 8 r 0 y n l j c X C b I R z L s 6 a W y + t H h E D a i I X R X r + 6 k w r K U 2 M y Y N X G d X N 1 X X 1 N A q 1 d D d B X I E / q l h P U d 4 n / / t S p s S T c q 1 s 0 i k 3 f T m b X / e 1 P p Q 0 Z D Q 0 v X U k 7 L v W l 4 m 1 + I i f 8 9 F w W e / S 2 0 / + Y 6 Q T K P d i I q w w v v G m 8 a W P X Q y F T g S 8 v L w M W L n 3 j W 2 1 O d O a G h o N L b U h G y Y a B r j p B A C B a m J k b 1 a o u F F D M 5 t z A b c D O I p L 8 U z 5 U f j J y J T 5 E u H y Z / K E c v v T d H e 1 o q s S o t n Q 3 A v o v b v 7 4 6 p 8 V P / w g B + Z Y d v 7 D T 0 i 9 B I 8 9 1 g d C q k g d g 6 c / N y H N t Y z D j x 6 o + M L U U y f I 5 h 8 b Y o M 4 Q J L a 0 Z t V e v G V v 2 g O M B 0 G T R c O q D E v C 5 0 c T O V 7 h a 9 z z b e c 5 S 1 g 7 I k 7 i S q q H H D 3 v p 4 Q M + q n f N s I 2 Q p P 0 N M a o 2 5 Z H H 8 y O F 9 p H Q o j S K 5 e R B t 8 N H e Z j I r h D K m k E U w w d i R u Z N I N M Y o r Q p d 3 m a V S Z I K y x u Y 9 p O M y A N 7 A C v X q n I M P l c r t K L A 1 P A I B M Q E m G W A z x 5 d V K p s T s K t 4 8 i R o b Y U u H z e u m e A 8 o t j j m z 2 q t W a U 9 w n J p q 8 x 0 u Q E V F h a R + A 5 A P H d H v 5 s S c 5 a B q l z M d b Q z q W X e F U N Z c a 8 g q p I d y x 7 / 4 e V m T q X K 7 W W V y Q q G o C F c Z K Z p L J Y Y r H K H V v / + + e C g H 2 V 4 q 5 F m 0 w / h C i p b d 6 5 P P b C c g M e / q w q y G 5 V d U r R I D w f p 2 t h d z I W F W 6 J H T e B s g V L G c h 0 7 Y 7 e l s y k e u j H b l z q 0 z 5 S E M R 3 M i Y 0 i b x O O P U v L M a Z F K h Y D 5 g R 2 x z n B 0 h t 1 k A / j 6 G 0 b u O + / F i 7 J O V 8 P d E J Q 8 D 5 i N s K a u q Z z L U E e D h 5 p r v d Q Y C J M n s z N D I m b D G V r a f L y x D A V p L J D x V f f T I R 1 c z 9 4 D 9 N l T l f S / / o e / k G N / y j C / / 3 W 1 c b s 9 f B p m o e K U E i t 1 + J C x l U O q J z c 8 H k G 0 k c / 9 K 2 M v H 6 N L / H I d J J c V a R v p h N w R i E o / 8 u E f x U 5 L H D s m x z G v 1 N I X v y I d u U j G f 3 E K c Y H y U c k 4 1 p G m E z 1 e e u z A 5 m y N U p E h D 1 1 l L f P q y J p x x B 5 b 8 e p R f z A E 5 X v f + x 7 d / t / / M 3 U 2 q w Y S Y 9 3 + 1 I D y y v I F K 1 5 2 T b a a X x 4 8 Y 6 U i y Z I r 9 r W v i G p Y y X p 7 9 S + f 5 y Z 4 1 v g 0 h 6 6 6 J I 3 H q 9 a l 8 r I D E r 1 Y g U Q s N S d 7 q X 1 h S P Z j Q 8 O y r m D V 9 G B z U h I x u j I J O n r t R f K + e 1 4 + K w f g o M f t J n 8 6 P w R q u 5 B y B W l s r Y F e v Z a 0 n X I T A x B L y f V X D E t L y h s Y X Q 3 T v f / n / 0 z / 1 / / 9 d 5 I 0 U 4 d d / W n B V I k Z u + b l M 6 O U z k D X g q U v h G 0 q 9 3 O / Z D N L f T n w m 9 / J 2 o r G f / 2 5 k n 7 f b j 5 d w P P w Q x T 7 + l c p 1 d t L w X 1 7 1 T G u c x h m j t C h w 7 / 5 N r V M 3 y b P l a v K G 2 m k E E O K L k k O W Y L J E k g V n y l x K x F 3 V 1 M q k p s u C A 0 b J O 0 s 3 / N W z M l U V 9 c g O R I / / v G P 0 d D t m 9 T c U C 3 R 9 S c 7 E 5 J B C b G P 7 T W Y n j Q t k x D U 2 y S e + S h C l 9 y u E g q q E h I w I t o A Q 9 T t g I r q / 9 W v 1 7 n P 4 7 G c w y H V m O s H s q I Y o d K G U w O 5 G s x S M 9 F u G N 8 Y g / X Y I 2 r b A E b 3 7 v n D T 6 n a k 2 8 D B X 7 8 U 1 p Y 9 f C z k F T O U m L n u j t 3 1 k E B 3 I 6 o i B I M H U F 2 p / 3 N C W r d o h z s K M t k U k 1 + b g b y Z C A G c 6 + R P + R o S 5 K O t c Y p t g V S 8 Y 4 B P / O u E u r p i g E M i a I L r D 4 h J q 4 Y / G Z S / f V f G R t M m r m 5 d Y T T i H / 1 K 8 a W A w y n B j I K R U w v N / 3 0 x 4 2 t f G B u o 9 l V N z W m V y h U k + s o R f 1 Z j a T o g 0 k 1 U Z l 5 N s R C a H M O a N 8 2 r C a V 1 7 Q 6 k K E n D 8 R k 3 t + 8 E J V N o r m l R a S U F f A Y o v F E y j O 4 x s e 5 n J B w B h E p U A k / O v N B 2 U H d + 6 4 S K j 0 9 Q 0 d / + 1 / F T R r i V t / S q K 1 D 3 j t n J i 5 8 8 X P G j o K Z V O 6 J S e l b y g T 8 l D I c C n b Q L n e k g M b L B g p 5 F q O s 1 Z 3 s i l P T i Z 6 8 Z D L 4 J m y Q y p V 5 O g H 1 p k B k h R m X R j N U 4 V 6 l I z U j d E / 9 I B 1 p D P N z b r + z Y m U t n / B b y C e B 3 c B N c 7 4 M q J g r U Y / k G k Q C m 4 Y K p H y O 0 e k 9 H 9 H w J X 7 d e O O e r / 5 3 / 2 P e h G s 7 i f Z D z V T z w H H J / Y a + K T 0 v k R n p v n 1 C D v Q p h T / / W f I Y E 6 t h R o 6 K 5 3 5 B b h 2 u Y C D F 5 w d + + E / k G R g g 7 6 X L l K y o o M y x u y j N N p D n 2 n X j L A X 0 P S G Z i 0 a G 1 b v 4 N 7 9 h 7 K 0 H o s N B v C A v i c 4 O 8 v b 3 k 8 u Y P h B 3 j q Q s r c c 6 i G r t J 7 z 2 v f C i 3 I c Z T T V u 6 m 1 0 8 V e q p B + n t t I t E s O 9 N k n L y W r + 3 e 1 p 8 9 L L t 6 k x V C / B v 0 u s + m G C a f R T 4 f l K R e b y Z X L 9 8 l e U O H u W v L A f 9 + y R + E V 0 e C c S M c d x a b g m Z k m E c w d S C T Y W Q p f Q t i F G c 8 Z I E / 3 R Q U a p u L y 4 f n p 2 J a 8 W 7 5 T b H L i / h w u d K y F S W L 0 / 7 q M z 3 c 6 t k + f C R c p 0 t l O a 1 Q m N + D / 8 A 9 V U 5 E d J p J k U b l N + c Q 0 t d d y D Q + R 7 / Q 0 + M Z 2 d y S P d 1 E S J T 3 9 S P r c C p Y E i w T 1 W 3 f i Q U n c d l e P m F N B W + P 7 5 j + S e n K T Y t / 4 S I l C O a e m Z 2 r e P k o 8 8 J N u F g E G O I 0 t B G p z 3 k G l O h w 0 B + f r Q e W 5 G s 2 u M a k K t 2 U k H E P w L z 3 a 1 T a P m B D w T V D u U o d 8 f o M n / 5 t P U E A r J k H w k C U X G p G P t c Y l K N w N D W 5 Z j b j r Y Z B + s i 2 x L S G H 2 U Q E 4 I 9 o Q a 0 2 7 S i i M I E U M H 4 C h E o / 3 K V 3 a D O 9 r b 1 C q u o o y J 0 8 Y R 3 I Y H x 2 h v S + + Y u w p Z P j l u i y x f c l 7 T 2 W J Y A a e 1 S n K Q g P 3 h T 4 n d O S a M T 8 / S 6 F Q k 7 G X g + f G T f K + f d b Y M x F 5 d o 5 8 v / 2 d I l k R J B L x 7 F B 8 p F R 7 9 W a a k q 7 y M + k C 8 K x B s u q J q Q H 0 C W H i A 3 M U h B W I / o f T Q k f b 2 w G E w r 1 6 v Z h n y y X P i h E D 6 A O E + l v H 5 E Q E u n W s F D J c o T 8 P 5 e o E T B y h 0 5 r d 6 Q C R Q K g 0 r 3 f 1 j h E 5 D p c 4 k q 8 c e v 4 f y W 2 a F s Y 1 M S E v z H P 7 N v k v f 2 A 7 p g k D / 1 a / 9 m U h E S R B l N W 1 B L e S Z i R b m j d M J g D J + a 1 k A g J + + 3 R f i I i 3 Q 7 q p s S Q y R d d W 8 / J a Q C W 9 t 8 d L 3 k z h T l k n g E h m M g F I j F O I T B g j h r m p r G 2 r 1 R M b + 8 u v y x r l i H 7 B y W W 3 T C q A G L 6 j b Q l C B l 6 7 g Y f w g B Y i E 7 B a Z t z h r g G F p P 7 J f 7 t 6 1 + h 0 z T Q 0 k G d o W O 7 L 9 + J L x i d E / j + 8 Y G w Z 4 B O S K / n D K 4 B 5 J m H 8 C 5 + T y o p + q Y z f T 4 l P f o I y b D v F 2 V 5 J f f I Z 4 8 x 8 T E 0 U n 7 s X y B v M y K 2 Q 7 / d / E K K H f v a c c Z A r l G k k M M K l u M m W 7 T j b f O U A w 0 e C N v N i 1 T B 3 n z j k o g c 6 Z q k 9 O F + W A 8 E 6 K j i Y m q e j n c 4 2 C v J c I P k o 8 r x b w 4 w w M w p m c s z C 4 6 G l L 3 9 J S W E u m 3 Z f R C R a a 0 2 K q t g u K q V T X Q M N H K Q d Y j N n W d 3 D b S N n x 5 0 O 3 K f k j Z X W Z 5 f d 5 r g F t H r i e O B a s j h T O J g 1 0 N 9 v b O U Q a m z O m y s K g J 0 V / / I X K f P I w 8 a R 9 Q g 1 r l f X i g L l V s U V n l v k l D 8 X + + e z k D / 2 j a 9 J J c v U 1 F C p M / 8 t L y 1 R t T F I 0 Q m Y Q O G u 7 k o 6 3 Q k p m C F f a p k 8 a X O Z o U S d U Z m Z p 9 M H K g v 2 j 9 3 V n q A j b f b Z Y W e Y T J j 8 A E 4 k j U p u w D L / z / 9 L / p / / g v w / / i n 1 / u I 7 c h z n N h U a x m I A C U k l p Q C X K S R z M u N j U r s k T t J q 9 9 1 p E P P I W F D y 2 N x V G w r o r E / R E W 6 J M C n Z 2 j 9 8 n 7 r + + 6 / J c W 3 E m 5 F 4 + i l K t 7 c b e z l E o 2 u S / q p U l K r u O Q H e Q X z f 7 C E 0 A 2 7 g h V W X J G 0 x T 8 7 m B E x / W l d X b + y V B k g e 9 Q T w M O G Z 0 l w O c T o 3 E q S k e 3 1 Z h D y z d K p v Y 3 a Y G X C q x t M u G a 0 L 4 D 3 h 2 n D w 6 I i T 1 L G 7 K H n q p O R U D y 8 j t C q z 7 v n g d J m e n K D O P d 2 y j 1 9 D 0 h p 4 + b y u B D 2 8 L 0 2 X x n 1 F c 8 L v J s R 2 A p m w G E 6 J v L t V R b S z u D 6 8 R O P T y 9 I P 9 d Z 9 T 1 D 0 f R X V j d b d C j s y A e X m 0 s N g u M 0 A / U 9 u i 1 T U Q O X G i N U 9 9 f Z k e n v Q L 7 k r N J Y 3 Q C Y A E g R t g i K 2 S + 6 p q q q C b b v 1 r X q r Z 9 S R T L h f 8 x r A N i Z 4 M x / T w N S g m k y u J T V j J D Q E j E l D s D L g + e B D t e b 7 Q y S K + f l Q + c K s u v t 8 v i y Z A K 6 P 2 b Q G X h d L X 7 b D k G 7 N j E 2 0 g d s H F I V R T i i v f P r b F O B 2 Y 3 9 7 g P 7 4 4 p s U G R 7 i 5 R 2 6 / p O f U + z 7 P 6 T o Z z 9 j n K G Q O O 7 c O S s S Z 1 4 5 N D w X L 8 u 6 E O K x z R E K n j f f S 8 q 7 i L g + T G S t 8 T 6 r R D C 6 7 e a s x f i p M z 1 q O k 8 A L u f a D Z C p E P Q g P z P m q Y O W w + u f G U k 2 M U c W X N S Y b Q P b Y 8 t e + m D K l 5 0 E r x D c Z 5 U 3 M 8 D a Q S K e Y L K p 6 g S 7 W A P P t 8 J S a n p q U r 0 n / l H r y G h A Z 5 l C 9 l q v T z U 4 0 Y S L e l / + R V b 9 R P 7 2 Y p M p 7 B z 4 / W Z f s Z J S W O + 6 P D 3 Y 6 q W n H j 9 F v 7 g a o S e f e I g O / s f / g e a f e J z e f v u d r C R J 7 u + j t I 3 b H P C + 8 i p V P P s 9 8 j + v 4 v 3 0 u C U N H M M S H s s 5 I e p N O S A 2 A k m 8 8 u l P i m u 5 l 8 m B W e G h g s H F j o J F i m U r Y H f M R z B l j 9 q f 4 9 / A v M B b D b / N + P F E y k 3 v j J m l B M m s h F i j G t y Y 8 Y k D o Z v V 7 4 Z g i o 7 z 8 5 Q 0 2 r Y 7 J 2 E w 0 R 2 I N T 8 7 Q / H P 5 M Z A o b + u p r a O W l r b h E x O m F 5 R k j X j 8 p B r e l r S G z B N a a 9 r V s o W 5 Q Z n C Z J u 4 m c K T Y 6 w E 9 B l p 6 w n Q J H K Q q g S C n G L g X F H r c 0 h e u B 4 F 8 W 8 j V R R E a T 2 j n Y 6 c u Q Q 9 d 8 a Y P t i i c I O Z A L g I X S z u m N 2 T M R f e 1 3 W L p N X M P T C i 7 K 2 G 5 m L S A y z h 7 E Y / K y u o J 9 l Y s l N N 6 d 9 E g y L 4 R z A / J r H N k M S K g E 6 M 5 E U c 3 B 0 l o J 1 z i N f N 4 M D d S o f x z r w D W i P H 0 b S N l S m a G 8 o K U M r a g N p 6 Z f a 0 5 B c F 3 H u u n q N 3 K b G y A y 7 8 W q V X / q S 2 E d o d J a Z F E m b T n Y r Y D 9 r e F M R i j W 2 U r q 2 l o 5 0 p i n 8 r W 8 K e V p q U h K W J A 0 S 3 6 L T r P U 7 A r B J b a j / e V 8 f y i P U Z g z 1 j c L P 0 h 0 j P f s 6 a 5 k Y O d W p g d W G v f / H / 0 b h r 3 + V f v T D n 9 D 8 / H z e F D U A P E s a H t O 8 / / 5 H V X S 4 2 Q 6 L G x 2 s K 5 Y U z I D v D 3 8 k 9 + i Y S D K P K Z O S E 2 p Y j U E 0 w M i i V 0 J n F p l E H l P Z 3 Z 7 L P Y c G G o 7 e h g S 1 u Y e p t 6 u J M L P g d i A T d J Z 6 C U x F y E B l 7 A 2 l J F 0 a K u j d H c 7 T 9 U B S u E d G j L 0 c d A W a e P R T W f d 4 7 M t f J F f 3 H r G P k O 2 p l k l R y J s K D y 8 m T 8 A c x B r e d F j q K a L 2 Q 1 W q x c c E 2 h j y o U c O Y H q g w 8 3 J X Z J S W i b x / 9 g w k 4 u 3 L R J q 5 6 F V C 0 w C g O l Z z A D R m p q a 6 M t f + Y K o f y + / 9 K o Q S + m r / L J N E i g W t X c S w H 2 t o x W A G n 7 J V i S e e V p 1 D j O 8 R i Y l N w Y u O g B 5 9 k 5 1 x c X F j A q B G D g 9 B S i A u a G s Q H x e T X q K 9 n R t j 2 T S u D F j D N m 3 8 T j P z a x P D h N P s L 3 3 b f t I f S B 9 / x l K P n C / s Z c D 2 g + 4 t a s n b k t G X 4 L H s 6 K w p z U 6 O y d q m 8 Y 4 S 3 h M o b q 0 l i u v m D d k 2 E r q x B q v k n D m P r H 6 y g y 9 N R w Q e 2 o r x n C V A z N / 9 E p L K G z v K q E q T Q 0 5 1 C S n Z P a Y 3 q a z s 5 N O n 7 m X R l m S v P r K a 7 S A C A v j c 8 B f I J G L R o o l H L L 3 W J F u b V W d w 0 y 8 d I + y C 7 w O X j y o j E G j 4 m B c F F p 4 B M s G v L k X b i f o Y V s 0 c u O w 1 f B c e F 8 a A O 1 x 2 x u K U V M l q 3 K 9 U Y m K N + P q y h 6 W U v k q 7 z s j Q Z q O r C + T U o C + p r W T p + n a 4 1 + m W I G g Y l S 2 N J d 9 3 W 9 + S + f Z d n t 9 w E 8 v 3 g x S v 4 0 k D y T n m W A e y f E n + 9 / / o T y f B t R W e E / r W E 3 d x x K 2 s y 5 f a 9 l W W N g k s k q O G Q t v 7 2 o / 1 N 0 t S 9 R S r 1 r U U o H 7 m 2 a j d X x s g l Z Z a j 1 w + b K k s J I + A L c n L y D V i l g s S o F A f s i Q l 2 0 n D 5 M U E R b x r x l j p + A p c y A o b A K d 0 A W D E h G d j b F U w D v G J N I A g k L b a s p T S d y T U 3 z v i u C l I v C 9 H 4 D l 0 q W A f j p g c H y J b o V b R U W y T s z d W 7 t M + 9 t y z 4 b I i G P G V K n l A g H D 6 G t C Z A P m 9 3 I C p P g 5 l i i l j G D 2 p C N U W 1 U h z g c r c C 2 8 W c Q Y n h s J i E 0 1 z O / A 3 N G 8 n V D c 4 E X + 8 V 9 a x e 9 l m O W Z N L 8 D a z / U T g N k W r Q Z i F Y M r V z h j t 9 9 j I 4 e P U z n T 5 6 k y + P j t M g q B + w t J z I B 1 o g K / 3 O / E D I B L i Z R t i U s I O 2 Q l B P A C s b 9 / K o r a 0 N A 1 / e 5 u Z X i 7 R C r J R o o + F L g v n G T 3 N d u G H u l A f F 0 q U O H s m Q C e j v q q J r m b W e 5 n 1 3 L b 8 A 2 S i Y A O e q R w a r J r u H g A k K Q L C Q R 1 D q Q C e f D 5 s T 8 V f b J L P n 3 3 F X U + O u f y a y M Z s A J h L m F 8 X u w u V D + H 0 5 6 q Q e D I 3 c U x o 0 L q d Q a / 6 n V L t p Q e k o a e O j K A d z N A A a w w X F x 3 + l 7 q e 3 f / z u a f O g h e u 6 5 X 9 H c 3 J z j H L 1 w 3 5 r h W l 4 f G 2 h W L + w w N 6 3 y M Y C 3 M J Q R O Y 0 Z 2 p G 8 E + r f 4 / u Z t L y e D e d q T D x u r z 5 a g a H 2 S E J T L p L 3 n z a 2 c j i z P 0 g 1 n v W D / P p q H b y A F k D 6 o J L c n i / 8 f j A y 2 a J F S p k M / 6 c f 0 b W p 3 H y 8 G E U A S Y 4 h O h h h 8 O S B K F V Y V H w 9 g + J c 7 1 E p W 5 B G n / H 2 U E B s 0 1 B l K u s V R M Q 6 o t J 3 C v q N 4 p 6 0 u q f s J 7 3 N E n a 3 B h g i a Q d U E q h P T i E 8 d l D 2 i 0 s c F l D x 4 J k M B o M U C o W o u 7 t L P I E / / M G P q a O 9 j e 2 F B K t 4 A T k H n b F W L 6 b 3 w y s s c t a 3 r q t 8 n t d G 7 Q p 8 9 / u U Z o m o 7 T U Y / g g v m m K V B z n r t C M A j p a 5 V a 8 E i Q I o c P P o 3 p 0 A n r W z w U W z 0 x M U d 9 c x 2 T N U k Z 6 j S l q m u g I T y c V u 3 q S q X / + W Z l + / S p d a 7 q U j b Q n l q i 4 A 6 6 D E 6 z 9 9 l 4 Y e z 0 / v B m J B H U b G 3 c F 5 r 0 S L W B N h V i Y n K e G p o a a 9 I Y k D R F q E i + N q y l N U V g D y v 9 T 4 y C 1 H l l E 5 M u G O z N u 7 I q F g V O p + B L x 4 R B i X A u T P 0 y T S S R X N q K n h l 8 G G / 1 / / z T e Z e E G 6 d u 0 6 / e 5 3 f 6 C 5 2 T k a H h w w H j o H B L G a k W 5 s p H R H B w X u V j P E m x H 4 0 Y + F f B W D g 8 a R H D q Y V L A T N J D Z Z z H q U t 4 v B s h c C r w v v U K u E v p t S g X K 6 f T h F g m g r c n M 0 0 O H q 8 n j L + y J 0 0 K j u b O C Q l W p k h L N m A F V b f J E L q k N h u W c + u f / m h f h k P 8 W c l j z q U Y M 5 1 6 Z 9 N F Z l k r L X I 5 m I H p i 9 8 D X B n n k D + D / 1 T 8 5 I g 3 n b k i o u 9 l g r z A k N V 6 6 k l A Z i o Q j f F P c 0 t u Q B Z i c G M u q b e F w W E a J 2 g H f h 6 M C n s H W 1 h Z a i 6 7 R W 2 + d E w + d 3 4 / W j g l t O B Z S 9 9 y t c q k f P k S p E / e s G 6 K u g Y B P 7 8 V L l L 5 9 m + j e e 4 2 j C l X X L t M H 1 E m d x h x X 4 2 w 7 z E U 8 4 k o P s g o 5 2 h S i 2 n o V q Q C V E r / j W g n n 5 W 8 H M q E G i Y N L 8 3 1 v F b h 4 x W E Q D H i o K u C m q s q q g h L H z Y 0 K y q S / + S 5 u E N z U Z k h Z K 9 a 4 A b H L t Y c 0 B j p W 8 e F r v 6 E O 9 5 K M y m 4 7 3 k H j i e p 1 U s m M Y G K G k p 5 q m g l 7 1 o 3 h A l w Z b n j L y D + / 1 U C 9 E S q h Y c a 2 a V 8 H y u 7 4 3 T W y D o w O u / V w y V B q j P 5 c n J + n N b a D c I N m t H V 0 G V v K Y 1 c M I C r U m w 6 W O p / 9 3 G d o z 5 4 u s a + e / c 7 3 W H p d k z 4 t 7 K e 7 u i j N K m P q v J p t X g N e t 8 A P f s R G i p K g 0 W 9 9 g 9 L / 7 d / K t h m p 4 8 d o e c 2 t 7 A U m 7 T w i p L n e w C k A V 3 z I c J d 7 B p i M B p D z w g r M 8 y v j q b Y Y X l Y 3 k f 4 Z k t K a V 9 4 J M v d T r b 3 m g N d y b c Y r U s T u 1 0 D Y J / Z H q f q u 3 C T e i O + z y x l i R t y j G p 3 q + C B 5 0 9 o O T p M / O c 9 k m 5 S w p N 0 D 7 l 2 T C G V g 2 p c F 5 / B r 3 2 m 3 O Y J D E e p S K m L R q D g u I H U g z T S g J n o 8 9 p K s G G K x m B B p l l X B 9 8 5 f o L 6 + f X T y v f e 4 I r D 6 + b d / I 9 e y O i c i R 4 + S 5 1 6 E Q G F a 0 v W t L D o 5 2 2 d u U e C N N 6 T z M v p X 3 x J b C t E c 4 b / 4 l N h d 8 C T 6 f / h P U v h Y E q y a 7 g T g Z Q z + 0 0 8 o z Z I 6 8 T d / b R x 1 h m t 2 l v y / + V 1 e h 7 g Z c D p g l s b j H Q l 5 D n P c H 7 Z W 4 y w J j U g Q V z R G m W B A h m G c H / Z J p l w 4 H x B m Z o a W P r q N d 3 G L D / G q f K a 7 D 0 U a w 0 U u 0 i g t D V T O d a 7 2 1 x E K 2 C 5 S o Q c c r u W y w f c z e H u A e v f 1 G Q f U P U K F c 1 I P S 4 U m F 9 b 9 7 7 x L o 6 t R e u y R B 6 n l + V + L I w G q o X a a L H z p 8 z I d q B M 8 N 2 + R 9 6 2 3 Z T t Z W 0 s p I + 8 6 h i v o C G t 4 F j 1 X r t D r 7 Y + K c Y 2 U Y 6 X m 8 N s o d O M g H d t M b N 0 J 6 / / t 7 y j + q f X J a X A + 7 M k E N w S b A S Q 0 M u y O L 8 R p J s L S z A W J 5 i Z 3 J i H z T F n H b X X X J 8 X V r j 2 D d w o U m T S R e A 0 i a U K Z y I T 1 j h E K j T q G V R f z G D k B N 2 z 1 B m I s 0 V Y O f 8 A 1 M K Y n w e T y P / s 9 G h 0 Z E 8 n S 0 d k u x J r 7 / G e p n l U X b N t J K c D d P 0 C + N 9 6 k + M e e p E y X s o W k 5 e L W 1 + E r o i Y i O 2 7 c N P E B I t Y R B d 5 R l x Q n x 2 a g C b W 0 O E 9 1 9 S H Z 1 o h / / a u S P s 3 z / k W V e 8 O w L e 0 A h w D 6 k o q 9 Q 9 Q f P P O 1 K R / 1 N K z R y P l p 6 j r d T e 8 M B U S C B Z L T F G c J F U j O U c J d Q 2 l 3 g G q j 1 6 h t z w G a Y t s z H H W X 1 A m 8 M w C B N K E 0 q U A g b K f k M 0 U m 1 b G 7 Y 0 4 J u M j 1 O K C N I J l M r H M 9 J 1 n t K y X k q F S A J H C z o x B D g 0 P U 0 t L M N l i t H E e s 4 O u s f l 6 6 e J k i L N G g H s I t H 2 c 1 D p 9 j A e H h W I B R T 0 b M Y J S / h 2 i E q z N B G R 5 h a R M E I B O C U O V 7 B p D Q H 8 G 3 Y V a f J L P r J p A 6 e o S 8 H 3 z I 9 + y W 0 K s M 3 5 u L G w 1 0 B s N u A + H Q O Q z n D J B O q 9 n 2 r U C o E B w u P c 9 9 m 9 y j o 5 Q + e M D 4 J I c V b u T Q d e H y B q m t L k O 1 P / k p t c 1 x I 9 N Q Q w P p Z q p M j F H U h 4 G i T B p 3 l U i t S n 6 F 6 W S K u l u C E v V w 7 5 6 Y P P u d A M g W p k 7 u T 0 g l n w i x l P D J b e + Y h E J w 4 8 n O D a h 7 D L Q A U F c w V 6 0 G X t p m 1 T 0 n I B D X 7 w t Q 5 f e / b x x h 1 f B b 3 5 Q C x W d R Y y I 3 D K q 7 f P l D 6 u / v p + 6 e b t q 7 t 1 d I C I B g k G R Q J V + 9 O E n H j x 5 g d a u S M G T C F n w e s 9 n Y I Y k u Q E d m X 2 O i 5 N l J E l e v U v W 5 8 4 6 2 j 1 W i w 6 M I 7 y W 3 D C y Z c m U 5 G 3 G L d E E s o D k 7 E l Q x R C z 4 3 n p V c k k k H 1 w f N M u V h 0 t J P T + Q x n i 1 o W G 5 J 3 j u z g 7 B 2 + i S b Z x x p j t G 7 4 y o D E v P D P 2 a b o 1 n K P K J T 0 n u v l 2 H P A v / i T R S h J E 1 p J K s z f Y T p N U O q n z I D 3 e y L Z x H i l I A M q E S I 0 D W C n 2 f + u V t F c b H R q g i 1 M 2 G t E f i 8 f T s i n b A P Y A 0 W H C v 4 Z U w 2 9 Y u G h u b o I G B 2 1 L I p + 4 7 T Z P x Z r r v Y J 3 k E y 8 E r Z 6 h A i I C H 7 k p r I Q S G 8 c U u 6 f h / 8 n P y M X S M / 7 F L 0 g y G U m 9 h k r Q 2 k L x Z z 4 h I 4 R D s T h l H F I J A L i 7 V / s D E v A L j y C G S h T z z q E M V l a W p a E Z H B y h T l a R 4 V 1 F U h k z 8 L r e u z 5 N q 9 5 W w k y j Q W 9 K J t K + M h r n x q a K H n 7 5 v 9 D S 1 7 5 J 5 0 f L i + / c H o A 8 6 t m y k o g X U e + y J F L b s o b K x + s d I 1 Q X G 5 y H W 5 I y + A y q U a m R A 5 h l w 2 8 J a N 1 u o G C 0 v Y b A z 1 K y 9 2 g g F R i y F 6 E M 4 T S B J E W D 8 N Z b Z + l B b t H d H o y U T V K Q p R E i P K w w E w q q 1 + i S W 8 K 0 Y L d A Q m C N c 5 I P P k C p A / v l X D v o 3 9 F I P H A / R X F N b n z Q / 4 V M T f D m Y e Q x 1 D 4 N j N u C u u X i + 9 / X V J p k X A m H 6 X e / + T 3 V 1 F T T q X t P 0 j I 3 K g 3 1 d d R o M y u K l 6 8 b f u I p O j + Y p o R E u 3 q o p c 5 H R 1 o T l J p f p D c W 2 / K G e O w O F J n w n / y Z J F Q e o Y y 1 I t c O E g q V A A k j z Z i d m a K m 5 u J R 1 b g X J w m k R t 8 i r G f r V T 9 U 3 o l l L 8 0 w o V y u D B 1 t Z Z X T 5 B 5 2 g p M q u s Q 2 0 u V L l 1 l K L F B n V y e 3 6 G G 6 5 + 5 j r I L V M n l V 4 w I S g E h Y p 4 I B O v / w N 7 J 5 v q s n h i j c 3 k O P D / 6 e q i d H K M N k j H / l S / K Z H a y E A s w N h R l 2 K i I 8 d H p A X z H M z M y I p x T 9 f V B z 0 b + 3 s L A o 3 R F W o G 9 v z u + V 4 f + Q o D r 5 J 1 z x Z 4 c D t g G 9 O w u D T N j C B i Q Q r x W J 9 D p H J k 0 w r f L Z F t l W q 1 B 2 t h P I N H y 7 H 3 d t H L E H x h E 5 A V J u e X F r Z w B E Q h E A j Q D G 2 p z g e 7 + 7 P S G Z j E r B z N S E s Z W P u t p a l l A P 0 D O f f I a O s d 3 S 1 7 e X X n 7 l N Z q Y m J I K e e G 9 9 2 n + i 5 8 X C Z 5 o D N F L 3 g N 0 v X + I l u e n a D W y T C t t a p z W m 3 2 f o G R X F y W M v A 3 I h Q c H Q y m w I 1 O G p Y o d i p H J 0 z / A 4 o z V R 3 5 / N 2 / c o t r a O i E T A E c R n D d o X N K W U K p k S x P V 1 T f Q j W k f X f z E 3 2 R D r a 6 w z X Y n k U l t 8 L 7 e V h v y v H I U / / Q 5 x u d Y e 7 7 2 b / 7 j t n v 5 k J b X j q J 1 D S E p 9 E Q B B 0 N F Z W V B g i M 5 i L X l x Z i l c q P Y N T D E w z p m C p c v t Y 3 B d + 0 G M Q J a 1 V X q b o b 2 7 t 1 H k 5 M T l I g n 6 e q 1 6 0 K q w c E h 6 m + 8 i w b n R q i q s Y f i 4 T l a G L 5 I b l 8 V u Z F D 3 O 0 j T 1 8 v t f z 8 B 5 R p a a H k / W c Q a 6 U u Y A I 8 h v D u u b n B g Q d R A w l A k / f d S 5 L / n W 2 c h E 0 / V E n g V p k F N 0 X 5 O d 5 k d R b D a X z G f e A 5 r 1 2 9 L p E p l Z i u 1 V A p l 9 b c 9 C 7 b R 7 f n / X T 4 r V 9 R z 9 B 5 i l w f p j e D x y V y f F c h R J E N / c 8 g i k G i d Q s k k 9 r m / 7 L 7 r p + 9 E + Y 1 v p 4 P u 2 M b x e n u e M H 0 T y A V b K W K y q o 8 8 q B y + 0 2 e r 0 J A U h A R v y y W W 9 n o R u g S W I w E m O V I X H M n 7 E Y g h V r G 9 Z T a y m p X P E H j i 9 x S s 4 B L p 2 J M n i B V V q m K C A k V m R 2 h 2 O o 8 1 X f e R Z X V 9 d k G 5 C l W p c u 4 n J R p c H m F 0 s 0 b H z 2 M S Q / c M 2 p e Y 9 i H r x w 8 S I 8 9 9 k i e X d z P E u y l l 1 6 h r 3 3 t y + K c 6 J / 1 c i P h o o z L T f d 3 J 6 h u 6 j Z h J q y B a 1 G a 3 J v r L t g d g B B 6 k 7 f V h t Q l R R R V r 7 I 2 E 6 9 V X T O r f g V U v i 1 H E W 7 i R i q N q W G W T c n 2 I 6 v r x / M 4 A U l B k K r K a 4 y h g G S r q K g U d z t + E / 1 Y p a B Q 3 b T L Z m Q F o t r L A S r h 3 J q P 3 h y p p 6 G V a m r 2 L 1 N 1 X W u W T E B l V S 0 1 d B 6 k 2 r a D N N t / l h a n h 9 l m W R G 1 L F b E g M f 8 v 5 6 r 1 4 w 9 b j D C G y O T + 1 Y u D b Y m E w A y Y 5 4 p a y P S 2 t Y m 8 + y u c A N 1 Z S Q m 4 6 q 8 m V V 6 s C c h O T j S P T 1 0 m f b f A W Q y I 0 c m 9 c / 4 E 5 L h Q G 5 f n W U c M y 2 O h C q n l S 2 G 2 g L Z a Z B G W b v S c U 1 E Z S f i M b F l M A F y u a h l / d w M j L f C b y L o F p I Q k k x L B S t Q I E E m 4 v L S A t t C U + t S Y K F T s 5 i e 3 9 G V y 1 V X C m 7 O e O n W k B q 1 7 E k j u a R 6 W b D h T n f H s s M n c P + 1 D a 3 U c u A h S i f j N H P 9 N Z q f m 6 a Z n D a X D 3 4 W O C Y w Q 7 3 3 3 L t Z J w W c A c U G P G L c 1 z o g p z s j w 5 J U A + W 1 t h b l h q y V 7 z u / K l X z + f X 1 d b S 8 s k q X b k 5 Q M D l D h z q C M h U o g K x G 6 B a 4 U 4 F n Q x l i 0 W S R v + w + J F V u n / + T t T z R V p L H D v C Y O c H u 2 j 5 / Q I Z p R F l t g 2 g t B 2 a 1 w w r Y a Z B k O A f k Q m 5 t M Z y N a 0 i s G 3 9 W y 0 R u 5 k q i c 0 e s R i K 0 x k s g N q o K r w A w H U 0 p w H V H 5 1 M U X o 1 R Z b 2 a R A 5 R B B F / j w x M R L 4 8 J C p B 2 Z m L q L K 6 j k I d f d T Y 9 w A t j 3 5 A 7 1 6 f o 8 G p X G e x 2 5 h v 2 G 7 6 H 9 8 v n 6 c g B k n y 8 y J a H 2 v c h x X W h C t 4 9 h T L b h c 6 v P / w B + M o a x A s 9 Z 9 n S S S B v z Z V q J 4 b s i X / f q q o b 6 e Y r 5 m a E D x s E B v D 1 + 9 U C E l M 5 I E g 4 g 1 j W y 1 6 2 7 z G 3 4 6 E H j V X p x 0 z G k E a O e U m h + Q C 4 a C y a Y O + E N a 4 M p c a i o T f q 6 q u k T U K I 8 y G O 9 Q h u 1 k J c R 9 e v s f b K y F q r E Y r l J Z c G C D o 8 u K C 5 A T U r v t V N v a h b h Y D d O 7 6 K i + 1 1 7 u p r T Z N j V U p S a f 1 0 A G P x O 5 B M r X w G u F a 3 Q 1 q J g r k b 0 D k w v H 2 J B 3 u 8 F J H W y P 5 v / + P V H n u J X L d e 0 L 6 t t C 5 6 w i + X 8 w 3 7 O n o E A K g P P H 8 o y P D 3 I j k V E w A Z b I 6 P E w e t i d r f v R j 8 g 4 M S F R F 9 M B + W u z b R w k u r z + y S v 3 o o w / b 9 j c B b 9 4 O U D j h 5 X c C J 4 + L G m r d V D 0 z T h N d R 9 f l j N h V 6 K q J N U s e E C R L E i z 8 v r H O O 5 a 3 G N K K G y h x S s h v 8 Q E 7 O B 0 v B 6 g U d n F 8 + O 1 y p O M K v 0 S M m d I G u R X l z s J h R a F g W x T D d V b P M M 2 K 0 y h W D C m B 6 u N 0 f 2 Z M j I 1 Q e 2 f + A E M A q i 6 8 h H Z R 7 e j w h N 0 E d V A D M Y Z v v X q L K q 9 f p Q b + b u S p T 1 P 7 2 Z f J 8 / H H q P H t l y S R K A Y D Y v 7 f G J L Y G F L X C u Q a x H U h j S p + / 8 / k + t x n w T i K / + e / E 4 9 h g G 2 x W K i B f u v 2 8 m E 3 P f j Q A 9 K A N b A U g h v c C n j 0 z o 3 k N 2 6 Y x w C j g N F Z X m i g 4 U 5 D 1 3 H t f M i p c 2 p / n T P C 2 J d t r D M p S r M t g G i J H S E U W l / k k L A i w g Z r V Z k e N U y U h v 6 O e r Y F r B U X t g / U t Y 0 C C W A a W S W 0 A z o e Z 1 f d E u B a C O H w M l V X 2 0 / W r I F n a G F V y W p 3 m I G g W 4 w F w 6 w W V s m M P O C X J n x C L g w E n J p b p t j q E u 3 / + d 9 R b V M v D X 3 p 3 8 q s i 7 N v X q W K S x d E Z / R / 6 w v U 1 u w c S a 7 h / / a z 0 s i t + X 1 0 k a X 1 4 M Q k 1 e 7 b R / f G 1 i h + + j 4 J H k Y Y G M 5 R d S M j 9 p 0 G H D c Y u v 5 R g i L P e i J l 9 4 U 0 i j z m b U 0 u i Z J g u x z H s o Q C V A H l w + 7 Y R o B I C X P L C m C i r U L j i + w Q X u E K a 8 x D B D U N D 6 e k C u 5 z c 6 0 e n t V J Y q 7 G U V m g j h U m V A R q Y 5 G J 0 8 z P U A y w 3 0 A q z J y O + Z O Q f g s R O 0 B r d Y o O t C T p 4 p i P p h d W a W n i O q 0 t j l N o 7 2 m Z i A 6 E 1 Z I A Z f 8 Q 2 2 V O q j f g Q p x f w E + x + X m 6 3 H + b O r s 6 J C Y P I V J o v N A V o d V Z X V b m 5 5 2 P 8 D 2 O l R e r u d s Q w q C O y 9 o g k B D G k E y y r Y 7 n J J K x N l z l 2 F e E Q o i Y Q w X a C e C G y o V + e W 8 M B C j q r h c y o T W f Q w f i J l G o L J A D A 2 l / 4 S Q o B O 3 + L 4 R y O p 1 B p q X F J e m f q k k M 8 k t D C J e 6 C e R 8 w B y 2 S P T / 0 A E / t f T e Q 8 0 H H q b l 8 Q 8 l 1 I m r P E u q u D Q z u G 9 M v a P J q O G a y U W i g E y I 1 F j 6 z e + o u a V Z E t 5 U M o H s V F g 4 d A A 8 L 7 y h G E j 4 U S Q T / 2 e Q y b K g j C 3 H Z N 9 0 3 L q P x V n n M L B V h L N K J w C q E e Z V L R V 6 7 B F Q 4 U / T 4 I K X Y i l W Z / z c c p d R S e 2 A P H + F g K v W B N K 2 z 2 H G X I F Q K Y 2 Z q f U 5 x g t h I h J k y Z K m F V 8 v v z 6 o V y 6 Z 9 R F D H / T t Y H j M 0 4 e T r E I 3 U G V D N 8 V Z B U w y e + A p x E z s c G w g G 2 v F P / 1 Y e Q E N b 5 v v j y 9 m t z E m C V l 5 h w 4 d l O Q 2 O p R I A 0 l y N F r a 8 i P W r 0 4 X V y f v J J g J k f t T x 8 2 L n K M X / N k d l 3 0 l x f I I t Z 3 S C n O z 2 s G a z b U Q V p Z z n b 4 Y 0 o B W 0 W / E 2 J V D T D v Y T R a 9 E a B S F k N 3 7 z 5 W n 3 I T X R d C L O G i u K u a 1 l I B G T q O V 3 S 0 N S F T q V p f F 0 a 5 4 h 3 6 q u p o b X 5 U N A C M q W r x R O h g c 5 I a h 6 9 J V q f V 3 h 5 x T n h f e 4 M y o R D F M b n d z X 6 6 M B C l 3 7 9 + g w 4 d P m Q b C b + 3 7 4 A 4 L 6 D 6 6 L 4 8 X C / C z 2 I 3 J 9 a d D S a C i S B m U t g v U P O M d X b h f U M N 1 O c I o b a T S B o + B 1 m I c C O n j l Y r z B 4 4 z N S B v h o N j 9 s r D 7 V R 3 L 5 1 Q 7 y E u J e 5 W R X G t B E 0 N B W f R A 3 l j S E p s D + K g l 8 N 0 i V j 6 p e K J E s I l 4 f a a u 3 L a y 6 s p L T H 4 6 f o 0 p T 0 q y F P A 2 b E B 3 x n 3 5 G o i c r B I b R A l L x + i 8 6 2 n q B L z 7 5 I P 1 9 s o 9 u z q 1 T Z 1 E O + g L P a q t V V a A s A O s q D / C w 7 U I W 2 C J o g E D L y X 3 b B C p 9 n 9 4 1 z c U y + Y 3 y m v o 9 F E y m 3 l G R D b Q X h g g 6 D 9 E Q / 5 x s p B W g h z E D C T H 1 r S N W F + 4 R a U m r n q h k 9 e / v E 5 Q 7 V s b G p R e 4 L B T Q 8 2 C 9 S F C 1 z K Z i a s I 8 2 t w L X Q S A t r l E I s J G Q F h n 5 f y K + H m q r s Z + h H c B U n v i s q j J A w b p W v u c o t R u 5 A s 1 Y + c S n 6 I d H P k f / 4 G u g d y 6 8 R u 9 2 t F I 8 s k A e X y U d 7 u t g d d r 5 f c M T i l k J E 7 G o N D 7 o K P f 6 M V m D c c K d D L 5 J u U / 8 J w t W Z k K Y C Q L J Y 2 x n 1 6 Z j e Q u O q 2 W d 3 N g u a Y W + B y c g N 0 Q x Q G K U E i j b 1 t 4 p 6 h s e d H C g n 0 q N 4 b O r D y i L 7 t 4 + u S 4 6 d 1 F g Q P / N a 0 J a S A A z s A 9 3 O I C W G 1 6 x i f E x s a v Q o q P f x g x E Y k x O 2 s 8 O a E b / v J d v E M R w y d x I d k B a r 2 q 2 K x / v i 9 L h N g 9 V t e w T l Q 8 5 1 6 1 4 e S p I S x d + T 9 3 3 P E W n n v g c P f r Y o / T 0 m W 7 6 7 H 1 V d K K 3 + G D O m p p a G S m g 7 V a M 7 D 3 Q p M p 5 m 6 r P p i E V X 2 3 w O v e X / W z d I p + o 8 7 G j j + N P t h X 5 u F I Y + 2 r J 1 v J i R N o s 0 Z B s R N 3 + e q C l 1 p M A O M P p 2 + u B B 8 P 9 I u 0 Y + k i w f 7 v / p q M a h 4 p X S n 4 K l + H t 6 j t w W E i L o e 5 Q E z X R J H + g E T G B l h s u 5 v a O T p Z 4 z e I 4 Q b C u B t y s u B 9 k c s X 9 F Q I 6 d F 2 k r u F 0 6 u G W B D 3 Q G 5 e + q Z b q G K 3 O 3 O J 7 c Y v E g t P B Z 0 y J i u 8 / 8 O q P 6 M m R D + j h v g y d 2 e u m / U 0 p C l U W d 7 j g P k P 8 L J B M i H D B R N R o J O b n 5 y Q 7 7 f 5 G V i 9 L f 0 0 7 B F X R s 9 t 6 3 1 j U Z 8 a i j x n n Z C W W s Y 9 z c C x H I v N a L a L y b Z Y s p Q L B p U 7 A i y q E 8 d H 1 0 1 I 6 A f 0 8 Z u D 5 Y F B D j U M l h o R R B a S x s T L A S F u J z O D v 4 n c H B 2 5 l S V c M I B / u B 3 Z h s W s n W O V L u 5 R T B 8 l T 8 m 7 d B n B j + 9 b G 6 a G 9 K V E Z M T s j 5 s l d + + Y 3 a C k c p f f v O U E f 7 D 9 F K 2 t F f s g C 3 G f c C B h G v C W i + / H 8 F d W N a v j J S m n P v l N Q l V 2 2 F F G w b S z q M 9 P C 7 0 9 t g z B q r f f V Z 8 a a V T 4 1 g h f f 0 X 1 V + n w b l Q / Y L o K N L j q 7 t n H N Q k Z 6 O T O m 2 8 X j a a A S Q 8 L o Z 7 z 2 w S W a n S 7 P j W 0 F f g u / 2 7 t v v 0 i 7 r c Z S 1 E 2 e j L L h U B 9 S m c L v B w l j 9 n a 3 U U 2 V X 7 x 8 o 0 9 / g Q Y + / U W 6 c m u M v t v Q T b O + b j r 1 m Y 9 T Z 4 t z B z Q 6 3 W G P W h 1 G m E t Y q 3 r T y x m a W k 7 T G 4 N B O j e A q X 3 u F E K p C q + 3 j X + y n f 3 T p N C L 5 T j / l / + Z a Z / / 4 3 + a Z H q b 1 7 y d 5 5 Q o R q R i n x c D x s E U A k b f O q G U D l M N 5 K s o F Y e P 3 c 1 2 T 4 d s L y 7 M 0 / z s 7 D r b q F S g f D b S w Y z O 1 K H b / S L l l p Y W p Q s A G Y q g F i J g 1 5 2 B N z N X s f F O n b C 4 u E D n 3 n m X + v b 3 0 U o 8 Q K / c c N P r V x b o 9 y + d o 8 t D U T p 4 8 j H 6 1 K l a a g 9 V i H 0 J Z w s C f B F b i M Z A d 2 M g g g X 2 K K 6 f r U g M D 6 v Q w 1 O r 9 O a 1 F f L 7 X H R t R k W 6 6 L z k d w J y 5 Y P K j 3 8 4 o J 4 h S w j j m G w X W f g / 0 7 5 B J P M + S G V I M d c v 3 4 v y c f 2 h W u R W j L U V T s d L A X J g P 9 Z X u N 8 J l Q q t v R m 4 Z j l k x n g f p 5 k 5 S g W G N Z R i V 1 l h d / + l A J U Z L 8 Z u + P w f b w Q l 9 3 f G p T 5 D B l 7 Y S n Z Y / E 9 / R 7 7 q C h r 5 5 B f o 6 p S H w l O 3 u I G I U 6 j r K N 3 X V 0 U d D S 4 Z u q E 9 j M X K F e e M D g 9 R Q 2 O T R N j f W N 1 L z b U u a q v N 0 O U J f 9 H I k d 2 A q q O 8 q H 8 4 w G v s 6 D p u k E B v 8 z q r u h n E w F q F G O E Y 2 7 v 6 G D 6 X N W x g Z Q f j c w R G S 3 D s r y 7 E + H e M O C V e q + v n r 6 1 w O l 4 q Q C p z g n k z 7 C K + 0 W r X W Y 5 t J 6 R g j E x E 5 Q I R F 9 a h / K U C k s o a n Q B g l o u V 2 R E K + 3 v p P p t 0 A r C Z k J c D 7 + W t S + N 0 6 / q H 5 A 1 U k 6 8 q R N X N e + l E X y 3 t a 3 Z T d G 2 N 9 I T b p W J 0 Z I i 6 9 v T I N h q Z p a i P L o z f y c G v I I l a q 3 / G W h N G F s u 2 k E s d U z z A M b X O E s g 4 p h o + d V w I x V q E E A r H M d r g + f f j / D m + r C + g F r k l Y 2 2 F 0 / F S A W / S k 8 i F Y O x b g S h r s / q 3 M D c n F U H G J R W R G n B P l z o m y g m o o H p w Y b l A 2 c Q w j K S M y A s 4 U R C j 6 E R C / O b E 1 B w 1 1 F e z Z H L L / c G D C A 8 j h r S E 2 L 6 E Z M P 3 k X N 7 a B 5 z N P l l d s U j 7 a y G G L + D 6 A y Q v R z A h o L N h H s Y 5 t + 9 O b c 1 E S X b B r 5 P o / Z i U + 3 L Y q 7 j l u 1 s / T c I h G 1 Z G / u 8 r C e U I p P e 1 x I K K b o d X 2 S 5 x 0 s F 1 I Q P x g t U W O P n F + Z m 5 Y Y x g A 8 V C G Q C Y e C u d U K M W + H N A v b E E t s V k v j F Y p S X A t g Z p Q J S A 8 9 W q E z x U t t a Q l T B j Q w a C w T M 4 n y 4 4 e G s A f n 1 9 9 3 c W u 1 t c t P H D i X p q I l M A A Z J l g u Q a X F h Q X 6 / f / 4 O J 5 O S R w q l k s m 8 b V E D N a n U Z 7 l F k 0 x / p t R F t U j n E A r L / E L N 2 9 u F q b B H x h j Z A f r 9 7 P S U 5 H e A a 9 q s A q J C w V 2 L B 0 L f F R 7 O D F + J W Z I K o a m l T Q b N o S 8 J 7 m 0 U L h w V Y 6 z + w B O J a z s B Z T c 9 O S 7 n j w z d l g Y A w b D o 5 I X K Z L 1 f r 0 / N F V w U f A 9 2 Q H + Q H e x K d q G E w F 0 r x k a H u S x U + Z c 6 W d u u w c Q m I Y T + M 7 b 1 c Z S l I o D x m V 5 w T n b f 5 v P s M W M N U o m N h b V a V M Z 2 / i F N K i u Z t p N c S I j P 9 2 U L D P Q r p L q h v w f n 4 P 5 g e + g Z D e E d 2 y w i k X z 3 P a 4 B l a q T b Q l R z f j a I A q k 1 8 T 4 q K h d i j C q j w b e M R B x T 8 9 e e Y Z m b g C 0 h N U O C 3 j X 4 E G L R 5 G Y p X A Z I 2 c 4 X q A d 8 O y l A N + 3 J r B x A j x 9 O H 9 k c E A 6 p X F / C E S 2 i 7 q 4 c 8 A V W 1 a o 8 M Z i s o 2 g F m E / 7 3 M 5 B 5 + r c 7 L b Z k n F 2 y K R e F v 6 n w z i Q C q p h V U + n G c s r C D g I n J H e S + 2 2 E s u 9 n k p w G W d R n f i 9 2 E j F A P O g y E P q b a y s k R p l g K b R S k e Q h A F p G n v 6 K K a 2 l q D M E r V Q 1 p i 2 B 6 F s g v B H o Q U g x Q u B s w X b O f 9 A 0 o d q A j y 4 7 6 s U h K e O + T W G + y / K f e L i o R Q q 3 T G x Q 1 W K / V P x m h q x U W X C q n o d w D 4 t v P J Y v w Z H + T + j M / l u L F k v 5 N d N E H 0 N q 9 R Z r y t 1 D u 1 r 6 S T s c 3 H 8 T l U b r m g W l Q F t Z L F k T x O x 8 s A p s 5 H w 2 E H T B d T D q q r a q i 9 S + V p g D p o j Z 0 r F a V W U i e A Y L r z s x C g y u L l F M P K E j c U J h K Y g f m Y S g G k a E M o Z L x 8 1 e r C T o S T A r 8 B t z i / + e y 7 / n D S L 1 E R X a 3 1 d G 0 i Q / E 7 W D q p i m 8 s e a Q x K n 9 2 0 f v W t W k b l T F 7 L P 8 z N c m a 3 r c s 8 n 4 y 5 G 6 o m O V i V D 8 C m M n j S C Q D W 1 H E 8 I i t R N b 4 8 u s r F t + 6 s V U a I J K 1 S g V 1 E E Y 7 f n d 0 e F A 8 Y 6 V i I / 1 I V u C 6 E a Q 7 L g C U b 6 H c 7 R o e k 9 P B i l J y c k B l r M Y k a / w b k I w g O y L G Q W h E V W C w o C R a 4 U v A d o 2 w Y K 3 w p S U N W H R h j I 5 3 b s W b 3 g Z w G e d X b N 4 3 G g x b M g k h 9 H H z f v 5 2 z q O n 1 u o 3 j Q X e P f N x W V J y v c c f P w 4 v n x 4 C g c q b I 5 X 1 B T q 9 U O P L G w Z + 9 8 c / + h m N j o 6 K x 0 s D 2 w 0 N p Y c b A Z J + 2 Q L 8 f l d 3 r 3 j C U B C 3 b u S y q N r B G m q z U Y C U j m V m A u y r y f H c S F g 7 B J g E T r + F b D u F A C 8 p X L n W 7 g Z E j C P t N D y G G k j n V l F V L T M K Y t I 1 S K X W j k 6 Z u f B O g 5 A C f 1 J t Q S D 8 U 3 / Y X 0 c m r P G 3 7 r N C C 7 5 n f F e T x z i u b S h 9 D o R S M B h Q T o n G 6 n n c V f Z G z C h W K T Z H J 7 Z F 2 P Y 5 + N i 3 q J K l y d m z 5 5 h Y Y 6 L r o y U t F 8 u m E b 1 2 Q C X f f / C w b M O p A J U H 9 o P 5 m U s h Q a m A X V c K W t s 7 a H 5 u R u w b O 0 B d K 0 R 0 f A b v o 1 k t x E u W t G b 8 Z x 3 2 g v M g G Z G S z U o 0 5 P a D l / J g U 4 K u j C Z o f m l F Y g n v G G T r K N Z 6 X / Z k W 6 3 U O c U X R R D Y H H p b 1 l n i 5 M 7 L T W l j s / D x x 5 + 8 R 8 j A J Q V p x B v 4 j 7 8 k d 8 Q L K p a 1 c j l V t s 1 W Q r / f S 4 1 N j f T A g / f L v b z w w k s 0 N j Z q f F o 6 m k u Y b 0 o D T g W o O T D 4 U W g D N 6 / T 7 f 4 b t L i w e S + h B i p m K U D 5 1 b M 0 x n 3 Y w e f 3 s Z q 2 v l J D l Y O X D y o c O p L h V N D u + f m 5 O W m Y 7 K L f Q U B E 9 9 u p t n B + g O D D i z 5 K u i v p 4 k z h U Q A 7 B q n Q v K g d V V b Z Y 8 Z a F l X B 8 / Z B G F n 0 c R z L b Z s d D a L O G d v Z f d N 2 V i r h m H j 4 U j I 5 H a Q T u C Q + C S y N N X A V q 5 u U x b h 1 Y L O E K Q b M t 4 r c C c j 5 1 t n Z S U e P H K A b N w Z o j i t F O Y D U 2 Q h Q s R C Z 0 d W 9 l w 1 3 l U g f L T h c 8 X A I b B R 7 e t d P O O Y E 2 H h 2 g y H x E l V g c P 4 7 A G H g 3 d Q z h Q i p M J T C c M 9 j W D r U O i t Q W a A G F s P x 9 j i t s G T i e r i 7 Q O X G o n a M f b 2 J 4 + q Y O m 5 d 4 H n j t Z x j b G v y 2 G 7 r f b 2 t F r N q l y W Z s Y 3 1 g w / d J W 8 H S 7 a J 8 r i S K u B S v q g u A m g y W d d W b J Z 0 g 6 Z Z v 9 M V n f T Y Y w / L H L W z Z Z C q 1 K l v 7 F B T k 5 s w D A U m / T t c B L r C w m O I e W S X F h Z K T i y D 6 P V S g X v H y 7 G q d n A S a I 8 h V L i x k W G J p k d n a y F P Y i W r c 5 B W + j 1 q T E 1 O l K S K j i 0 j Q y z q g X F g h 6 H r o L o 8 / y / 7 2 M J / R o X O H j f 2 Z c G + P s a N B 7 Z B A t k 2 P t e E M G 9 n j 6 l t k U Y 4 Z i w 6 x A g O C O W Y U P 1 P s J 3 q 6 3 M j I V z n + s f U P Q t c N D 5 f z S c y O Y Q g e o 3 7 V j e q Y d 7 W k C M 2 x 0 s B B s I 9 u k 9 V V E y a X F e R o S N N Y b p y 5 R r t 2 d P p m D 9 7 K 6 B s l / w M q D l k a H F + g e p D I W N f A c + v Y w 7 7 W V 3 s 3 d s n L 8 B M 6 s X 5 + X X f K w Y Q K k c g R S 5 z Y 1 Z O w y W z M f L 5 k F z o b 4 K a V 4 i E V s Q T S X p 9 w J 8 d 3 L h T y N U t X q t / B o w 6 i H + 8 x h / q W 5 Y c 2 U X t 8 3 + y 1 h I F + 0 I q b T P J 8 d z n W e L w d o 5 Q O m Z P f Z Z O q 5 g 9 C U l j d e + Z Z 0 5 z v c m V q Y q U y C 4 Y I M X n G c n R 8 c c b O E 9 Q 7 G U W / r Q w k N U H a b A A Z D v F 3 L Z v D N f Q 0 a O H a X h 4 R K b N l E J y A B 5 4 o 0 A l s y c T w P e V W q + K o S w Q s I s 1 H B 3 w I m o y g Q h w J E B K l A t E q 4 P g 6 P S F C g h 1 V C / l k A k z 2 W M G E 6 h 9 k L z N r W 2 O Z E K 5 Q p r i e q N D t 7 N l 6 f d 5 q a d p v Z 2 1 r c i + Y 9 Q 9 + a e 2 e Z H 3 L / / w B 4 I Y R O D j u U U R B 4 v t v p D J v O j f y P 1 W t r / J I J V V 5 c O C a 0 M 6 e X 1 c p s I d t X B p m f Z 4 a Q 1 F x M j C l / E l f R H r y 3 R 6 u e W 8 d C v g q g X 0 8 A T M N n F 2 t I a O H z 9 O 4 + M T N D S E Q X D q M y v 0 3 L g b Q b E O 4 L r 6 8 q Q M K i 4 6 d 1 E 5 U f h 2 q p c T Q I K J 0 W G J w v D 7 n N 3 l T g C Z E d L U Y Z q I A M d w f T h J Q N Z x / n 3 0 P 8 F G x G e 4 R n 1 D S B q V r p 6 9 e c 6 K f a H N R 5 6 U D q 5 3 x h a g t k E G / o f y M + q l q t R G p c 9 b V F 3 F g n q i z w M h c i q f s f B n c h z n G G u 9 Z D 8 3 p F V 2 W 5 b c 8 W c + d T / f n + K N W l z 0 / w O 9 y P K D v t i a E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 G u i d = " f 2 d 7 6 6 a f - e 3 3 4 - 4 6 0 6 - a a 2 8 - 3 4 a 2 5 9 e 0 4 1 a b "   R e v = " 4 "   R e v G u i d = " e c 7 f f 2 b 9 - 1 8 0 0 - 4 8 2 9 - 9 0 f 7 - 4 9 b 1 3 a 8 c 9 6 6 b " 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 N u l l s = " t r u e " 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 N a m e = " 4 5 . 1 6 1 3 9 6 2 1 "   V i s i b l e = " t r u e "   D a t a T y p e = " D o u b l e "   M o d e l Q u e r y N a m e = " ' P l a g e ' [ 4 5 . 1 6 1 3 9 6 2 1 ] " & g t ; & l t ; T a b l e   M o d e l N a m e = " P l a g e "   N a m e I n S o u r c e = " P l a g e "   V i s i b l e = " t r u e "   L a s t R e f r e s h = " 0 0 0 1 - 0 1 - 0 1 T 0 0 : 0 0 : 0 0 "   / & g t ; & l t ; / G e o C o l u m n & g t ; & l t ; G e o C o l u m n   N a m e = " - 6 7 . 1 3 6 9 9 9 7 6 "   V i s i b l e = " t r u e "   D a t a T y p e = " D o u b l e "   M o d e l Q u e r y N a m e = " ' P l a g e ' [ - 6 7 . 1 3 6 9 9 9 7 6 ] " & g t ; & l t ; T a b l e   M o d e l N a m e = " P l a g e "   N a m e I n S o u r c e = " P l a g e "   V i s i b l e = " t r u e "   L a s t R e f r e s h = " 0 0 0 1 - 0 1 - 0 1 T 0 0 : 0 0 : 0 0 "   / & g t ; & l t ; / G e o C o l u m n & g t ; & l t ; / G e o C o l u m n s & g t ; & l t ; L a t i t u d e   N a m e = " 4 5 . 1 6 1 3 9 6 2 1 "   V i s i b l e = " t r u e "   D a t a T y p e = " D o u b l e "   M o d e l Q u e r y N a m e = " ' P l a g e ' [ 4 5 . 1 6 1 3 9 6 2 1 ] " & g t ; & l t ; T a b l e   M o d e l N a m e = " P l a g e "   N a m e I n S o u r c e = " P l a g e "   V i s i b l e = " t r u e "   L a s t R e f r e s h = " 0 0 0 1 - 0 1 - 0 1 T 0 0 : 0 0 : 0 0 "   / & g t ; & l t ; / L a t i t u d e & g t ; & l t ; L o n g i t u d e   N a m e = " - 6 7 . 1 3 6 9 9 9 7 6 "   V i s i b l e = " t r u e "   D a t a T y p e = " D o u b l e "   M o d e l Q u e r y N a m e = " ' P l a g e ' [ - 6 7 . 1 3 6 9 9 9 7 6 ] " & g t ; & l t ; T a b l e   M o d e l N a m e = " P l a g e "   N a m e I n S o u r c e = " P l a g e " 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 N a m e = " 4 1 "   V i s i b l e = " t r u e "   D a t a T y p e = " L o n g "   M o d e l Q u e r y N a m e = " ' P l a g e ' [ 4 1 ] " & g t ; & l t ; T a b l e   M o d e l N a m e = " P l a g e "   N a m e I n S o u r c e = " P l a g e " 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P l a g e ' [ 4 1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1 3 3 3 3 3 3 4 & l t ; / G & g t ; & l t ; B & g t ; 0 . 1 3 3 3 3 3 3 4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0 . 4 6 2 2 9 5 0 8 1 9 6 7 2 1 0 7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. 1 7 4 8 6 3 3 8 7 9 7 8 1 4 4 9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V i s i t e   g u i d � e   1 "   I d = " { B F 8 E D 5 1 3 - 1 7 9 5 - 4 7 4 B - B 1 6 1 - 6 5 5 1 2 1 D 4 6 3 6 E } "   T o u r I d = " 6 c d 8 d 5 9 f - 7 6 b 3 - 4 c 4 7 - a a e c - 0 5 2 9 d c 5 7 3 f 4 4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q 8 A A A K v A b + r 0 P 4 A A A d 7 S U R B V H h e 7 d 1 r U F V V F A f w s + 9 F a 1 I x m 0 Y n m 2 p q e j E S W o 6 P 7 O H g 2 G O c G n P K 3 j W V 5 i t T C t N K C 3 u Q R Q 3 T Q 3 S M y a I c p w e V J k I i G U Q C V 7 w Y S g l C 9 E A h e s 2 A Z g I X a F P r g z P t b + 7 L P W v t / 4 9 Z 5 6 z N t 3 s X a 8 7 e + 5 5 z U Z t L K n o 9 A L A i Q G c A s E B 9 9 l U I V y g A S 3 C F A r A I D Q V g k Z 7 y 7 c K U D 8 A S t a U U D Q V g C 6 Z 8 A B b p K 1 Q l r l A A l q i 8 r 9 F Q A L Z g y g d g E R o K w C K V t 3 M 3 p n w A l q i t a C g A a z D l A 7 B I X 6 H C u E I B W K K 2 l q G h A G x R + W g o A G t 0 Q 1 W h o Q A s U f n l a C g A W 1 Q B G g r A G t 1 Q e 9 B Q A J a o g g o 0 F I A t + G A X w C L 1 O a 5 Q 3 t r M l y i D E z H / 0 W W U u U s 3 1 D d O N 9 Q r z z 7 l L U l f T y M 4 E T e O H + l t K a 2 k k Z s C n t J H h 6 M o f 4 t O w I Y x 4 6 8 2 v s c u h f o 8 5 P Y V q m h b q T f 1 x t t p B C e i q 6 v T G 9 D 7 G 4 3 c p L a F q p 1 u q N 6 B I y k D G 8 q 3 b / A m T Z 5 C I / c 4 P e X L f i N T J 2 D T M 0 s f M b 7 X r o T T 2 + a 5 G 3 I o A 1 s m J U + j z E 2 q c N d e Z 6 d 8 2 V l v e r N S 0 m g E t g S 6 W i h z j y q s d L e h e u L O o A x s 2 l 9 V 4 I 1 K G k M j t z g 7 5 d u 4 P p s y s O 2 J h X M p c 4 9 u K M P K y o H I W Z e l z x A N 3 Z G I P p r f d + k R M P 9 a f t x + / 2 J 9 h G j 4 Y E e d 8 T 1 3 I r b v 3 u f k G i q i h n s q g H u D o 6 W + u t C 7 O D G J R u 5 w 8 i 9 q e 9 5 m N F O U P b 5 w H m V u c X I N l b F y h T 5 D N A 0 a M l Q f z e + / 5 A g o f X Y t J l 5 9 n X 7 x E E 2 r 1 u Y a 3 3 v x U R S u c W 4 N F Q m M o A y i K a 6 n l T J 3 O D f l q y w v 0 2 f o D z O S r 9 B H c x 2 k h n N T v u W L 5 + s X D v 3 h c H u b s Q a S w 7 m t r h F n n E U Z R N t H x Q c o c 4 f 6 o u o 7 p 9 Z Q x 3 p O 8 4 L B I I 0 g 2 t p a a 7 z T h 7 u z Z n X q C r V v T x j N 1 M 8 y V i 7 / L 3 G E U 2 u o l F n 3 0 M u G / l I V K j f W Q m o 4 t c u X e O l E f Y b + t D R 9 r T 6 a 6 y E x 1 I 4 9 + 5 1 Z Q z U 1 H / V G j D y b R t B f B n q / U y a f U 9 8 p g W a K j d m 3 3 W S s h 8 R w 5 v G N a 8 Y m 6 i P E Q u M B d x 7 n c G Y N 1 d 3 d r c 8 Q C 2 v e L 9 Z H c 1 2 k h f q y u t a J N d R f n f F e X N w A G k F / O y n w B 2 W y O T H l a 6 y r R T P F 2 B s v P W + s j b R w Y s q 3 + u V V + g y x 9 M n G D f p o r o + k c O J O i f r a W s o g V u 6 Z t 5 Q y 2 V T x 3 j r x a 6 h Q + b f e 6 P F X 0 Q h i 5 e T g n 5 T J p d d Q 8 n / Q T P 7 w a v o z x 1 V F 5 o / 4 K V / y m A T K I N Y 2 f b C R M r n E 3 y n R 0 4 P P n / x i 5 n 0 P G 2 s k K V T J v n r R a 6 g j H Y O 9 Y D C O R h B L 3 d 0 R b / B J R 2 g k k / j P o d B M / t F X i w 9 z 3 j L W S U q I n v K l z M b z T 3 6 T 9 c q L x l p J C d G b E l W h C s r A L 6 6 d f g d l M q n S m g a x a 6 h P c r d 6 1 0 2 / k 0 b g F 4 M G t F E m j + g r F J r J n 4 o K 8 i i T R + w a C t 8 f 4 V / P P 5 5 q r J m E E H t z b D h U r s / g R x c n j d N H c 9 2 4 h 9 h t 8 7 v n P q a P 4 E c Z 2 Z 8 a a y Y i v v 7 u e 5 G b E k c 6 4 i k D P 6 r 8 8 n 0 v + f p p N J J D 5 J T v r d W v 6 T P 4 W d q S v n / J a q 4 f 5 x C 5 y / f 2 m t c p A 7 + 6 I G E 0 Z b K I / O b Y u + Y u o Z c H f r V s 1 T p j 7 d j H z v 2 N 4 t Z Q h 4 8 N o Q z 8 r K O 9 Q d w / E h C 3 h n p n 7 W p 9 B g 5 u u W a y P p r r y D X E b Z t n v 5 6 p j 8 B B V 2 e n s Y a c Q 9 y d E r f 2 P c Q G L G w u / 9 l Y Q 8 6 h y m p / F L W G a v 9 7 E G X A w a G G M i / h E j k 7 f q K 2 z f M 3 f U w Z c P F 0 6 i L K Z B C 1 b f 7 v T Z f A S m d n x F h L r i F q l 2 / 0 u C v 1 G T h J z / p Q H 8 3 1 5 B i q v O 4 n M W u o t q O n U A a c D D 3 l K G X 8 i d n l q w 5 X 6 g Q 4 m p x 0 o b G m H E P M N 8 f O u / M W / Y q A o 8 6 O j u M q y f t H z C 4 f v i 6 M r 9 y S e s r 4 E 9 N Q W 3 e 3 U A b c D I 4 / 1 W t t b q Y R b w G l 9 I W K e Y Q r y u j l A F c p s + 8 1 1 p Z b i L h C P b l o P m X A V c u h g 5 T x J q K h z j z n f M q A q z m p z 1 H G m w o 1 N L H / H K p y 1 w H v / I Q k G g F X w 4 Y c o 4 w v 9 t v m 3 V 0 R N J M Q U 8 c m H l d Z n j / s p 3 y T E s 6 l D L g 7 3 M b / K 5 r Z 3 y k R C A R 1 A h K k Z b 5 r r D G n U L u + P 8 R 6 D f V n + 0 D K Q I L T 4 j s p 4 4 n 1 I / A 1 V W F 9 B E k y 0 p 4 0 1 p p L s F 5 D Z a x c / l 8 C Y u R u y K G M J 7 2 G 0 n 3 F N G q / 3 U c v A 6 S 4 + d 4 F x l p z C b W 7 s Z n t G q q k O O y N u n Q i j U C K 0 4 d 2 U c Y P 2 y l f 3 3 8 U R z P J t G L x Q 5 T x w 3 b b f M I F Z + s E J N q W t 8 l Y c w 6 h r 1 C G 3 z K I Y B C f P 0 m V e N n l + m i u u 9 9 D h X 9 o Y b m G e j v 7 P e + G m f f T C C T p 7 e 3 1 h g / r p h E v b K d 8 a C a 5 + p 4 r e j d 7 z f 9 q z i F Y T v l S 5 z y g z y D Z a y / 0 P c 5 h r r + f g + U u X 3 F h A W U g 1 Z R p M y n j R V X 9 + A u 7 N V T 2 m v X e 9 D s e p B F I x X E d p a p + a m X V U J F I B D f E O q K p f q c 3 d k L f j h 8 f 7 K Z 8 K 1 I W U A b S z b l t B m V 8 s L v b v H D L Z n 0 E F 5 x 3 U d 8 T v O a / A 9 / G n p 9 / Z f 0 8 F I C f s L 2 X D 8 C P 0 F A A F q l v m n 7 D l A / A E l y h A C x C Q w F Y h I Y C s E h V H / w d a y g A K z z v H 7 4 Y 1 z l E R y g r A A A A A E l F T k S u Q m C C < / I m a g e > < / T o u r > < T o u r   N a m e = " V i s i t e   g u i d � e   2 "   I d = " { D E E 4 C 5 0 1 - D 7 F 4 - 4 4 4 B - 9 0 A 9 - D 8 D 6 4 4 1 A C B C F } "   T o u r I d = " 7 f 2 a 4 b c 1 - 5 a 3 7 - 4 b 6 a - b 2 a 9 - 4 2 b d 0 d 4 e a c a 0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2 A A A A N g A b T C 1 p 0 A A F K U S U R B V H h e 7 b 1 n l B z X l S Z 4 0 2 f 5 q i x v U F V A w R M g A Z A A v R N F U V K v R t 6 2 1 N 2 n Z 3 d m z s y v / b d n Z 8 / Z 3 b N n z / 6 b / b G z f b p 3 z 8 6 0 R N m W o y T K t U R v Q R A E A Z D w V S j v f W V W p c + 9 3 3 3 x M i O j I t K U B d X 6 C o E w G Z k R 8 e J 9 7 5 p 3 3 3 2 u 3 7 z 1 X o Z s U N F 0 k m K x D C W T S U q n 0 5 T J Z P I W l 4 v o 4 d 4 Y v T 7 g J 7 s f w D l A d 3 2 K D r Y k Z H u r M T U 1 R c 3 N z e R 2 u 4 0 j G w N u 9 Y W b Q T r Y n K Q b M 1 7 j 6 H p 8 / G D U 2 L K H K h c X X Z 3 y 0 S F + Z j e X E U r h h R t B d Q L D + h t p P u F F v v Z T f P y V W 0 E K V a X p W F t c j g F P 7 o + S h x 9 P 3 + N j f T H e z 5 C H f 1 v j V f 5 e P E 1 0 i O 9 / O u K m Z M p F K z H T C V u E h s o 0 n e i I 0 1 r C R V 4 P 0 T t D f r m f r c D 7 Y z 6 a j f C P 7 h D w n q z A + 3 r q o H q e 6 9 M + m g 5 7 6 N G + O L 1 0 q 4 K O t K a o O 5 S W u i b v 4 v 0 b c p 4 V t j W x p u U I J Z g D d k T S w O Z r T K Z 9 T U l q q u a 3 6 Y C R J Q + / X H W Z 0 S X n y l o u r l y 5 S i 0 t L b Z k S i T i x l Z p Q N m e 6 I x T h V 8 1 F H X B 3 H O a M b 9 W + I W v r U Z k H Y m 7 5 e U A M a 5 8 Z r z S n y M X o M 9 b 5 e 8 8 w e S Z X n F n y Y R 7 A Z n 0 N s B v I Y 9 M 4 8 s e 6 m x I k t + b o Z q K N N 3 b F a f 7 e 7 a m k l u x s O q W + 6 n 0 E w 0 v e C m V c d E b t w P G p 5 t D j U O Z 7 y R Q p 6 O o 9 7 x G g x j n h u m F G w G q C a S 5 k f S Y 6 n + G A r V 3 G d v 5 k P d p X t x u D 8 W T Q U q l 0 l l C m W H d v z 3 n p e P c o q K F r e M X C u h z K r m C P n U g y i 9 C 1 Y C x R b 4 p 2 c o h w T d d L i 5 d v E y H D x + y b W U A n 8 9 P C / N z x l 5 p a G L J U B 9 M y / 2 e 7 o 7 R 3 s a k 8 U k O 7 4 3 4 6 I 8 s b V 4 f C N C H k z 7 j a A 6 V V d W y v m 9 P r k I H f P l P n E h x Z V z M N S w R Q 5 J E 4 v z y D C J p e F k S W T F u a Z T w A n s a U t R W k 6 I 1 / g 0 N S M I A k 2 y r A Q m I C n e g K U F c R S i a d N H 5 U W b Y B r E Y d U s d G m G C 7 i S s 9 R j A E b z b o X n V c I Y q + W U x W C b J u n / W I 5 w A T n H D 5 X Z 7 8 7 g j y 2 8 t K l 9 1 2 0 l a X a W s q m e W U o B 1 r Q E 1 p a 0 2 L Y W 8 y i + 2 m l m N b Q i Q O B c 6 X u 7 5 E a 7 o a 6 r J B R c e Z J X x / T G W c l x 5 U S F K w X v v X a B T p 0 4 a e 8 7 A / X u 9 G 3 9 J 4 d U o v T N S R W m X j 9 y Z J D 2 y d 4 3 8 / h y J Q K x a b l X P M P m A V C p J H s / 6 6 0 H d y y 8 p B V T 4 N 7 l 1 X 2 U J 1 s h k h i o 1 y t I c q o Z G e 2 2 K 7 m r L q c s f T P q l n E v B I p d z F T d o 7 3 K Z o 5 w B 3 P N W A O 8 O v x 0 2 G g N I 9 0 Z W B x 3 a t 6 I 4 y 6 p j R 1 0 q 7 9 l 3 C k 6 N 8 n 1 7 E q L i o s x w D p b G q g w d 7 0 i y J s O N C v P i t Q E W P O E P j W 8 o c O 3 G D 6 r F H 6 y k O L + v V C q V J Z F e A C u J z M D L j n G j j t Y G Z A J u z f n k l 0 E m t M C a T P d 0 J k Q S V H L r / R C / 7 F L J d P 7 8 e 3 T y 5 A l j z x k r S 4 u b I h P I W F 0 Z p O 5 G V d i u T I L W U k q 1 Q d l E 1 9 a E E G i l 0 H g A k O x 2 c C o x v C i Q C R I G x Y r 3 u o f t T T O 8 n v x v g 0 y v 9 g f k / G K o Z 2 0 B 5 0 F 1 A U Z Z O 3 i c V U q o L x U W q V k u 8 L u a T H U s 1 f H b G y U D G t 0 2 b j h 2 g 0 y A U 5 1 + l 7 U R v F v 1 l A p z E Z c 8 + 3 s j X l m j k S U 3 7 h t n q c X 1 2 7 c v Z H + x q u U E c V 2 R C u V E K s D p J p y O m 2 E 1 y t 9 j d W F P P d t h 3 E o X a u H + + f d / o K c / 8 X F p K Y o B r U c h R 8 U M G 5 v N 1 f Y k t n 5 X t + o + V r 8 e 3 2 + o c n h O v o 9 0 G m W k 9 j 1 M 4 B R v m + 0 b A O r R 5 Q k / X 9 P + f v a G k t T H d q i G n R T B I 8 M 5 M S C N V a b k B k g D 6 m k v X w d q F U i 6 n 6 8 H O 8 2 4 9 U 0 B t h s 0 j I F Z r 0 i t U 3 v i e Z W w G E C o l 2 / Z S / G d g l O d C j B X f P z a I A y 0 l P L y C 0 6 z 7 Y j t p w 6 s 0 Y 2 R M E 0 s z R j f E A m l 4 K + o E e m k 1 T z A S i S g H D L B a 7 a 3 M U E n u S X X Q I W B 6 t f P l Q M 3 O s + G 7 m W W b g 7 P J H j l l V f p E 8 8 8 7 f j g V s R i h b 1 x 1 2 e 4 8 v M j g l h W g E y X J n K t J R o A t P Z M d 7 n 3 W 1 x x 9 M 1 C K n k 8 v B j S E G S a X s n / T U i g e 1 i d c 7 r z C c v 5 8 O C Z g e t D m u N 3 Q A Q 7 M s E x A G l 3 e 3 6 9 V E 6 m X e J k C b J U O t S a k N + 4 N e s T d Q a / 2 2 j Y C R t F k r 8 O 9 f J U V 0 I c F r c K e E n t g O 8 8 t G 9 7 n C i l w q l O x 1 i 4 o 4 5 q 4 L w k W k 0 D 7 w z 7 u W F O k t s f M o 6 Y C O W t 7 m P J l B E y 4 Y v m i z h d s B D g U u 9 u Y E K F 0 j R r q b h Q / a A a n h 1 S a p S d 8 a 1 x 9 u w 5 e u y x R 4 2 9 4 s D 9 V 1 R U G n v 2 O N M d l x d p l V J r a 2 w 8 M u 5 u z 9 k t w H 3 c 6 k J C A N 0 N h S t g i 0 2 F h 7 f o / h 5 7 2 + e R v f m V 6 Q k t B Q 2 8 x k Y y i h 8 e N i c 8 z L 8 B 9 X k h 4 q Y L F g c B y r a L N Q C Q X V c N 2 G Y g + W V u O C I J 5 9 8 t B W i t g y y l o O b j W u 1 s C 5 V b X a 6 y B C 2 x r d w 1 W P m A Z T n q o u r q O u p o a D A + U Q 0 o / + c u 6 i Y H r P s a d s f P j w X o J R b l r 7 D O P 8 I 6 t h 2 g D g E P O r h 5 L 1 6 8 R G f O 3 F e y Z I K q W k j V 0 x g 0 v D h W B I M V x p Y z 0 C I 7 A Z V + y C I l Z l c 9 9 B q X w Z w D I a w l N z C b f 2 + x p P L + h e N u L k d v n g 2 V Y C l 7 k y U C y v g D r p R Q t 3 C d Y v Z I p Z / V W i 5 S e F h b u F G B d 3 M z Q A N 5 h a 9 / j B s i E H u w T I 8 d b N G P s b T c T Z R a t 7 G v F z R R r 3 C D 5 1 0 d 5 A Z a + Q t c v 3 v 7 / U x l y z 1 Z 2 0 m r f P l f V D B v a 9 g d K x f 3 c k V o M F z u G t e v X a e D h w 6 W T C Z g N R L O u q 6 d g M r W x Z K z y s E w j 8 d i 5 A / k + l b C L P L f H Q 6 w 6 m Q c M M H H d R / q o L a P U E n R S M A m P N S S F J d y g G 0 W E M I M U d 1 Y S s B F 2 8 Q V u q U 6 T R 2 8 D 7 U N H q 8 U q 2 l O A A E O s C r 9 1 q A i F p 4 C 3 R P a O X K 0 L S G V G / 0 6 9 3 W h E 1 g O 2 w I q 7 5 U p 7 4 a 6 L q y o 5 X J Y j b n F 4 4 c y K R f z L F 0 h y d E w 7 C b s 6 p v 5 G L a z i x z J U G / l J C 1 m m m h 1 e Y B c r 3 9 4 I x P 1 H G A J l R Z C g S C a U H K 6 Z W 3 F V h D q 8 b 4 Y V 8 7 c 7 w w M 3 K Y 9 e 7 r I 5 8 s V r v e F l 8 g V X a P E X 3 z a O L I e i / P z V B / K 6 b N 2 m G K b B X Z Q l C u v 9 c 5 h X P f U R b M 2 k U a C K / i r t 7 g C G / t m o K y f 7 G M b h y s u 7 B W 4 v m F H o J L D w z b I q i 1 a 8 G q W C p A y I B M c B A D s O H T 0 g o R o U P D 9 t t q k E B X E x + d W n O h M U F O V E p P w t L 1 t q M 1 m 4 J 6 g 4 q E R s D q B z A C R J p b d l O L 1 I G s R h Y h c C h q 5 Y W h m m 6 z L 4 q 0 s F Y M s 3 W e Z W L D J d g t 2 h A L 0 c f N a b W e o w p u m + 7 v X 6 K 2 b 0 0 y o w U w m E l H S q V z P n t 2 x j c D P Z N I h L H N z c 1 R V V c X q V / l 9 J q u r E a q s r D L 2 C g P 2 2 7 3 c g r / M F R q d r 4 + a b J n w y j J V 1 9 Q a e z m g 4 o O Q y / z C E Z 3 w N k s J M w 4 z g f x M B r N T Q x W 5 6 j q A + t Z S k 2 Y b T d l T K D 4 t v R 7 q j Y v 6 B s n V y n Y Y H C D V T E q 4 u G e 4 k p l h b Y D s P I P A i Y 4 E v T / u o 8 O t C T G W 0 d d j h y F W 0 d C P B G c N 7 h e O o o 0 A 9 a u X y 2 W J b Y v j 7 U k a X v D k e T B L w S W + X 4 T 8 7 C b s S G U + p s m k j z B T 6 I m + V W U L v n g j k 4 n F 0 k I m s 7 o n J 1 r W V m w V o Q D o 0 Z m 1 G Q q w u l V d X V h t c 0 I p K h 8 A i Y G X b f b y w a C G l P C w 3 n a M K z z C l x B x U Q h X p v w 0 v u S m p w 7 E u I B z Z Q F H A l p / b S N a A c c F b I 0 m b t H f H V b X Q B 8 U Y h 7 1 S w J J H t 0 X E y K a C Q M V 7 r F 9 K r 5 P A 9 c D W Q u h k a V a X U W G 9 h n S 0 Q 6 I W s B j x J h 3 c B d f G P M 7 P k M h Q O W D C / 0 I E x n l Y C Z / M c B z t s z 3 s Z u w I x S g j 1 v X o N S T T K g 0 F 5 b b 6 o z Q K E a W r S Q T g N Y Z D g X r f d g h 8 J 3 v k v f i J W M v h 1 L I B E c J 3 P a I t z v C F R g V 0 8 8 a H t S t F T 6 2 r 0 l 5 + J Y W F 2 V d C P u N c 8 1 k A u A c A B n s A O L A i y g V 1 v D I w f a C e m h + j T i m K y J U U Q 0 d L A u g s r 7 E E s 6 J T H A S Q O X D p 5 U s N N F X V I h 4 c E 4 g f A w 2 3 R q f d 6 Y n T i G W X C B h T 6 h 0 N Q 4 q G 7 o P 4 I w a Z x X Y 7 H o u B u / u c k l Q T t 3 H e w K U e s 6 E s j o g r D 9 m 3 d 8 u w L 6 o q a 2 l t b U 1 i k S U + 9 o O n p s 3 Z Z 3 q 3 i N r j S R a h h K A A F T 0 v Z x k 4 3 l s y a v U T W 7 x Y b d A R Y L k A G p q a m R d C D p a Y M n S o s L h A T I 8 w q Q C G e 7 m 3 0 U / D R o 0 d C U A 3 V x J 8 R L g Y L D z c O G Y f l n o 0 I V N Z g W u g Q 5 x J + g + q 7 u Y W N r T + t Z g a X F 3 I B W e C v Y e b K L a Q H l 2 E T y Q 4 m 3 k Z 3 h n O C A N p p 1 N a A W c K t s R g 7 g V s O O G l u B h I w D c r U l k P t n 6 x Z 0 A L j k T 8 d N r r 7 3 O K p + z H Z Q 6 c I B i f / V N y p h 8 / 4 D X 5 M A o B N R R h D 4 B Z 3 p i 0 o c D v f 2 x v q j 0 p W g E g h W s B h f W / 6 E i H u f K i v A b O 6 B / B o S C Z w 6 B l u h I t Y b 9 9 B g E K w V m S a V x v M O + f w v Q V 4 q b u A B J D D v Q D j g f n j Y A K j D c 6 3 g 2 D x N 3 Y L a 0 8 r U C 3 Q x + D + I 6 X X l q q h N Q Z p D u d g 3 I T q I Y B 6 y f X 5 t W j q y s h L J D u c c 3 i 9 b q B J 0 5 c 5 p m Z 6 a M I 6 U h F i 2 v D w M t v 7 l i w 2 V t C I M 8 h M M r x h b j u V 8 b G z l A 4 s C B s B H g e k F f C U 0 2 A 7 Y I 3 O J O 3 j M n T x 7 U Q d h f N y z 9 U v q e 8 d k k k 0 u 3 r v B + v n F b h U n d 5 A o y t a K G a + B e I V E 3 A k R v r C X c M l 6 r H P c 8 u h 7 u R F j r v t 5 f S 9 p I K O v J O 4 1 E M i k e v q b m V k p Y V D j 3 8 7 8 x t t b D 3 G + 0 E c A 5 Y A U G 0 U 0 n m s R Z 4 7 n V T 7 H p R Z r 5 Y M T 4 t D D s + q z s 8 M h e Z + l i R m e d G p 4 B 9 V T D F A H D 5 W Z s W G D n U N A N C W w p k O W D C R + d N R w j T W w v 9 b K t d H G c b U w m A Q Y R A i D a T Y R c b Q K L q 2 5 R k X F d d E M U Q 3 2 F C p f 6 a A B x n X g m L t O v / 9 v / 6 X 9 R B x U 0 q Z z I t Z 2 k q 0 m N S 9 j Q a 6 + + L j Z R M B g Q r x + Q O X h A 1 n a I r K x s m l R W w K Z q r M z Q + d E g t f X W 0 l x 9 P U 3 U 9 l E z b I s i 9 Q G f w x C H C 3 2 r A H e 7 B k Y E Q 3 W r C a h 3 A U d L q Y D L H Z I V x n 8 F q 1 c g E C Q g g I Y A g b w A O p n h W A C J c W 1 E a W w G G I w I a T i x 7 B F J V c j 2 A 0 B 2 N A h 6 h M J u o V S P H 1 B f k V S x f H e C d E I l B H k m J i b o Y 0 8 9 Q b F 4 n G p q a m l s d N w 4 w x n + D f R Z a a B i F s I D 0 2 9 R 8 N n v U f e b r 9 K 9 v / / / i p J J A 2 5 j 4 B K 3 9 l u F 4 U W P R O e D A E t r q r V 3 6 o O y g z W i H / 1 v t S b 7 D w S F e x 3 j v A B U 6 K u s L u K a 6 7 v B y w e q G G w 0 j D K G S x 6 R J F b g H C y w 4 T D I 0 x o s f O c h d 3 8 X x g J K 5 d M o R q r t J B 1 + O R Q K 0 Q G W R G g N 4 U J H Z O + + F 1 9 k c V r Y T s l k S t S x T I D 6 I T a C x e V t h f f K V X n B Q C a d F H u i H D R a A n A 3 g z 2 s + q H T F R 3 H G L m L / q d y g C i E C 6 O + b B W w h n s B 9 8 A j i X Q A T D b d e I C 4 C I L d K s D b N 8 f 3 c o 5 V z b E l T 5 5 q 2 s + q 5 V t D C P V y 0 c U x H 9 W a H E W 7 g e K c M D a 4 e L B p K 0 9 3 Q 1 r h 5 c H 9 j N f W V J m k 6 p o 6 b s E 8 F P / E 0 z J M A h 4 3 J 6 + b 1 2 a k b D H A 5 X x z p n i U M 0 o C a g o q g I c l 5 h q G M 5 e B z t r y C I X K h R C c i + O + b I y g B l p 0 3 D f 6 i w 6 2 l G + 0 I 6 7 w S C v C y 9 Q + 7 E R I H / P r x n v A m C l 4 P + E E 0 a Q q V T K X A x A V Q 0 m E W C x 9 l 1 i 9 Q 2 A t j i N p S y u r 1 1 V b q 8 l v G d Z x x N h 1 P f f u K n + m 9 q x r K 5 y O b w U e 6 I l L 6 z u 2 5 K Z T 7 S u 0 t L R I L S 2 t x q c 5 R M J h q t p g J I U V 6 N / B c A y o F 3 Z A i 1 7 x 7 H f J f 2 w / e f e 0 k 6 t n j w R v H m t L y K h d n 9 8 v 4 6 H K R p x t F l j 8 R S L j I Y E Q d Q D X P D I Z v d w f E I 8 e x j + B D M U A O w T D a L Q E s B r 5 s J k w u A 9 k g a t a d y S b I b G J L D V w / e 0 E G j Z 0 d p t d / H c K i t l R G t C U s m + 0 G F m 2 k 0 x A l T 8 t L W K A h Q 0 8 f E 5 j m k A m x O y Z s b o a l q Q s 5 d 4 j + n U K q X y w J S q C H v I + c k b I h E h w n H 9 t y k f B i g o h 0 2 o k Q k u L C 8 Y 3 8 h G 3 C B E Q N B F N k v 8 H P 6 L U f / m B c d Q Z 6 B i G 3 Q N p Z Y 4 P R C S 5 X Z + U F X A o Y E Q t i I Q F 4 3 e G F u A m d 4 m X E I 4 J x B + i s 9 u O T E A X q 5 n w R m q P 3 3 Y B r + 5 O J B N Q T r 3 K s 6 G A 7 S a O H U B 0 L H D f I g R n c n J S 3 O d O Q A A s h l l o V F Z W U 0 O o U Y J a y 4 V U L g c 1 H R X S 8 4 V P Z + 0 m D B I 8 z K q W u Q + r k u + z r l 5 1 M k f C K 3 n u / g z b H V C p M E Y J t g H C c K a i S P p B N L T 3 l H G W M 3 B d N R g w I c T Q Q H A t C A V p V V m g L w s p x T Q w Q n p u F a F A X n E I z B k 5 8 M x q n R N E g u 9 8 t b j j Y c c V 1 8 / P R e S o / t D u p O 0 m G V 4 o 1 B J U E F S 6 G x d e o i e e e M z 4 t D A i E V Y B j R g + p 8 x D h Y A n Q 1 j M / l 9 + m 1 x / + 5 d S 2 Q s B r W g h d z j K y q o K I H U Y 1 K + N 2 i H 4 P o Z 5 4 P t 2 Y U o o O 5 3 L z w x I H c Q b N l R m J M O S F f B E H m d y o o H A / W n A c 4 h R y o j J g x c Q z o u b b O s g o P h f M u x U v + w x f u / 4 k 2 I s R K a d A N J c 4 b 7 w I l u r 4 9 T b 2 2 N 8 U h w g U z w e 5 y V W N p k A P D K S N o 5 + 4 a / y y P T y r Y D Y d K + y H a O D O 9 H / A z 2 / E G I m y a k 9 i Q N z P o l W 0 O O N 0 G 8 E 2 w X Z X X W o j x W I L t A 4 P 6 r I g D w Q V u A 3 Q T Q 9 R s o M 9 P d c n f L b k g n A c + G 3 k Q 4 L i T Y 1 0 L C h I x d S 7 f K 4 X 4 J 4 I a W s C W j + D B N 3 j P 9 E Q h U j 1 H Y T D e 8 J i T J R 6 d q C c + I y 3 8 g Q D o Q g B U r o k 0 K L j k o I 4 x 5 r T R h E c q O C v z k Y o I 5 a N a r W y y f c n P F I c G s p i E T T N L Q U E E 8 c x h 9 B v Y K U 0 J 2 w Z i C c C E l a k N o L w a h m Y K h 7 B Z t N q 3 x Z H b K D m E A E 2 m r g + 2 t s S o l v l G 0 7 B P a + f j s o j U Q 5 g K 2 I F G X W + D m k p Z 5 c 9 m R J D 0 L h m Z x S G v y p o 6 B z g g s d P C l K q O 0 m E 9 D X m K D W 2 r Q a B j 1 3 i 3 p 6 u z f m P T M w N z t D j U 3 N x t 5 6 I P k k H G x 2 t h P K B n Y c j H E N F I F D W e Y B x M T Q d A S 8 I o o c Q K U v J d A T G W R R g Z E s F E G 6 O o G N B u y m C j 9 J Z T 7 a m p A W E e 5 m j B 3 S Q b i w t z C s P m Y Q A N E e c P a s o D u C D x U K i Y K N V s E C H r 8 b Y m n X F 0 p m n z n J B 1 9 h l b L 4 U / z p w 1 H t 4 0 o i K t 9 O E K Y Q 8 N J j K T e N s H 7 u 5 l b 2 g w 8 + 3 B S Z A J A J Q b + T 4 2 P G E d X n g S w / w O k 9 M S H T w V / 9 o y z 1 S 5 O S 1 2 J v S C X g 1 G R C y y x R A u v L 0 B Z w E E D a 6 H o L k i C 3 G 1 A s h K a K J d h J l o I g n 5 V M w K U J v 3 g Z 0 V e D o R H v j / q y A / H Q P 3 W F 1 d E X M D b K I B M A 2 w s j c e H R K x Z f i O y + a a 4 Q 4 g m c 9 9 I F V v W m w 2 6 R o G G + z q k u + / F d f 4 Y S O p p F 2 b e 8 W 8 T C S 4 f r F m p N R x 1 X y N o a I c N m A b W x r a N T t j G S F 2 N s 0 J 8 D 1 F Z k 6 J n 4 e Z E i G K J 9 c v G 8 G N 5 9 T f l 2 C I Y 0 Y / g C b K d S S u f S q O p w x S w Y U C t B E r j Z U d F L t T + c h o J o o P / p L V Z V 4 b E r B b C D S g U k G Y C q A G 0 B Y V M f c i O E d M 7 a j j v A 5 Q U 1 + c + w R + F m c w e A D l 0 A q h E q 7 V 1 3 H a H V M q M R 7 I A c G R p 6 J C + c F w B m u J j e d 1 y 2 U T k 8 T z 8 l 2 1 b c 0 x k X w i F 2 r p Q 6 l E 4 m y M / G O 8 Y A Q W r o N u p g c y J r p z k B j o q X b g W K x u a B q G Z H B t I r w 4 l Q K N P Q w d A q d d V G q c a X I C 8 h v 0 S S Q v 4 V + n j T O I V 8 9 n 1 o T o C z A v f w Z 9 j D 9 b N 3 w l I 8 u 2 U / H e I W H W N f z r E 6 g 5 w K 7 u Q y R S I R a m t r M 8 7 g S j 8 + Q b 4 / v k A p n 4 + S X / + q c b Q w c O 9 O R u T K S l g G M T p 9 v h V A 2 B A i 0 + 2 A j t r 6 Y I Z 6 j D F G m O 4 H 6 l y 5 Q K c v 0 n Y h H g 5 S 1 I y + p g T 1 z / r I 7 4 r S w 3 1 I K q J i 8 x a W V 6 m h t p L W / v 4 7 V F / p p n S w g j 5 4 9 H M 0 s 7 h K U Y + z 3 f l n 5 O B c b w y 3 + a 4 h k 6 a m 4 K r k v t v T k K L p C F e M q 9 f W d e p 6 3 3 t P 1 h m T 1 C k E 9 E c V I k t N T b V 8 n m S J A n V w O + B E J k g q 9 P t g K D x s L L j W N 0 I m A J E X k G p W M o G o v U a G 2 3 i G 1 U 2 W m l p N A 5 k A k A l w R 9 f o U L u H u p t 8 5 M r k q 7 y F s I 1 t 0 U c a I q G c J N F 2 S 6 h I e I k W b 7 9 D o d 6 T 1 N F c S / v r F u i F 9 + f o C 4 / v M 8 7 I w f v a 6 5 R 8 9 B F p z W H 4 b z V W w 2 H y B f x F M x 0 5 Y X R 4 k L q 6 e 4 0 9 Z 4 A E U A n h z Q N g X 2 1 1 M S M I 9 u S e G L 0 9 q N T H U E W S u k M p l m i F L 3 R t e E m y 5 6 7 G M 9 I o T c W Q 4 9 C e O Y 3 e G Z p L / s u U a I U k l C O h t p t M c P V C F 4 + s x S m 8 O E G e m X M U 7 L i P n k h O U O X D z m E 5 0 O F h G D t h Z W V Z x l E V g v 8 X v y L X 0 p K x p 5 C p q 6 P 4 Z z 8 j z 4 3 w o d j a G t X w M S c g / T G c K a 0 1 i h g Y L n 9 9 o V H U V m u f E / Z A I n g 0 A W Q U w i v B a N m d S O r o T y / T m f 0 B K f N S o G 2 k F 2 / C E e E S D y g y R Z k R S v Z T Y 0 M t 3 V z 5 M 6 m y 4 L q z a 4 R C y E s 0 6 Z Z I Z l y q 0 r V C D + z 3 F f U g Y S 4 i p 9 w K x e D / 6 c / J h a y e B Z B q b 6 P Y U x / P h u J A J V x c W K C W t v a 8 O a d Q 6 V C m u F 3 0 B 2 H i g X a W O j p j D w i E 3 9 D l j v P N z w Y i w S W / E w Z + K D N O d x 8 I S T B s O X j 5 J t u s G X t v Y m / V L L V U J y n t b + D n C O z I c 9 x J s C M U O L P 9 z a M D 3 F y 7 E E O n e d v b o m L V C g H D s v E c T i 9 v d m b a 2 F o P 5 P K z I 5 P 5 p 9 A 3 N X V 1 g g b / / n n 6 0 L B L 4 C H s 6 N o j Z E K B L S 7 M S 7 Q 7 f J K 4 X d h / 4 W h K 8 t Z p M i G r E I Z 7 m 8 v c 7 t l 2 q h I u u F p o a q l 8 N b n S 5 W x f L s d 9 t E I h q n R H Z Q r U O z X 1 1 0 5 j V z p 2 0 S s / t p D j M l p y n S b Y f D e + F 1 4 i u n r V 2 E P H a U b G M D k R r 6 m 5 x d j K R + D Z 7 x l b 6 4 E 8 5 C g C J B H B b y O G L h A N U / T i D X F h m 9 M S o 1 W q b + B K V J n z E C J d 8 h 6 6 y j Z Y L k P S t W n f u r l 1 r U D f z k 4 h Q 1 5 a m s 9 N C l Y q T u 2 D y m f / H K u Z G k m k M o M M V b F F O t k y n x d g + y 8 T D h J q u 0 n m 5 6 u a O y b r A i n p W 8 F k w W a u u M f G K D M + K d v + 5 3 5 J / l 8 + L z k P c H v W + Z I m T F E R Z n j 6 B / B A x t 5 6 g M j g B n L P 7 W + M U 1 9 z R v q e H p p 8 Q / p 3 k D k V Q C C r E 0 J N I a q q V o k x E Z G N 8 q v i 9 h s h U J C a i X g 8 r 0 y n l j c X C b I R z L s 6 a W y + t H h E D a i I X R X r + 6 k w r K U 2 M y Y N X G d X N 1 X X 1 N A q 1 d D d B X I E / q l h P U d 4 n / / t S p s S T c q 1 s 0 i k 3 f T m b X / e 1 P p Q 0 Z D Q 0 v X U k 7 L v W l 4 m 1 + I i f 8 9 F w W e / S 2 0 / + Y 6 Q T K P d i I q w w v v G m 8 a W P X Q y F T g S 8 v L w M W L n 3 j W 2 1 O d O a G h o N L b U h G y Y a B r j p B A C B a m J k b 1 a o u F F D M 5 t z A b c D O I p L 8 U z 5 U f j J y J T 5 E u H y Z / K E c v v T d H e 1 o q s S o t n Q 3 A v o v b v 7 4 6 p 8 V P / w g B + Z Y d v 7 D T 0 i 9 B I 8 9 1 g d C q k g d g 6 c / N y H N t Y z D j x 6 o + M L U U y f I 5 h 8 b Y o M 4 Q J L a 0 Z t V e v G V v 2 g O M B 0 G T R c O q D E v C 5 0 c T O V 7 h a 9 z z b e c 5 S 1 g 7 I k 7 i S q q H H D 3 v p 4 Q M + q n f N s I 2 Q p P 0 N M a o 2 5 Z H H 8 y O F 9 p H Q o j S K 5 e R B t 8 N H e Z j I r h D K m k E U w w d i R u Z N I N M Y o r Q p d 3 m a V S Z I K y x u Y 9 p O M y A N 7 A C v X q n I M P l c r t K L A 1 P A I B M Q E m G W A z x 5 d V K p s T s K t 4 8 i R o b Y U u H z e u m e A 8 o t j j m z 2 q t W a U 9 w n J p q 8 x 0 u Q E V F h a R + A 5 A P H d H v 5 s S c 5 a B q l z M d b Q z q W X e F U N Z c a 8 g q p I d y x 7 / 4 e V m T q X K 7 W W V y Q q G o C F c Z K Z p L J Y Y r H K H V v / + + e C g H 2 V 4 q 5 F m 0 w / h C i p b d 6 5 P P b C c g M e / q w q y G 5 V d U r R I D w f p 2 t h d z I W F W 6 J H T e B s g V L G c h 0 7 Y 7 e l s y k e u j H b l z q 0 z 5 S E M R 3 M i Y 0 i b x O O P U v L M a Z F K h Y D 5 g R 2 x z n B 0 h t 1 k A / j 6 G 0 b u O + / F i 7 J O V 8 P d E J Q 8 D 5 i N s K a u q Z z L U E e D h 5 p r v d Q Y C J M n s z N D I m b D G V r a f L y x D A V p L J D x V f f T I R 1 c z 9 4 D 9 N l T l f S / / o e / k G N / y j C / / 3 W 1 c b s 9 f B p m o e K U E i t 1 + J C x l U O q J z c 8 H k G 0 k c / 9 K 2 M v H 6 N L / H I d J J c V a R v p h N w R i E o / 8 u E f x U 5 L H D s m x z G v 1 N I X v y I d u U j G f 3 E K c Y H y U c k 4 1 p G m E z 1 e e u z A 5 m y N U p E h D 1 1 l L f P q y J p x x B 5 b 8 e p R f z A E 5 X v f + x 7 d / t / / M 3 U 2 q w Y S Y 9 3 + 1 I D y y v I F K 1 5 2 T b a a X x 4 8 Y 6 U i y Z I r 9 r W v i G p Y y X p 7 9 S + f 5 y Z 4 1 v g 0 h 6 6 6 J I 3 H q 9 a l 8 r I D E r 1 Y g U Q s N S d 7 q X 1 h S P Z j Q 8 O y r m D V 9 G B z U h I x u j I J O n r t R f K + e 1 4 + K w f g o M f t J n 8 6 P w R q u 5 B y B W l s r Y F e v Z a 0 n X I T A x B L y f V X D E t L y h s Y X Q 3 T v f / n / 0 z / 1 / / 9 d 5 I 0 U 4 d d / W n B V I k Z u + b l M 6 O U z k D X g q U v h G 0 q 9 3 O / Z D N L f T n w m 9 / J 2 o r G f / 2 5 k n 7 f b j 5 d w P P w Q x T 7 + l c p 1 d t L w X 1 7 1 T G u c x h m j t C h w 7 / 5 N r V M 3 y b P l a v K G 2 m k E E O K L k k O W Y L J E k g V n y l x K x F 3 V 1 M q k p s u C A 0 b J O 0 s 3 / N W z M l U V 9 c g O R I / / v G P 0 d D t m 9 T c U C 3 R 9 S c 7 E 5 J B C b G P 7 T W Y n j Q t k x D U 2 y S e + S h C l 9 y u E g q q E h I w I t o A Q 9 T t g I r q / 9 W v 1 7 n P 4 7 G c w y H V m O s H s q I Y o d K G U w O 5 G s x S M 9 F u G N 8 Y g / X Y I 2 r b A E b 3 7 v n D T 6 n a k 2 8 D B X 7 8 U 1 p Y 9 f C z k F T O U m L n u j t 3 1 k E B 3 I 6 o i B I M H U F 2 p / 3 N C W r d o h z s K M t k U k 1 + b g b y Z C A G c 6 + R P + R o S 5 K O t c Y p t g V S 8 Y 4 B P / O u E u r p i g E M i a I L r D 4 h J q 4 Y / G Z S / f V f G R t M m r m 5 d Y T T i H / 1 K 8 a W A w y n B j I K R U w v N / 3 0 x 4 2 t f G B u o 9 l V N z W m V y h U k + s o R f 1 Z j a T o g 0 k 1 U Z l 5 N s R C a H M O a N 8 2 r C a V 1 7 Q 6 k K E n D 8 R k 3 t + 8 E J V N o r m l R a S U F f A Y o v F E y j O 4 x s e 5 n J B w B h E p U A k / O v N B 2 U H d + 6 4 S K j 0 9 Q 0 d / + 1 / F T R r i V t / S q K 1 D 3 j t n J i 5 8 8 X P G j o K Z V O 6 J S e l b y g T 8 l D I c C n b Q L n e k g M b L B g p 5 F q O s 1 Z 3 s i l P T i Z 6 8 Z D L 4 J m y Q y p V 5 O g H 1 p k B k h R m X R j N U 4 V 6 l I z U j d E / 9 I B 1 p D P N z b r + z Y m U t n / B b y C e B 3 c B N c 7 4 M q J g r U Y / k G k Q C m 4 Y K p H y O 0 e k 9 H 9 H w J X 7 d e O O e r / 5 3 / 2 P e h G s 7 i f Z D z V T z w H H J / Y a + K T 0 v k R n p v n 1 C D v Q p h T / / W f I Y E 6 t h R o 6 K 5 3 5 B b h 2 u Y C D F 5 w d + + E / k G R g g 7 6 X L l K y o o M y x u y j N N p D n 2 n X j L A X 0 P S G Z i 0 a G 1 b v 4 N 7 9 h 7 K 0 H o s N B v C A v i c 4 O 8 v b 3 k 8 u Y P h B 3 j q Q s r c c 6 i G r t J 7 z 2 v f C i 3 I c Z T T V u 6 m 1 0 8 V e q p B + n t t I t E s O 9 N k n L y W r + 3 e 1 p 8 9 L L t 6 k x V C / B v 0 u s + m G C a f R T 4 f l K R e b y Z X L 9 8 l e U O H u W v L A f 9 + y R + E V 0 e C c S M c d x a b g m Z k m E c w d S C T Y W Q p f Q t i F G c 8 Z I E / 3 R Q U a p u L y 4 f n p 2 J a 8 W 7 5 T b H L i / h w u d K y F S W L 0 / 7 q M z 3 c 6 t k + f C R c p 0 t l O a 1 Q m N + D / 8 A 9 V U 5 E d J p J k U b l N + c Q 0 t d d y D Q + R 7 / Q 0 + M Z 2 d y S P d 1 E S J T 3 9 S P r c C p Y E i w T 1 W 3 f i Q U n c d l e P m F N B W + P 7 5 j + S e n K T Y t / 4 S I l C O a e m Z 2 r e P k o 8 8 J N u F g E G O I 0 t B G p z 3 k G l O h w 0 B + f r Q e W 5 G s 2 u M a k K t 2 U k H E P w L z 3 a 1 T a P m B D w T V D u U o d 8 f o M n / 5 t P U E A r J k H w k C U X G p G P t c Y l K N w N D W 5 Z j b j r Y Z B + s i 2 x L S G H 2 U Q E 4 I 9 o Q a 0 2 7 S i i M I E U M H 4 C h E o / 3 K V 3 a D O 9 r b 1 C q u o o y J 0 8 Y R 3 I Y H x 2 h v S + + Y u w p Z P j l u i y x f c l 7 T 2 W J Y A a e 1 S n K Q g P 3 h T 4 n d O S a M T 8 / S 6 F Q k 7 G X g + f G T f K + f d b Y M x F 5 d o 5 8 v / 2 d I l k R J B L x 7 F B 8 p F R 7 9 W a a k q 7 y M + k C 8 K x B s u q J q Q H 0 C W H i A 3 M U h B W I / o f T Q k f b 2 w G E w r 1 6 v Z h n y y X P i h E D 6 A O E + l v H 5 E Q E u n W s F D J c o T 8 P 5 e o E T B y h 0 5 r d 6 Q C R Q K g 0 r 3 f 1 j h E 5 D p c 4 k q 8 c e v 4 f y W 2 a F s Y 1 M S E v z H P 7 N v k v f 2 A 7 p g k D / 1 a / 9 m U h E S R B l N W 1 B L e S Z i R b m j d M J g D J + a 1 k A g J + + 3 R f i I i 3 Q 7 q p s S Q y R d d W 8 / J a Q C W 9 t 8 d L 3 k z h T l k n g E h m M g F I j F O I T B g j h r m p r G 2 r 1 R M b + 8 u v y x r l i H 7 B y W W 3 T C q A G L 6 j b Q l C B l 6 7 g Y f w g B Y i E 7 B a Z t z h r g G F p P 7 J f 7 t 6 1 + h 0 z T Q 0 k G d o W O 7 L 9 + J L x i d E / j + 8 Y G w Z 4 B O S K / n D K 4 B 5 J m H 8 C 5 + T y o p + q Y z f T 4 l P f o I y b D v F 2 V 5 J f f I Z 4 8 x 8 T E 0 U n 7 s X y B v M y K 2 Q 7 / d / E K K H f v a c c Z A r l G k k M M K l u M m W 7 T j b f O U A w 0 e C N v N i 1 T B 3 n z j k o g c 6 Z q k 9 O F + W A 8 E 6 K j i Y m q e j n c 4 2 C v J c I P k o 8 r x b w 4 w w M w p m c s z C 4 6 G l L 3 9 J S W E u m 3 Z f R C R a a 0 2 K q t g u K q V T X Q M N H K Q d Y j N n W d 3 D b S N n x 5 0 O 3 K f k j Z X W Z 5 f d 5 r g F t H r i e O B a s j h T O J g 1 0 N 9 v b O U Q a m z O m y s K g J 0 V / / I X K f P I w 8 a R 9 Q g 1 r l f X i g L l V s U V n l v k l D 8 X + + e z k D / 2 j a 9 J J c v U 1 F C p M / 8 t L y 1 R t T F I 0 Q m Y Q O G u 7 k o 6 3 Q k p m C F f a p k 8 a X O Z o U S d U Z m Z p 9 M H K g v 2 j 9 3 V n q A j b f b Z Y W e Y T J j 8 A E 4 k j U p u w D L / z / 9 L / p / / g v w / / i n 1 / u I 7 c h z n N h U a x m I A C U k l p Q C X K S R z M u N j U r s k T t J q 9 9 1 p E P P I W F D y 2 N x V G w r o r E / R E W 6 J M C n Z 2 j 9 8 n 7 r + + 6 / J c W 3 E m 5 F 4 + i l K t 7 c b e z l E o 2 u S / q p U l K r u O Q H e Q X z f 7 C E 0 A 2 7 g h V W X J G 0 x T 8 7 m B E x / W l d X b + y V B k g e 9 Q T w M O G Z 0 l w O c T o 3 E q S k e 3 1 Z h D y z d K p v Y 3 a Y G X C q x t M u G a 0 L 4 D 3 h 2 n D w 6 I i T 1 L G 7 K H n q p O R U D y 8 j t C q z 7 v n g d J m e n K D O P d 2 y j 1 9 D 0 h p 4 + b y u B D 2 8 L 0 2 X x n 1 F c 8 L v J s R 2 A p m w G E 6 J v L t V R b S z u D 6 8 R O P T y 9 I P 9 d Z 9 T 1 D 0 f R X V j d b d C j s y A e X m 0 s N g u M 0 A / U 9 u i 1 T U Q O X G i N U 9 9 f Z k e n v Q L 7 k r N J Y 3 Q C Y A E g R t g i K 2 S + 6 p q q q C b b v 1 r X q r Z 9 S R T L h f 8 x r A N i Z 4 M x / T w N S g m k y u J T V j J D Q E j E l D s D L g + e B D t e b 7 Q y S K + f l Q + c K s u v t 8 v i y Z A K 6 P 2 b Q G X h d L X 7 b D k G 7 N j E 2 0 g d s H F I V R T i i v f P r b F O B 2 Y 3 9 7 g P 7 4 4 p s U G R 7 i 5 R 2 6 / p O f U + z 7 P 6 T o Z z 9 j n K G Q O O 7 c O S s S Z 1 4 5 N D w X L 8 u 6 E O K x z R E K n j f f S 8 q 7 i L g + T G S t 8 T 6 r R D C 6 7 e a s x f i p M z 1 q O k 8 A L u f a D Z C p E P Q g P z P m q Y O W w + u f G U k 2 M U c W X N S Y b Q P b Y 8 t e + m D K l 5 0 E r x D c Z 5 U 3 M 8 D a Q S K e Y L K p 6 g S 7 W A P P t 8 J S a n p q U r 0 n / l H r y G h A Z 5 l C 9 l q v T z U 4 0 Y S L e l / + R V b 9 R P 7 2 Y p M p 7 B z 4 / W Z f s Z J S W O + 6 P D 3 Y 6 q W n H j 9 F v 7 g a o S e f e I g O / s f / g e a f e J z e f v u d r C R J 7 u + j t I 3 b H P C + 8 i p V P P s 9 8 j + v 4 v 3 0 u C U N H M M S H s s 5 I e p N O S A 2 A k m 8 8 u l P i m u 5 l 8 m B W e G h g s H F j o J F i m U r Y H f M R z B l j 9 q f 4 9 / A v M B b D b / N + P F E y k 3 v j J m l B M m s h F i j G t y Y 8 Y k D o Z v V 7 4 Z g i o 7 z 8 5 Q 0 2 r Y 7 J 2 E w 0 R 2 I N T 8 7 Q / H P 5 M Z A o b + u p r a O W l r b h E x O m F 5 R k j X j 8 p B r e l r S G z B N a a 9 r V s o W 5 Q Z n C Z J u 4 m c K T Y 6 w E 9 B l p 6 w n Q J H K Q q g S C n G L g X F H r c 0 h e u B 4 F 8 W 8 j V R R E a T 2 j n Y 6 c u Q Q 9 d 8 a Y P t i i c I O Z A L g I X S z u m N 2 T M R f e 1 3 W L p N X M P T C i 7 K 2 G 5 m L S A y z h 7 E Y / K y u o J 9 l Y s l N N 6 d 9 E g y L 4 R z A / J r H N k M S K g E 6 M 5 E U c 3 B 0 l o J 1 z i N f N 4 M D d S o f x z r w D W i P H 0 b S N l S m a G 8 o K U M r a g N p 6 Z f a 0 5 B c F 3 H u u n q N 3 K b G y A y 7 8 W q V X / q S 2 E d o d J a Z F E m b T n Y r Y D 9 r e F M R i j W 2 U r q 2 l o 5 0 p i n 8 r W 8 K e V p q U h K W J A 0 S 3 6 L T r P U 7 A r B J b a j / e V 8 f y i P U Z g z 1 j c L P 0 h 0 j P f s 6 a 5 k Y O d W p g d W G v f / H / 0 b h r 3 + V f v T D n 9 D 8 / H z e F D U A P E s a H t O 8 / / 5 H V X S 4 2 Q 6 L G x 2 s K 5 Y U z I D v D 3 8 k 9 + i Y S D K P K Z O S E 2 p Y j U E 0 w M i i V 0 J n F p l E H l P Z 3 Z 7 L P Y c G G o 7 e h g S 1 u Y e p t 6 u J M L P g d i A T d J Z 6 C U x F y E B l 7 A 2 l J F 0 a K u j d H c 7 T 9 U B S u E d G j L 0 c d A W a e P R T W f d 4 7 M t f J F f 3 H r G P k O 2 p l k l R y J s K D y 8 m T 8 A c x B r e d F j q K a L 2 Q 1 W q x c c E 2 h j y o U c O Y H q g w 8 3 J X Z J S W i b x / 9 g w k 4 u 3 L R J q 5 6 F V C 0 w C g O l Z z A D R m p q a 6 M t f + Y K o f y + / 9 K o Q S + m r / L J N E i g W t X c S w H 2 t o x W A G n 7 J V i S e e V p 1 D j O 8 R i Y l N w Y u O g B 5 9 k 5 1 x c X F j A q B G D g 9 B S i A u a G s Q H x e T X q K 9 n R t j 2 T S u D F j D N m 3 8 T j P z a x P D h N P s L 3 3 b f t I f S B 9 / x l K P n C / s Z c D 2 g + 4 t a s n b k t G X 4 L H s 6 K w p z U 6 O y d q m 8 Y 4 S 3 h M o b q 0 l i u v m D d k 2 E r q x B q v k n D m P r H 6 y g y 9 N R w Q e 2 o r x n C V A z N / 9 E p L K G z v K q E q T Q 0 5 1 C S n Z P a Y 3 q a z s 5 N O n 7 m X R l m S v P r K a 7 S A C A v j c 8 B f I J G L R o o l H L L 3 W J F u b V W d w 0 y 8 d I + y C 7 w O X j y o j E G j 4 m B c F F p 4 B M s G v L k X b i f o Y V s 0 c u O w 1 f B c e F 8 a A O 1 x 2 x u K U V M l q 3 K 9 U Y m K N + P q y h 6 W U v k q 7 z s j Q Z q O r C + T U o C + p r W T p + n a 4 1 + m W I G g Y l S 2 N J d 9 3 W 9 + S + f Z d n t 9 w E 8 v 3 g x S v 4 0 k D y T n m W A e y f E n + 9 / / o T y f B t R W e E / r W E 3 d x x K 2 s y 5 f a 9 l W W N g k s k q O G Q t v 7 2 o / 1 N 0 t S 9 R S r 1 r U U o H 7 m 2 a j d X x s g l Z Z a j 1 w + b K k s J I + A L c n L y D V i l g s S o F A f s i Q l 2 0 n D 5 M U E R b x r x l j p + A p c y A o b A K d 0 A W D E h G d j b F U w D v G J N I A g k L b a s p T S d y T U 3 z v i u C l I v C 9 H 4 D l 0 q W A f j p g c H y J b o V b R U W y T s z d W 7 t M + 9 t y z 4 b I i G P G V K n l A g H D 6 G t C Z A P m 9 3 I C p P g 5 l i i l j G D 2 p C N U W 1 U h z g c r c C 2 8 W c Q Y n h s J i E 0 1 z O / A 3 N G 8 n V D c 4 E X + 8 V 9 a x e 9 l m O W Z N L 8 D a z / U T g N k W r Q Z i F Y M r V z h j t 9 9 j I 4 e P U z n T 5 6 k y + P j t M g q B + w t J z I B 1 o g K / 3 O / E D I B L i Z R t i U s I O 2 Q l B P A C s b 9 / K o r a 0 N A 1 / e 5 u Z X i 7 R C r J R o o + F L g v n G T 3 N d u G H u l A f F 0 q U O H s m Q C e j v q q J r m b W e 5 n 1 3 L b 8 A 2 S i Y A O e q R w a r J r u H g A k K Q L C Q R 1 D q Q C e f D 5 s T 8 V f b J L P n 3 3 F X U + O u f y a y M Z s A J h L m F 8 X u w u V D + H 0 5 6 q Q e D I 3 c U x o 0 L q d Q a / 6 n V L t p Q e k o a e O j K A d z N A A a w w X F x 3 + l 7 q e 3 f / z u a f O g h e u 6 5 X 9 H c 3 J z j H L 1 w 3 5 r h W l 4 f G 2 h W L + w w N 6 3 y M Y C 3 M J Q R O Y 0 Z 2 p G 8 E + r f 4 / u Z t L y e D e d q T D x u r z 5 a g a H 2 S E J T L p L 3 n z a 2 c j i z P 0 g 1 n v W D / P p q H b y A F k D 6 o J L c n i / 8 f j A y 2 a J F S p k M / 6 c f 0 b W p 3 H y 8 G E U A S Y 4 h O h h h 8 O S B K F V Y V H w 9 g + J c 7 1 E p W 5 B G n / H 2 U E B s 0 1 B l K u s V R M Q 6 o t J 3 C v q N 4 p 6 0 u q f s J 7 3 N E n a 3 B h g i a Q d U E q h P T i E 8 d l D 2 i 0 s c F l D x 4 J k M B o M U C o W o u 7 t L P I E / / M G P q a O 9 j e 2 F B K t 4 A T k H n b F W L 6 b 3 w y s s c t a 3 r q t 8 n t d G 7 Q p 8 9 / u U Z o m o 7 T U Y / g g v m m K V B z n r t C M A j p a 5 V a 8 E i Q I o c P P o 3 p 0 A n r W z w U W z 0 x M U d 9 c x 2 T N U k Z 6 j S l q m u g I T y c V u 3 q S q X / + W Z l + / S p d a 7 q U j b Q n l q i 4 A 6 6 D E 6 z 9 9 l 4 Y e z 0 / v B m J B H U b G 3 c F 5 r 0 S L W B N h V i Y n K e G p o a a 9 I Y k D R F q E i + N q y l N U V g D y v 9 T 4 y C 1 H l l E 5 M u G O z N u 7 I q F g V O p + B L x 4 R B i X A u T P 0 y T S S R X N q K n h l 8 G G / 1 / / z T e Z e E G 6 d u 0 6 / e 5 3 f 6 C 5 2 T k a H h w w H j o H B L G a k W 5 s p H R H B w X u V j P E m x H 4 0 Y + F f B W D g 8 a R H D q Y V L A T N J D Z Z z H q U t 4 v B s h c C r w v v U K u E v p t S g X K 6 f T h F g m g r c n M 0 0 O H q 8 n j L + y J 0 0 K j u b O C Q l W p k h L N m A F V b f J E L q k N h u W c + u f / m h f h k P 8 W c l j z q U Y M 5 1 6 Z 9 N F Z l k r L X I 5 m I H p i 9 8 D X B n n k D + D / 1 T 8 5 I g 3 n b k i o u 9 l g r z A k N V 6 6 k l A Z i o Q j f F P c 0 t u Q B Z i c G M u q b e F w W E a J 2 g H f h 6 M C n s H W 1 h Z a i 6 7 R W 2 + d E w + d 3 4 / W j g l t O B Z S 9 9 y t c q k f P k S p E / e s G 6 K u g Y B P 7 8 V L l L 5 9 m + j e e 4 2 j C l X X L t M H 1 E m d x h x X 4 2 w 7 z E U 8 4 k o P s g o 5 2 h S i 2 n o V q Q C V E r / j W g n n 5 W 8 H M q E G i Y N L 8 3 1 v F b h 4 x W E Q D H i o K u C m q s q q g h L H z Y 0 K y q S / + S 5 u E N z U Z k h Z K 9 a 4 A b H L t Y c 0 B j p W 8 e F r v 6 E O 9 5 K M y m 4 7 3 k H j i e p 1 U s m M Y G K G k p 5 q m g l 7 1 o 3 h A l w Z b n j L y D + / 1 U C 9 E S q h Y c a 2 a V 8 H y u 7 4 3 T W y D o w O u / V w y V B q j P 5 c n J + n N b a D c I N m t H V 0 G V v K Y 1 c M I C r U m w 6 W O p / 9 3 G d o z 5 4 u s a + e / c 7 3 W H p d k z 4 t 7 K e 7 u i j N K m P q v J p t X g N e t 8 A P f s R G i p K g 0 W 9 9 g 9 L / 7 d / K t h m p 4 8 d o e c 2 t 7 A U m 7 T w i p L n e w C k A V 3 z I c J d 7 B p i M B p D z w g r M 8 y v j q b Y Y X l Y 3 k f 4 Z k t K a V 9 4 J M v d T r b 3 m g N d y b c Y r U s T u 1 0 D Y J / Z H q f q u 3 C T e i O + z y x l i R t y j G p 3 q + C B 5 0 9 o O T p M / O c 9 k m 5 S w p N 0 D 7 l 2 T C G V g 2 p c F 5 / B r 3 2 m 3 O Y J D E e p S K m L R q D g u I H U g z T S g J n o 8 9 p K s G G K x m B B p l l X B 9 8 5 f o L 6 + f X T y v f e 4 I r D 6 + b d / I 9 e y O i c i R 4 + S 5 1 6 E Q G F a 0 v W t L D o 5 2 2 d u U e C N N 6 T z M v p X 3 x J b C t E c 4 b / 4 l N h d 8 C T 6 f / h P U v h Y E q y a 7 g T g Z Q z + 0 0 8 o z Z I 6 8 T d / b R x 1 h m t 2 l v y / + V 1 e h 7 g Z c D p g l s b j H Q l 5 D n P c H 7 Z W 4 y w J j U g Q V z R G m W B A h m G c H / Z J p l w 4 H x B m Z o a W P r q N d 3 G L D / G q f K a 7 D 0 U a w 0 U u 0 i g t D V T O d a 7 2 1 x E K 2 C 5 S o Q c c r u W y w f c z e H u A e v f 1 G Q f U P U K F c 1 I P S 4 U m F 9 b 9 7 7 x L o 6 t R e u y R B 6 n l + V + L I w G q o X a a L H z p 8 z I d q B M 8 N 2 + R 9 6 2 3 Z T t Z W 0 s p I + 8 6 h i v o C G t 4 F j 1 X r t D r 7 Y + K c Y 2 U Y 6 X m 8 N s o d O M g H d t M b N 0 J 6 / / t 7 y j + q f X J a X A + 7 M k E N w S b A S Q 0 M u y O L 8 R p J s L S z A W J 5 i Z 3 J i H z T F n H b X X X J 8 X V r j 2 D d w o U m T S R e A 0 i a U K Z y I T 1 j h E K j T q G V R f z G D k B N 2 z 1 B m I s 0 V Y O f 8 A 1 M K Y n w e T y P / s 9 G h 0 Z E 8 n S 0 d k u x J r 7 / G e p n l U X b N t J K c D d P 0 C + N 9 6 k + M e e p E y X s o W k 5 e L W 1 + E r o i Y i O 2 7 c N P E B I t Y R B d 5 R l x Q n x 2 a g C b W 0 O E 9 1 9 S H Z 1 o h / / a u S P s 3 z / k W V e 8 O w L e 0 A h w D 6 k o q 9 Q 9 Q f P P O 1 K R / 1 N K z R y P l p 6 j r d T e 8 M B U S C B Z L T F G c J F U j O U c J d Q 2 l 3 g G q j 1 6 h t z w G a Y t s z H H W X 1 A m 8 M w C B N K E 0 q U A g b K f k M 0 U m 1 b G 7 Y 0 4 J u M j 1 O K C N I J l M r H M 9 J 1 n t K y X k q F S A J H C z o x B D g 0 P U 0 t L M N l i t H E e s 4 O u s f l 6 6 e J k i L N G g H s I t H 2 c 1 D p 9 j A e H h W I B R T 0 b M Y J S / h 2 i E q z N B G R 5 h a R M E I B O C U O V 7 B p D Q H 8 G 3 Y V a f J L P r J p A 6 e o S 8 H 3 z I 9 + y W 0 K s M 3 5 u L G w 1 0 B s N u A + H Q O Q z n D J B O q 9 n 2 r U C o E B w u P c 9 9 m 9 y j o 5 Q + e M D 4 J I c V b u T Q d e H y B q m t L k O 1 P / k p t c 1 x I 9 N Q Q w P p Z q p M j F H U h 4 G i T B p 3 l U i t S n 6 F 6 W S K u l u C E v V w 7 5 6 Y P P u d A M g W p k 7 u T 0 g l n w i x l P D J b e + Y h E J w 4 8 n O D a h 7 D L Q A U F c w V 6 0 G X t p m 1 T 0 n I B D X 7 w t Q 5 f e / b x x h 1 f B b 3 5 Q C x W d R Y y I 3 D K q 7 f P l D 6 u / v p + 6 e b t q 7 t 1 d I C I B g k G R Q J V + 9 O E n H j x 5 g d a u S M G T C F n w e s 9 n Y I Y k u Q E d m X 2 O i 5 N l J E l e v U v W 5 8 4 6 2 j 1 W i w 6 M I 7 y W 3 D C y Z c m U 5 G 3 G L d E E s o D k 7 E l Q x R C z 4 3 n p V c k k k H 1 w f N M u V h 0 t J P T + Q x n i 1 o W G 5 J 3 j u z g 7 B 2 + i S b Z x x p j t G 7 4 y o D E v P D P 2 a b o 1 n K P K J T 0 n u v l 2 H P A v / i T R S h J E 1 p J K s z f Y T p N U O q n z I D 3 e y L Z x H i l I A M q E S I 0 D W C n 2 f + u V t F c b H R q g i 1 M 2 G t E f i 8 f T s i n b A P Y A 0 W H C v 4 Z U w 2 9 Y u G h u b o I G B 2 1 L I p + 4 7 T Z P x Z r r v Y J 3 k E y 8 E r Z 6 h A i I C H 7 k p r I Q S G 8 c U u 6 f h / 8 n P y M X S M / 7 F L 0 g y G U m 9 h k r Q 2 k L x Z z 4 h I 4 R D s T h l H F I J A L i 7 V / s D E v A L j y C G S h T z z q E M V l a W p a E Z H B y h T l a R 4 V 1 F U h k z 8 L r e u z 5 N q 9 5 W w k y j Q W 9 K J t K + M h r n x q a K H n 7 5 v 9 D S 1 7 5 J 5 0 f L i + / c H o A 8 6 t m y k o g X U e + y J F L b s o b K x + s d I 1 Q X G 5 y H W 5 I y + A y q U a m R A 5 h l w 2 8 J a N 1 u o G C 0 v Y b A z 1 K y 9 2 g g F R i y F 6 E M 4 T S B J E W D 8 N Z b Z + l B b t H d H o y U T V K Q p R E i P K w w E w q q 1 + i S W 8 K 0 Y L d A Q m C N c 5 I P P k C p A / v l X D v o 3 9 F I P H A / R X F N b n z Q / 4 V M T f D m Y e Q x 1 D 4 N j N u C u u X i + 9 / X V J p k X A m H 6 X e / + T 3 V 1 F T T q X t P 0 j I 3 K g 3 1 d d R o M y u K l 6 8 b f u I p O j + Y p o R E u 3 q o p c 5 H R 1 o T l J p f p D c W 2 / K G e O w O F J n w n / y Z J F Q e o Y y 1 I t c O E g q V A A k j z Z i d m a K m 5 u J R 1 b g X J w m k R t 8 i r G f r V T 9 U 3 o l l L 8 0 w o V y u D B 1 t Z Z X T 5 B 5 2 g p M q u s Q 2 0 u V L l 1 l K L F B n V y e 3 6 G G 6 5 + 5 j r I L V M n l V 4 w I S g E h Y p 4 I B O v / w N 7 J 5 v q s n h i j c 3 k O P D / 6 e q i d H K M N k j H / l S / K Z H a y E A s w N h R l 2 K i I 8 d H p A X z H M z M y I p x T 9 f V B z 0 b + 3 s L A o 3 R F W o G 9 v z u + V 4 f + Q o D r 5 J 1 z x Z 4 c D t g G 9 O w u D T N j C B i Q Q r x W J 9 D p H J k 0 w r f L Z F t l W q 1 B 2 t h P I N H y 7 H 3 d t H L E H x h E 5 A V J u e X F r Z w B E Q h E A j Q D G 2 p z g e 7 + 7 P S G Z j E r B z N S E s Z W P u t p a l l A P 0 D O f f I a O s d 3 S 1 7 e X X n 7 l N Z q Y m J I K e e G 9 9 2 n + i 5 8 X C Z 5 o D N F L 3 g N 0 v X + I l u e n a D W y T C t t a p z W m 3 2 f o G R X F y W M v A 3 I h Q c H Q y m w I 1 O G p Y o d i p H J 0 z / A 4 o z V R 3 5 / N 2 / c o t r a O i E T A E c R n D d o X N K W U K p k S x P V 1 T f Q j W k f X f z E 3 2 R D r a 6 w z X Y n k U l t 8 L 7 e V h v y v H I U / / Q 5 x u d Y e 7 7 2 b / 7 j t n v 5 k J b X j q J 1 D S E p 9 E Q B B 0 N F Z W V B g i M 5 i L X l x Z i l c q P Y N T D E w z p m C p c v t Y 3 B d + 0 G M Q J a 1 V X q b o b 2 7 t 1 H k 5 M T l I g n 6 e q 1 6 0 K q w c E h 6 m + 8 i w b n R q i q s Y f i 4 T l a G L 5 I b l 8 V u Z F D 3 O 0 j T 1 8 v t f z 8 B 5 R p a a H k / W c Q a 6 U u Y A I 8 h v D u u b n B g Q d R A w l A k / f d S 5 L / n W 2 c h E 0 / V E n g V p k F N 0 X 5 O d 5 k d R b D a X z G f e A 5 r 1 2 9 L p E p l Z i u 1 V A p l 9 b c 9 C 7 b R 7 f n / X T 4 r V 9 R z 9 B 5 i l w f p j e D x y V y f F c h R J E N / c 8 g i k G i d Q s k k 9 r m / 7 L 7 r p + 9 E + Y 1 v p 4 P u 2 M b x e n u e M H 0 T y A V b K W K y q o 8 8 q B y + 0 2 e r 0 J A U h A R v y y W W 9 n o R u g S W I w E m O V I X H M n 7 E Y g h V r G 9 Z T a y m p X P E H j i 9 x S s 4 B L p 2 J M n i B V V q m K C A k V m R 2 h 2 O o 8 1 X f e R Z X V 9 d k G 5 C l W p c u 4 n J R p c H m F 0 s 0 b H z 2 M S Q / c M 2 p e Y 9 i H r x w 8 S I 8 9 9 k i e X d z P E u y l l 1 6 h r 3 3 t y + K c 6 J / 1 c i P h o o z L T f d 3 J 6 h u 6 j Z h J q y B a 1 G a 3 J v r L t g d g B B 6 k 7 f V h t Q l R R R V r 7 I 2 E 6 9 V X T O r f g V U v i 1 H E W 7 i R i q N q W G W T c n 2 I 6 v r x / M 4 A U l B k K r K a 4 y h g G S r q K g U d z t + E / 1 Y p a B Q 3 b T L Z m Q F o t r L A S r h 3 J q P 3 h y p p 6 G V a m r 2 L 1 N 1 X W u W T E B l V S 0 1 d B 6 k 2 r a D N N t / l h a n h 9 l m W R G 1 L F b E g M f 8 v 5 6 r 1 4 w 9 b j D C G y O T + 1 Y u D b Y m E w A y Y 5 4 p a y P S 2 t Y m 8 + y u c A N 1 Z S Q m 4 6 q 8 m V V 6 s C c h O T j S P T 1 0 m f b f A W Q y I 0 c m 9 c / 4 E 5 L h Q G 5 f n W U c M y 2 O h C q n l S 2 G 2 g L Z a Z B G W b v S c U 1 E Z S f i M b F l M A F y u a h l / d w M j L f C b y L o F p I Q k k x L B S t Q I E E m 4 v L S A t t C U + t S Y K F T s 5 i e 3 9 G V y 1 V X C m 7 O e O n W k B q 1 7 E k j u a R 6 W b D h T n f H s s M n c P + 1 D a 3 U c u A h S i f j N H P 9 N Z q f m 6 a Z n D a X D 3 4 W O C Y w Q 7 3 3 3 L t Z J w W c A c U G P G L c 1 z o g p z s j w 5 J U A + W 1 t h b l h q y V 7 z u / K l X z + f X 1 d b S 8 s k q X b k 5 Q M D l D h z q C M h U o g K x G 6 B a 4 U 4 F n Q x l i 0 W S R v + w + J F V u n / + T t T z R V p L H D v C Y O c H u 2 j 5 / Q I Z p R F l t g 2 g t B 2 a 1 w w r Y a Z B k O A f k Q m 5 t M Z y N a 0 i s G 3 9 W y 0 R u 5 k q i c 0 e s R i K 0 x k s g N q o K r w A w H U 0 p w H V H 5 1 M U X o 1 R Z b 2 a R A 5 R B B F / j w x M R L 4 8 J C p B 2 Z m L q L K 6 j k I d f d T Y 9 w A t j 3 5 A 7 1 6 f o 8 G p X G e x 2 5 h v 2 G 7 6 H 9 8 v n 6 c g B k n y 8 y J a H 2 v c h x X W h C t 4 9 h T L b h c 6 v P / w B + M o a x A s 9 Z 9 n S S S B v z Z V q J 4 b s i X / f q q o b 6 e Y r 5 m a E D x s E B v D 1 + 9 U C E l M 5 I E g 4 g 1 j W y 1 6 2 7 z G 3 4 6 E H j V X p x 0 z G k E a O e U m h + Q C 4 a C y a Y O + E N a 4 M p c a i o T f q 6 q u k T U K I 8 y G O 9 Q h u 1 k J c R 9 e v s f b K y F q r E Y r l J Z c G C D o 8 u K C 5 A T U r v t V N v a h b h Y D d O 7 6 K i + 1 1 7 u p r T Z N j V U p S a f 1 0 A G P x O 5 B M r X w G u F a 3 Q 1 q J g r k b 0 D k w v H 2 J B 3 u 8 F J H W y P 5 v / + P V H n u J X L d e 0 L 6 t t C 5 6 w i + X 8 w 3 7 O n o E A K g P P H 8 o y P D 3 I j k V E w A Z b I 6 P E w e t i d r f v R j 8 g 4 M S F R F 9 M B + W u z b R w k u r z + y S v 3 o o w / b 9 j c B b 9 4 O U D j h 5 X c C J 4 + L G m r d V D 0 z T h N d R 9 f l j N h V 6 K q J N U s e E C R L E i z 8 v r H O O 5 a 3 G N K K G y h x S s h v 8 Q E 7 O B 0 v B 6 g U d n F 8 + O 1 y p O M K v 0 S M m d I G u R X l z s J h R a F g W x T D d V b P M M 2 K 0 y h W D C m B 6 u N 0 f 2 Z M j I 1 Q e 2 f + A E M A q i 6 8 h H Z R 7 e j w h N 0 E d V A D M Y Z v v X q L K q 9 f p Q b + b u S p T 1 P 7 2 Z f J 8 / H H q P H t l y S R K A Y D Y v 7 f G J L Y G F L X C u Q a x H U h j S p + / 8 / k + t x n w T i K / + e / E 4 9 h g G 2 x W K i B f u v 2 8 m E 3 P f j Q A 9 K A N b A U g h v c C n j 0 z o 3 k N 2 6 Y x w C j g N F Z X m i g 4 U 5 D 1 3 H t f M i p c 2 p / n T P C 2 J d t r D M p S r M t g G i J H S E U W l / k k L A i w g Z r V Z k e N U y U h v 6 O e r Y F r B U X t g / U t Y 0 C C W A a W S W 0 A z o e Z 1 f d E u B a C O H w M l V X 2 0 / W r I F n a G F V y W p 3 m I G g W 4 w F w 6 w W V s m M P O C X J n x C L g w E n J p b p t j q E u 3 / + d 9 R b V M v D X 3 p 3 8 q s i 7 N v X q W K S x d E Z / R / 6 w v U 1 u w c S a 7 h / / a z 0 s i t + X 1 0 k a X 1 4 M Q k 1 e 7 b R / f G 1 i h + + j 4 J H k Y Y G M 5 R d S M j 9 p 0 G H D c Y u v 5 R g i L P e i J l 9 4 U 0 i j z m b U 0 u i Z J g u x z H s o Q C V A H l w + 7 Y R o B I C X P L C m C i r U L j i + w Q X u E K a 8 x D B D U N D 6 e k C u 5 z c 6 0 e n t V J Y q 7 G U V m g j h U m V A R q Y 5 G J 0 8 z P U A y w 3 0 A q z J y O + Z O Q f g s R O 0 B r d Y o O t C T p 4 p i P p h d W a W n i O q 0 t j l N o 7 2 m Z i A 6 E 1 Z I A Z f 8 Q 2 2 V O q j f g Q p x f w E + x + X m 6 3 H + b O r s 6 J C Y P I V J o v N A V o d V Z X V b m 5 5 2 P 8 D 2 O l R e r u d s Q w q C O y 9 o g k B D G k E y y r Y 7 n J J K x N l z l 2 F e E Q o i Y Q w X a C e C G y o V + e W 8 M B C j q r h c y o T W f Q w f i J l G o L J A D A 2 l / 4 S Q o B O 3 + L 4 R y O p 1 B p q X F J e m f q k k M 8 k t D C J e 6 C e R 8 w B y 2 S P T / 0 A E / t f T e Q 8 0 H H q b l 8 Q 8 l 1 I m r P E u q u D Q z u G 9 M v a P J q O G a y U W i g E y I 1 F j 6 z e + o u a V Z E t 5 U M o H s V F g 4 d A A 8 L 7 y h G E j 4 U S Q T / 2 e Q y b K g j C 3 H Z N 9 0 3 L q P x V n n M L B V h L N K J w C q E e Z V L R V 6 7 B F Q 4 U / T 4 I K X Y i l W Z / z c c p d R S e 2 A P H + F g K v W B N K 2 z 2 H G X I F Q K Y 2 Z q f U 5 x g t h I h J k y Z K m F V 8 v v z 6 o V y 6 Z 9 R F D H / T t Y H j M 0 4 e T r E I 3 U G V D N 8 V Z B U w y e + A p x E z s c G w g G 2 v F P / 1 Y e Q E N b 5 v v j y 9 m t z E m C V l 5 h w 4 d l O Q 2 O p R I A 0 l y N F r a 8 i P W r 0 4 X V y f v J J g J k f t T x 8 2 L n K M X / N k d l 3 0 l x f I I t Z 3 S C n O z 2 s G a z b U Q V p Z z n b 4 Y 0 o B W 0 W / E 2 J V D T D v Y T R a 9 E a B S F k N 3 7 z 5 W n 3 I T X R d C L O G i u K u a 1 l I B G T q O V 3 S 0 N S F T q V p f F 0 a 5 4 h 3 6 q u p o b X 5 U N A C M q W r x R O h g c 5 I a h 6 9 J V q f V 3 h 5 x T n h f e 4 M y o R D F M b n d z X 6 6 M B C l 3 7 9 + g w 4 d P m Q b C b + 3 7 4 A 4 L 6 D 6 6 L 4 8 X C / C z 2 I 3 J 9 a d D S a C i S B m U t g v U P O M d X b h f U M N 1 O c I o b a T S B o + B 1 m I c C O n j l Y r z B 4 4 z N S B v h o N j 9 s r D 7 V R 3 L 5 1 Q 7 y E u J e 5 W R X G t B E 0 N B W f R A 3 l j S E p s D + K g l 8 N 0 i V j 6 p e K J E s I l 4 f a a u 3 L a y 6 s p L T H 4 6 f o 0 p T 0 q y F P A 2 b E B 3 x n 3 5 G o i c r B I b R A l L x + i 8 6 2 n q B L z 7 5 I P 1 9 s o 9 u z q 1 T Z 1 E O + g L P a q t V V a A s A O s q D / C w 7 U I W 2 C J o g E D L y X 3 b B C p 9 n 9 4 1 z c U y + Y 3 y m v o 9 F E y m 3 l G R D b Q X h g g 6 D 9 E Q / 5 x s p B W g h z E D C T H 1 r S N W F + 4 R a U m r n q h k 9 e / v E 5 Q 7 V s b G p R e 4 L B T Q 8 2 C 9 S F C 1 z K Z i a s I 8 2 t w L X Q S A t r l E I s J G Q F h n 5 f y K + H m q r s Z + h H c B U n v i s q j J A w b p W v u c o t R u 5 A s 1 Y + c S n 6 I d H P k f / 4 G u g d y 6 8 R u 9 2 t F I 8 s k A e X y U d 7 u t g d d r 5 f c M T i l k J E 7 G o N D 7 o K P f 6 M V m D c c K d D L 5 J u U / 8 J w t W Z k K Y C Q L J Y 2 x n 1 6 Z j e Q u O q 2 W d 3 N g u a Y W + B y c g N 0 Q x Q G K U E i j b 1 t 4 p 6 h s e d H C g n 0 q N 4 b O r D y i L 7 t 4 + u S 4 6 d 1 F g Q P / N a 0 J a S A A z s A 9 3 O I C W G 1 6 x i f E x s a v Q o q P f x g x E Y k x O 2 s 8 O a E b / v J d v E M R w y d x I d k B a r 2 q 2 K x / v i 9 L h N g 9 V t e w T l Q 8 5 1 6 1 4 e S p I S x d + T 9 3 3 P E W n n v g c P f r Y o / T 0 m W 7 6 7 H 1 V d K K 3 + G D O m p p a G S m g 7 V a M 7 D 3 Q p M p 5 m 6 r P p i E V X 2 3 w O v e X / W z d I p + o 8 7 G j j + N P t h X 5 u F I Y + 2 r J 1 v J i R N o s 0 Z B s R N 3 + e q C l 1 p M A O M P p 2 + u B B 8 P 9 I u 0 Y + k i w f 7 v / p q M a h 4 p X S n 4 K l + H t 6 j t w W E i L o e 5 Q E z X R J H + g E T G B l h s u 5 v a O T p Z 4 z e I 4 Q b C u B t y s u B 9 k c s X 9 F Q I 6 d F 2 k r u F 0 6 u G W B D 3 Q G 5 e + q Z b q G K 3 O 3 O J 7 c Y v E g t P B Z 0 y J i u 8 / 8 O q P 6 M m R D + j h v g y d 2 e u m / U 0 p C l U W d 7 j g P k P 8 L J B M i H D B R N R o J O b n 5 y Q 7 7 f 5 G V i 9 L f 0 0 7 B F X R s 9 t 6 3 1 j U Z 8 a i j x n n Z C W W s Y 9 z c C x H I v N a L a L y b Z Y s p Q L B p U 7 A i y q E 8 d H 1 0 1 I 6 A f 0 8 Z u D 5 Y F B D j U M l h o R R B a S x s T L A S F u J z O D v 4 n c H B 2 5 l S V c M I B / u B 3 Z h s W s n W O V L u 5 R T B 8 l T 8 m 7 d B n B j + 9 b G 6 a G 9 K V E Z M T s j 5 s l d + + Y 3 a C k c p f f v O U E f 7 D 9 F K 2 t F f s g C 3 G f c C B h G v C W i + / H 8 F d W N a v j J S m n P v l N Q l V 2 2 F F G w b S z q M 9 P C 7 0 9 t g z B q r f f V Z 8 a a V T 4 1 g h f f 0 X 1 V + n w b l Q / Y L o K N L j q 7 t n H N Q k Z 6 O T O m 2 8 X j a a A S Q 8 L o Z 7 z 2 w S W a n S 7 P j W 0 F f g u / 2 7 t v v 0 i 7 r c Z S 1 E 2 e j L L h U B 9 S m c L v B w l j 9 n a 3 U U 2 V X 7 x 8 o 0 9 / g Q Y + / U W 6 c m u M v t v Q T b O + b j r 1 m Y 9 T Z 4 t z B z Q 6 3 W G P W h 1 G m E t Y q 3 r T y x m a W k 7 T G 4 N B O j e A q X 3 u F E K p C q + 3 j X + y n f 3 T p N C L 5 T j / l / + Z a Z / / 4 3 + a Z H q b 1 7 y d 5 5 Q o R q R i n x c D x s E U A k b f O q G U D l M N 5 K s o F Y e P 3 c 1 2 T 4 d s L y 7 M 0 / z s 7 D r b q F S g f D b S w Y z O 1 K H b / S L l l p Y W p Q s A G Y q g F i J g 1 5 2 B N z N X s f F O n b C 4 u E D n 3 n m X + v b 3 0 U o 8 Q K / c c N P r V x b o 9 y + d o 8 t D U T p 4 8 j H 6 1 K l a a g 9 V i H 0 J Z w s C f B F b i M Z A d 2 M g g g X 2 K K 6 f r U g M D 6 v Q w 1 O r 9 O a 1 F f L 7 X H R t R k W 6 6 L z k d w J y 5 Y P K j 3 8 4 o J 4 h S w j j m G w X W f g / 0 7 5 B J P M + S G V I M d c v 3 4 v y c f 2 h W u R W j L U V T s d L A X J g P 9 Z X u N 8 J l Q q t v R m 4 Z j l k x n g f p 5 k 5 S g W G N Z R i V 1 l h d / + l A J U Z L 8 Z u + P w f b w Q l 9 3 f G p T 5 D B l 7 Y S n Z Y / E 9 / R 7 7 q C h r 5 5 B f o 6 p S H w l O 3 u I G I U 6 j r K N 3 X V 0 U d D S 4 Z u q E 9 j M X K F e e M D g 9 R Q 2 O T R N j f W N 1 L z b U u a q v N 0 O U J f 9 H I k d 2 A q q O 8 q H 8 4 w G v s 6 D p u k E B v 8 z q r u h n E w F q F G O E Y 2 7 v 6 G D 6 X N W x g Z Q f j c w R G S 3 D s r y 7 E + H e M O C V e q + v n r 6 1 w O l 4 q Q C p z g n k z 7 C K + 0 W r X W Y 5 t J 6 R g j E x E 5 Q I R F 9 a h / K U C k s o a n Q B g l o u V 2 R E K + 3 v p P p t 0 A r C Z k J c D 7 + W t S + N 0 6 / q H 5 A 1 U k 6 8 q R N X N e + l E X y 3 t a 3 Z T d G 2 N 9 I T b p W J 0 Z I i 6 9 v T I N h q Z p a i P L o z f y c G v I I l a q 3 / G W h N G F s u 2 k E s d U z z A M b X O E s g 4 p h o + d V w I x V q E E A r H M d r g + f f j / D m + r C + g F r k l Y 2 2 F 0 / F S A W / S k 8 i F Y O x b g S h r s / q 3 M D c n F U H G J R W R G n B P l z o m y g m o o H p w Y b l A 2 c Q w j K S M y A s 4 U R C j 6 E R C / O b E 1 B w 1 1 F e z Z H L L / c G D C A 8 j h r S E 2 L 6 E Z M P 3 k X N 7 a B 5 z N P l l d s U j 7 a y G G L + D 6 A y Q v R z A h o L N h H s Y 5 t + 9 O b c 1 E S X b B r 5 P o / Z i U + 3 L Y q 7 j l u 1 s / T c I h G 1 Z G / u 8 r C e U I p P e 1 x I K K b o d X 2 S 5 x 0 s F 1 I Q P x g t U W O P n F + Z m 5 Y Y x g A 8 V C G Q C Y e C u d U K M W + H N A v b E E t s V k v j F Y p S X A t g Z p Q J S A 8 9 W q E z x U t t a Q l T B j Q w a C w T M 4 n y 4 4 e G s A f n 1 9 9 3 c W u 1 t c t P H D i X p q I l M A A Z J l g u Q a X F h Q X 6 / f / 4 O J 5 O S R w q l k s m 8 b V E D N a n U Z 7 l F k 0 x / p t R F t U j n E A r L / E L N 2 9 u F q b B H x h j Z A f r 9 7 P S U 5 H e A a 9 q s A q J C w V 2 L B 0 L f F R 7 O D F + J W Z I K o a m l T Q b N o S 8 J 7 m 0 U L h w V Y 6 z + w B O J a z s B Z T c 9 O S 7 n j w z d l g Y A w b D o 5 I X K Z L 1 f r 0 / N F V w U f A 9 2 Q H + Q H e x K d q G E w F 0 r x k a H u S x U + Z c 6 W d u u w c Q m I Y T + M 7 b 1 c Z S l I o D x m V 5 w T n b f 5 v P s M W M N U o m N h b V a V M Z 2 / i F N K i u Z t p N c S I j P 9 2 U L D P Q r p L q h v w f n 4 P 5 g e + g Z D e E d 2 y w i k X z 3 P a 4 B l a q T b Q l R z f j a I A q k 1 8 T 4 q K h d i j C q j w b e M R B x T 8 9 e e Y Z m b g C 0 h N U O C 3 j X 4 E G L R 5 G Y p X A Z I 2 c 4 X q A d 8 O y l A N + 3 J r B x A j x 9 O H 9 k c E A 6 p X F / C E S 2 i 7 q 4 c 8 A V W 1 a o 8 M Z i s o 2 g F m E / 7 3 M 5 B 5 + r c 7 L b Z k n F 2 y K R e F v 6 n w z i Q C q p h V U + n G c s r C D g I n J H e S + 2 2 E s u 9 n k p w G W d R n f i 9 2 E j F A P O g y E P q b a y s k R p l g K b R S k e Q h A F p G n v 6 K K a 2 l q D M E r V Q 1 p i 2 B 6 F s g v B H o Q U g x Q u B s w X b O f 9 A 0 o d q A j y 4 7 6 s U h K e O + T W G + y / K f e L i o R Q q 3 T G x Q 1 W K / V P x m h q x U W X C q n o d w D 4 t v P J Y v w Z H + T + j M / l u L F k v 5 N d N E H 0 N q 9 R Z r y t 1 D u 1 r 6 S T s c 3 H 8 T l U b r m g W l Q F t Z L F k T x O x 8 s A p s 5 H w 2 E H T B d T D q q r a q i 9 S + V p g D p o j Z 0 r F a V W U i e A Y L r z s x C g y u L l F M P K E j c U J h K Y g f m Y S g G k a E M o Z L x 8 1 e r C T o S T A r 8 B t z i / + e y 7 / n D S L 1 E R X a 3 1 d G 0 i Q / E 7 W D q p i m 8 s e a Q x K n 9 2 0 f v W t W k b l T F 7 L P 8 z N c m a 3 r c s 8 n 4 y 5 G 6 o m O V i V D 8 C m M n j S C Q D W 1 H E 8 I i t R N b 4 8 u s r F t + 6 s V U a I J K 1 S g V 1 E E Y 7 f n d 0 e F A 8 Y 6 V i I / 1 I V u C 6 E a Q 7 L g C U b 6 H c 7 R o e k 9 P B i l J y c k B l r M Y k a / w b k I w g O y L G Q W h E V W C w o C R a 4 U v A d o 2 w Y K 3 w p S U N W H R h j I 5 3 b s W b 3 g Z w G e d X b N 4 3 G g x b M g k h 9 H H z f v 5 2 z q O n 1 u o 3 j Q X e P f N x W V J y v c c f P w 4 v n x 4 C g c q b I 5 X 1 B T q 9 U O P L G w Z + 9 8 c / + h m N j o 6 K x 0 s D 2 w 0 N p Y c b A Z J + 2 Q L 8 f l d 3 r 3 j C U B C 3 b u S y q N r B G m q z U Y C U j m V m A u y r y f H c S F g 7 B J g E T r + F b D u F A C 8 p X L n W 7 g Z E j C P t N D y G G k j n V l F V L T M K Y t I 1 S K X W j k 6 Z u f B O g 5 A C f 1 J t Q S D 8 U 3 / Y X 0 c m r P G 3 7 r N C C 7 5 n f F e T x z i u b S h 9 D o R S M B h Q T o n G 6 n n c V f Z G z C h W K T Z H J 7 Z F 2 P Y 5 + N i 3 q J K l y d m z 5 5 h Y Y 6 L r o y U t F 8 u m E b 1 2 Q C X f f / C w b M O p A J U H 9 o P 5 m U s h Q a m A X V c K W t s 7 a H 5 u R u w b O 0 B d K 0 R 0 f A b v o 1 k t x E u W t G b 8 Z x 3 2 g v M g G Z G S z U o 0 5 P a D l / J g U 4 K u j C Z o f m l F Y g n v G G T r K N Z 6 X / Z k W 6 3 U O c U X R R D Y H H p b 1 l n i 5 M 7 L T W l j s / D x x 5 + 8 R 8 j A J Q V p x B v 4 j 7 8 k d 8 Q L K p a 1 c j l V t s 1 W Q r / f S 4 1 N j f T A g / f L v b z w w k s 0 N j Z q f F o 6 m k u Y b 0 o D T g W o O T D 4 U W g D N 6 / T 7 f 4 b t L i w e S + h B i p m K U D 5 1 b M 0 x n 3 Y w e f 3 s Z q 2 v l J D l Y O X D y o c O p L h V N D u + f m 5 O W m Y 7 K L f Q U B E 9 9 u p t n B + g O D D i z 5 K u i v p 4 k z h U Q A 7 B q n Q v K g d V V b Z Y 8 Z a F l X B 8 / Z B G F n 0 c R z L b Z s d D a L O G d v Z f d N 2 V i r h m H j 4 U j I 5 H a Q T u C Q + C S y N N X A V q 5 u U x b h 1 Y L O E K Q b M t 4 r c C c j 5 1 t n Z S U e P H K A b N w Z o j i t F O Y D U 2 Q h Q s R C Z 0 d W 9 l w 1 3 l U g f L T h c 8 X A I b B R 7 e t d P O O Y E 2 H h 2 g y H x E l V g c P 4 7 A G H g 3 d Q z h Q i p M J T C c M 9 j W D r U O i t Q W a A G F s P x 9 j i t s G T i e r i 7 Q O X G o n a M f b 2 J 4 + q Y O m 5 d 4 H n j t Z x j b G v y 2 G 7 r f b 2 t F r N q l y W Z s Y 3 1 g w / d J W 8 H S 7 a J 8 r i S K u B S v q g u A m g y W d d W b J Z 0 g 6 Z Z v 9 M V n f T Y Y w / L H L W z Z Z C q 1 K l v 7 F B T k 5 s w D A U m / T t c B L r C w m O I e W S X F h Z K T i y D 6 P V S g X v H y 7 G q d n A S a I 8 h V L i x k W G J p k d n a y F P Y i W r c 5 B W + j 1 q T E 1 O l K S K j i 0 j Q y z q g X F g h 6 H r o L o 8 / y / 7 2 M J / R o X O H j f 2 Z c G + P s a N B 7 Z B A t k 2 P t e E M G 9 n j 6 l t k U Y 4 Z i w 6 x A g O C O W Y U P 1 P s J 3 q 6 3 M j I V z n + s f U P Q t c N D 5 f z S c y O Y Q g e o 3 7 V j e q Y d 7 W k C M 2 x 0 s B B s I 9 u k 9 V V E y a X F e R o S N N Y b p y 5 R r t 2 d P p m D 9 7 K 6 B s l / w M q D l k a H F + g e p D I W N f A c + v Y w 7 7 W V 3 s 3 d s n L 8 B M 6 s X 5 + X X f K w Y Q K k c g R S 5 z Y 1 Z O w y W z M f L 5 k F z o b 4 K a V 4 i E V s Q T S X p 9 w J 8 d 3 L h T y N U t X q t / B o w 6 i H + 8 x h / q W 5 Y c 2 U X t 8 3 + y 1 h I F + 0 I q b T P J 8 d z n W e L w d o 5 Q O m Z P f Z Z O q 5 g 9 C U l j d e + Z Z 0 5 z v c m V q Y q U y C 4 Y I M X n G c n R 8 c c b O E 9 Q 7 G U W / r Q w k N U H a b A A Z D v F 3 L Z v D N f Q 0 a O H a X h 4 R K b N l E J y A B 5 4 o 0 A l s y c T w P e V W q + K o S w Q s I s 1 H B 3 w I m o y g Q h w J E B K l A t E q 4 P g 6 P S F C g h 1 V C / l k A k z 2 W M G E 6 h 9 k L z N r W 2 O Z E K 5 Q p r i e q N D t 7 N l 6 f d 5 q a d p v Z 2 1 r c i + Y 9 Q 9 + a e 2 e Z H 3 L / / w B 4 I Y R O D j u U U R B 4 v t v p D J v O j f y P 1 W t r / J I J V V 5 c O C a 0 M 6 e X 1 c p s I d t X B p m f Z 4 a Q 1 F x M j C l / E l f R H r y 3 R 6 u e W 8 d C v g q g X 0 8 A T M N n F 2 t I a O H z 9 O 4 + M T N D S E Q X D q M y v 0 3 L g b Q b E O 4 L r 6 8 q Q M K i 4 6 d 1 E 5 U f h 2 q p c T Q I K J 0 W G J w v D 7 n N 3 l T g C Z E d L U Y Z q I A M d w f T h J Q N Z x / n 3 0 P 8 F G x G e 4 R n 1 D S B q V r p 6 9 e c 6 K f a H N R 5 6 U D q 5 3 x h a g t k E G / o f y M + q l q t R G p c 9 b V F 3 F g n q i z w M h c i q f s f B n c h z n G G u 9 Z D 8 3 p F V 2 W 5 b c 8 W c + d T / f n + K N W l z 0 / w O 9 y P K D v t i a E w A A A A B J R U 5 E r k J g g g = = < / I m a g e > < / T o u r > < / T o u r s > < / V i s u a l i z a t i o n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w U 7 C Q B D 9 l W b v p S A 1 o a a t I R A i C Y o R j X A c t 1 P Y 2 O 6 u 3 a 3 F T / I b P H j w g / w F p y 0 C x o M n T 7 s z b + a 9 N 7 P 7 + f Y e n m / z z H n G w g g l I 9 b r d J m D k q t E y H X E S p u 6 A 3 Y e h 6 P S W J V f g j Y z Y a x D P d K c b Y 2 I 2 M Z a f e Z 5 V V V 1 q n 5 H F W v v p N v t e c v L 2 Y J v M A d X S G N B c m T 7 r u T v L n Y s e X R 3 7 q R 4 K n F v Z 0 p c v I 8 + Y u K 7 f o C B 6 w M k 7 i A J A j f l f t 9 / C H x + 2 u 0 x 5 w p y j B h N o G G N j q a B l Z S Q C f P x 6 h A 8 z S k 9 F k Z n 8 N K W D k t e y h 1 w L x K 7 m d O W L l C s N 5 b 2 R I C 5 x V y r A o q X i K W Q G d y b X m j g O M Y 0 D q d m U Y F e g k x W c V M T e s c p w k f k 4 a E A i 3 M 5 E Y W x s S 1 K r K t + A V Q 8 U / w R k w P T L g 6 H W 2 G W z o J D h t e 8 t d c E 8 z Q 1 a J s U v e v U D E u r i J e X G Q n S 6 l r b N U A E k 0 x o f c j G D e s N S F r X p F B 5 x N z e g F h u F Y 1 f X 7 w 4 9 B r h t n L 1 / / r B T r 4 + v 9 V X 5 K L 9 D o e t 7 x L 0 2 H u w / r o / g v o f x 1 9 W I c t E A Q M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c 3 e 4 e e d 4 - 4 9 e 9 - 4 a a d - 8 d 9 9 - f c 4 3 4 b 9 4 c 5 0 1 "   C u s t o m M a p I d = " c 3 e 4 e e d 4 - 4 9 e 9 - 4 a a d - 8 d 9 9 - f c 4 3 4 b 9 4 c 5 0 1 "   S c e n e I d = " 7 6 7 1 1 f d 6 - b c 2 f - 4 5 0 2 - 8 0 9 5 - 1 4 d 9 b 2 5 4 7 9 8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A d 7 S U R B V H h e 7 d 1 r U F V V F A f w s + 9 F a 1 I x m 0 Y n m 2 p q e j E S W o 6 P 7 O H g 2 G O c G n P K 3 j W V 5 i t T C t N K C 3 u Q R Q 3 T Q 3 S M y a I c p w e V J k I i G U Q C V 7 w Y S g l C 9 E A h e s 2 A Z g I X a F P r g z P t b + 7 L P W v t / 4 9 Z 5 6 z N t 3 s X a 8 7 e + 5 5 z U Z t L K n o 9 A L A i Q G c A s E B 9 9 l U I V y g A S 3 C F A r A I D Q V g k Z 7 y 7 c K U D 8 A S t a U U D Q V g C 6 Z 8 A B b p K 1 Q l r l A A l q i 8 r 9 F Q A L Z g y g d g E R o K w C K V t 3 M 3 p n w A l q i t a C g A a z D l A 7 B I X 6 H C u E I B W K K 2 l q G h A G x R + W g o A G t 0 Q 1 W h o Q A s U f n l a C g A W 1 Q B G g r A G t 1 Q e 9 B Q A J a o g g o 0 F I A t + G A X w C L 1 O a 5 Q 3 t r M l y i D E z H / 0 W W U u U s 3 1 D d O N 9 Q r z z 7 l L U l f T y M 4 E T e O H + l t K a 2 k k Z s C n t J H h 6 M o f 4 t O w I Y x 4 6 8 2 v s c u h f o 8 5 P Y V q m h b q T f 1 x t t p B C e i q 6 v T G 9 D 7 G 4 3 c p L a F q p 1 u q N 6 B I y k D G 8 q 3 b / A m T Z 5 C I / c 4 P e X L f i N T J 2 D T M 0 s f M b 7 X r o T T 2 + a 5 G 3 I o A 1 s m J U + j z E 2 q c N d e Z 6 d 8 2 V l v e r N S 0 m g E t g S 6 W i h z j y q s d L e h e u L O o A x s 2 l 9 V 4 I 1 K G k M j t z g 7 5 d u 4 P p s y s O 2 J h X M p c 4 9 u K M P K y o H I W Z e l z x A N 3 Z G I P p r f d + k R M P 9 a f t x + / 2 J 9 h G j 4 Y E e d 8 T 1 3 I r b v 3 u f k G i q i h n s q g H u D o 6 W + u t C 7 O D G J R u 5 w 8 i 9 q e 9 5 m N F O U P b 5 w H m V u c X I N l b F y h T 5 D N A 0 a M l Q f z e + / 5 A g o f X Y t J l 5 9 n X 7 x E E 2 r 1 u Y a 3 3 v x U R S u c W 4 N F Q m M o A y i K a 6 n l T J 3 O D f l q y w v 0 2 f o D z O S r 9 B H c x 2 k h n N T v u W L 5 + s X D v 3 h c H u b s Q a S w 7 m t r h F n n E U Z R N t H x Q c o c 4 f 6 o u o 7 p 9 Z Q x 3 p O 8 4 L B I I 0 g 2 t p a a 7 z T h 7 u z Z n X q C r V v T x j N 1 M 8 y V i 7 / L 3 G E U 2 u o l F n 3 0 M u G / l I V K j f W Q m o 4 t c u X e O l E f Y b + t D R 9 r T 6 a 6 y E x 1 I 4 9 + 5 1 Z Q z U 1 H / V G j D y b R t B f B n q / U y a f U 9 8 p g W a K j d m 3 3 W S s h 8 R w 5 v G N a 8 Y m 6 i P E Q u M B d x 7 n c G Y N 1 d 3 d r c 8 Q C 2 v e L 9 Z H c 1 2 k h f q y u t a J N d R f n f F e X N w A G k F / O y n w B 2 W y O T H l a 6 y r R T P F 2 B s v P W + s j b R w Y s q 3 + u V V + g y x 9 M n G D f p o r o + k c O J O i f r a W s o g V u 6 Z t 5 Q y 2 V T x 3 j r x a 6 h Q + b f e 6 P F X 0 Q h i 5 e T g n 5 T J p d d Q 8 n / Q T P 7 w a v o z x 1 V F 5 o / 4 K V / y m A T K I N Y 2 f b C R M r n E 3 y n R 0 4 P P n / x i 5 n 0 P G 2 s k K V T J v n r R a 6 g j H Y O 9 Y D C O R h B L 3 d 0 R b / B J R 2 g k k / j P o d B M / t F X i w 9 z 3 j L W S U q I n v K l z M b z T 3 6 T 9 c q L x l p J C d G b E l W h C s r A L 6 6 d f g d l M q n S m g a x a 6 h P c r d 6 1 0 2 / k 0 b g F 4 M G t F E m j + g r F J r J n 4 o K 8 i i T R + w a C t 8 f 4 V / P P 5 5 q r J m E E H t z b D h U r s / g R x c n j d N H c 9 2 4 h 9 h t 8 7 v n P q a P 4 E c Z 2 Z 8 a a y Y i v v 7 u e 5 G b E k c 6 4 i k D P 6 r 8 8 n 0 v + f p p N J J D 5 J T v r d W v 6 T P 4 W d q S v n / J a q 4 f 5 x C 5 y / f 2 m t c p A 7 + 6 I G E 0 Z b K I / O b Y u + Y u o Z c H f r V s 1 T p j 7 d j H z v 2 N 4 t Z Q h 4 8 N o Q z 8 r K O 9 Q d w / E h C 3 h n p n 7 W p 9 B g 5 u u W a y P p r r y D X E b Z t n v 5 6 p j 8 B B V 2 e n s Y a c Q 9 y d E r f 2 P c Q G L G w u / 9 l Y Q 8 6 h y m p / F L W G a v 9 7 E G X A w a G G M i / h E j k 7 f q K 2 z f M 3 f U w Z c P F 0 6 i L K Z B C 1 b f 7 v T Z f A S m d n x F h L r i F q l 2 / 0 u C v 1 G T h J z / p Q H 8 3 1 5 B i q v O 4 n M W u o t q O n U A a c D D 3 l K G X 8 i d n l q w 5 X 6 g Q 4 m p x 0 o b G m H E P M N 8 f O u / M W / Y q A o 8 6 O j u M q y f t H z C 4 f v i 6 M r 9 y S e s r 4 E 9 N Q W 3 e 3 U A b c D I 4 / 1 W t t b q Y R b w G l 9 I W K e Y Q r y u j l A F c p s + 8 1 1 p Z b i L h C P b l o P m X A V c u h g 5 T x J q K h z j z n f M q A q z m p z 1 H G m w o 1 N L H / H K p y 1 w H v / I Q k G g F X w 4 Y c o 4 w v 9 t v m 3 V 0 R N J M Q U 8 c m H l d Z n j / s p 3 y T E s 6 l D L g 7 3 M b / K 5 r Z 3 y k R C A R 1 A h K k Z b 5 r r D G n U L u + P 8 R 6 D f V n + 0 D K Q I L T 4 j s p 4 4 n 1 I / A 1 V W F 9 B E k y 0 p 4 0 1 p p L s F 5 D Z a x c / l 8 C Y u R u y K G M J 7 2 G 0 n 3 F N G q / 3 U c v A 6 S 4 + d 4 F x l p z C b W 7 s Z n t G q q k O O y N u n Q i j U C K 0 4 d 2 U c Y P 2 y l f 3 3 8 U R z P J t G L x Q 5 T x w 3 b b f M I F Z + s E J N q W t 8 l Y c w 6 h r 1 C G 3 z K I Y B C f P 0 m V e N n l + m i u u 9 9 D h X 9 o Y b m G e j v 7 P e + G m f f T C C T p 7 e 3 1 h g / r p h E v b K d 8 a C a 5 + p 4 r e j d 7 z f 9 q z i F Y T v l S 5 z y g z y D Z a y / 0 P c 5 h r r + f g + U u X 3 F h A W U g 1 Z R p M y n j R V X 9 + A u 7 N V T 2 m v X e 9 D s e p B F I x X E d p a p + a m X V U J F I B D f E O q K p f q c 3 d k L f j h 8 f 7 K Z 8 K 1 I W U A b S z b l t B m V 8 s L v b v H D L Z n 0 E F 5 x 3 U d 8 T v O a / A 9 / G n p 9 / Z f 0 8 F I C f s L 2 X D 8 C P 0 F A A F q l v m n 7 D l A / A E l y h A C x C Q w F Y h I Y C s E h V H / w d a y g A K z z v H 7 4 Y 1 z l E R y g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 G u i d = " a 0 c 9 2 d a 0 - d 7 b 0 - 4 f b a - a 0 f f - e 4 d 8 a 1 7 5 c f 0 c "   R e v = " 1 "   R e v G u i d = " f 1 5 1 2 4 3 8 - 4 6 3 b - 4 2 d 5 - a 3 1 1 - d 4 4 d 8 4 c 1 f 3 7 c " 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EE4C501-D7F4-444B-90A9-D8D6441ACBC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0D10D3A-7487-45DF-815A-9FDB819D623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5C246C0-8824-439C-ACE5-A602F0C3348B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BF8ED513-1795-474B-B161-655121D4636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 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2022-03-04T12:56:43Z</dcterms:modified>
</cp:coreProperties>
</file>