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ml.chartshapes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hidePivotFieldList="1"/>
  <mc:AlternateContent xmlns:mc="http://schemas.openxmlformats.org/markup-compatibility/2006">
    <mc:Choice Requires="x15">
      <x15ac:absPath xmlns:x15ac="http://schemas.microsoft.com/office/spreadsheetml/2010/11/ac" url="https://d.docs.live.net/8b2a3064fd7c1714/Pulpit/Seminarium magisterka/KGHM/KGHM DATA 2017-2023/KGHM Ratio Analysis/"/>
    </mc:Choice>
  </mc:AlternateContent>
  <xr:revisionPtr revIDLastSave="3049" documentId="11_F25DC773A252ABDACC104873015A4AEC5ADE58F3" xr6:coauthVersionLast="47" xr6:coauthVersionMax="47" xr10:uidLastSave="{1B930176-EE1F-4BD1-B501-3D45E172E090}"/>
  <bookViews>
    <workbookView xWindow="-29940" yWindow="4485" windowWidth="26400" windowHeight="16590" tabRatio="897" xr2:uid="{00000000-000D-0000-FFFF-FFFF00000000}"/>
  </bookViews>
  <sheets>
    <sheet name="Dashboard" sheetId="12" r:id="rId1"/>
    <sheet name="Ratios" sheetId="13" r:id="rId2"/>
    <sheet name="Forecast" sheetId="19" r:id="rId3"/>
    <sheet name="Non_current_assets" sheetId="9" r:id="rId4"/>
    <sheet name="Current_Assets" sheetId="6" r:id="rId5"/>
    <sheet name="Top40_Non_Current_Assets" sheetId="15" r:id="rId6"/>
    <sheet name="Top40_Current_Assets" sheetId="14" r:id="rId7"/>
    <sheet name="Equity" sheetId="7" r:id="rId8"/>
    <sheet name="Long_term_liabilities" sheetId="8" r:id="rId9"/>
    <sheet name="Short_term_liabilities" sheetId="10" r:id="rId10"/>
    <sheet name="Top40_Long_liabilities_and_Equi" sheetId="16" r:id="rId11"/>
    <sheet name="Top40_Short_Liabilities" sheetId="17" r:id="rId12"/>
    <sheet name="P&amp;L" sheetId="11" r:id="rId13"/>
    <sheet name="Top40_P&amp;L_CF" sheetId="18" r:id="rId14"/>
    <sheet name="cash_flow_operating" sheetId="5" r:id="rId15"/>
    <sheet name="cash_flow_invest" sheetId="4" r:id="rId16"/>
    <sheet name="cash_flow_financing" sheetId="3" r:id="rId17"/>
  </sheets>
  <definedNames>
    <definedName name="Activity_Ratios">Dashboard!$U$31</definedName>
    <definedName name="DaneTablicy_1">_xlfn.ANCHORARRAY(Ratios!$N$6)</definedName>
    <definedName name="ExternalData_1" localSheetId="16" hidden="1">'cash_flow_financing'!$A$1:$J$8</definedName>
    <definedName name="ExternalData_1" localSheetId="15" hidden="1">'cash_flow_invest'!$A$1:$H$8</definedName>
    <definedName name="ExternalData_1" localSheetId="6" hidden="1">Top40_Current_Assets!$A$1:$F$8</definedName>
    <definedName name="ExternalData_1" localSheetId="10" hidden="1">Top40_Long_liabilities_and_Equi!$A$1:$G$8</definedName>
    <definedName name="ExternalData_2" localSheetId="14" hidden="1">'cash_flow_operating'!$A$1:$W$8</definedName>
    <definedName name="ExternalData_2" localSheetId="4" hidden="1">'Current_Assets'!$A$1:$M$8</definedName>
    <definedName name="ExternalData_2" localSheetId="12" hidden="1">'P&amp;L'!$A$1:$N$8</definedName>
    <definedName name="ExternalData_2" localSheetId="5" hidden="1">Top40_Non_Current_Assets!$A$1:$H$8</definedName>
    <definedName name="ExternalData_3" localSheetId="7" hidden="1">Equity!$A$1:$H$8</definedName>
    <definedName name="ExternalData_3" localSheetId="13" hidden="1">'Top40_P&amp;L_CF'!$A$1:$P$8</definedName>
    <definedName name="ExternalData_3" localSheetId="11" hidden="1">Top40_Short_Liabilities!$A$1:$E$8</definedName>
    <definedName name="ExternalData_4" localSheetId="8" hidden="1">Long_term_liabilities!$A$1:$J$8</definedName>
    <definedName name="ExternalData_5" localSheetId="3" hidden="1">Non_current_assets!$A$1:$L$8</definedName>
    <definedName name="ExternalData_6" localSheetId="9" hidden="1">Short_term_liabilities!$A$1:$M$8</definedName>
    <definedName name="Fragmentator_Year">#N/A</definedName>
    <definedName name="Fragmentator_Year1">#N/A</definedName>
    <definedName name="Liquidity_Ratio">Dashboard!$AG$31</definedName>
  </definedNames>
  <calcPr calcId="191029"/>
  <pivotCaches>
    <pivotCache cacheId="0" r:id="rId18"/>
    <pivotCache cacheId="1" r:id="rId19"/>
  </pivotCaches>
  <extLst>
    <ext xmlns:x14="http://schemas.microsoft.com/office/spreadsheetml/2009/9/main" uri="{BBE1A952-AA13-448e-AADC-164F8A28A991}">
      <x14:slicerCaches>
        <x14:slicerCache r:id="rId20"/>
        <x14:slicerCache r:id="rId21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W6" i="13" l="1" a="1"/>
  <c r="AW6" i="13" s="1"/>
  <c r="AR6" i="13" a="1"/>
  <c r="AR6" i="13" s="1"/>
  <c r="AP18" i="13" a="1"/>
  <c r="AZ6" i="13" a="1"/>
  <c r="AZ6" i="13" s="1"/>
  <c r="AU6" i="13" a="1"/>
  <c r="AU6" i="13" s="1"/>
  <c r="AY6" i="13" a="1"/>
  <c r="AY6" i="13" s="1"/>
  <c r="AT6" i="13" a="1"/>
  <c r="AT6" i="13" s="1"/>
  <c r="AX6" i="13" a="1"/>
  <c r="AX6" i="13" s="1"/>
  <c r="AS6" i="13" a="1"/>
  <c r="AS6" i="13" s="1"/>
  <c r="AV6" i="13" a="1"/>
  <c r="AV6" i="13" s="1"/>
  <c r="AQ6" i="13" a="1"/>
  <c r="AQ6" i="13" s="1"/>
  <c r="AP6" i="13" a="1"/>
  <c r="AP6" i="13" s="1"/>
  <c r="AR20" i="13" s="1"/>
  <c r="AO6" i="13" a="1"/>
  <c r="AO6" i="13" s="1"/>
  <c r="AK6" i="13" a="1"/>
  <c r="AK6" i="13" s="1"/>
  <c r="AN6" i="13" a="1"/>
  <c r="AN6" i="13" s="1"/>
  <c r="AJ6" i="13" a="1"/>
  <c r="AJ6" i="13" s="1"/>
  <c r="AM6" i="13" a="1"/>
  <c r="AM6" i="13" s="1"/>
  <c r="AL6" i="13" a="1"/>
  <c r="AL6" i="13" s="1"/>
  <c r="AI6" i="13" a="1"/>
  <c r="AI6" i="13" s="1"/>
  <c r="AH6" i="13" a="1"/>
  <c r="AH6" i="13" s="1"/>
  <c r="AG6" i="13" a="1"/>
  <c r="AG6" i="13" s="1"/>
  <c r="AQ19" i="13" l="1"/>
  <c r="AR24" i="13"/>
  <c r="AR23" i="13"/>
  <c r="AR22" i="13"/>
  <c r="AR21" i="13"/>
  <c r="AR19" i="13"/>
  <c r="AQ22" i="13"/>
  <c r="AQ23" i="13"/>
  <c r="AQ21" i="13"/>
  <c r="AQ20" i="13"/>
  <c r="AQ24" i="13"/>
  <c r="AP18" i="13"/>
  <c r="AR18" i="13" s="1"/>
  <c r="O27" i="13"/>
  <c r="T27" i="13" s="1"/>
  <c r="U27" i="13" s="1"/>
  <c r="O26" i="13"/>
  <c r="O25" i="13"/>
  <c r="T25" i="13" s="1"/>
  <c r="S29" i="19"/>
  <c r="S28" i="19"/>
  <c r="R29" i="19"/>
  <c r="R28" i="19"/>
  <c r="K26" i="19"/>
  <c r="K24" i="19"/>
  <c r="K22" i="19"/>
  <c r="K21" i="19"/>
  <c r="S25" i="19"/>
  <c r="Q25" i="19"/>
  <c r="S24" i="19"/>
  <c r="Q24" i="19"/>
  <c r="S23" i="19"/>
  <c r="T29" i="19" s="1"/>
  <c r="Q23" i="19"/>
  <c r="S22" i="19"/>
  <c r="Q22" i="19"/>
  <c r="S21" i="19"/>
  <c r="Q21" i="19"/>
  <c r="S20" i="19"/>
  <c r="T28" i="19" s="1"/>
  <c r="Q20" i="19"/>
  <c r="S19" i="19"/>
  <c r="Q19" i="19"/>
  <c r="O17" i="13" a="1"/>
  <c r="O17" i="13" s="1"/>
  <c r="P17" i="13" s="1"/>
  <c r="N17" i="13" a="1"/>
  <c r="N17" i="13" s="1"/>
  <c r="AQ18" i="13" l="1"/>
  <c r="Q23" i="13"/>
  <c r="U23" i="13" s="1"/>
  <c r="P24" i="13"/>
  <c r="U24" i="13" s="1"/>
  <c r="Q26" i="13"/>
  <c r="U26" i="13" s="1"/>
  <c r="S20" i="13"/>
  <c r="R18" i="13"/>
  <c r="S25" i="13"/>
  <c r="R21" i="13"/>
  <c r="R22" i="13"/>
  <c r="R23" i="13"/>
  <c r="Q25" i="13"/>
  <c r="U25" i="13" s="1"/>
  <c r="T26" i="13"/>
  <c r="P27" i="13"/>
  <c r="Q18" i="13"/>
  <c r="U18" i="13" s="1"/>
  <c r="Q19" i="13"/>
  <c r="U19" i="13" s="1"/>
  <c r="Q20" i="13"/>
  <c r="U20" i="13" s="1"/>
  <c r="Q21" i="13"/>
  <c r="U21" i="13" s="1"/>
  <c r="Q22" i="13"/>
  <c r="U22" i="13" s="1"/>
  <c r="U17" i="13"/>
  <c r="T24" i="13"/>
  <c r="T17" i="13"/>
  <c r="S18" i="13"/>
  <c r="R25" i="13" l="1"/>
  <c r="S26" i="13"/>
  <c r="R26" i="13"/>
  <c r="S22" i="13"/>
  <c r="T22" i="13" s="1"/>
  <c r="R20" i="13"/>
  <c r="R19" i="13"/>
  <c r="S19" i="13"/>
  <c r="S23" i="13"/>
  <c r="T23" i="13" s="1"/>
  <c r="S21" i="13"/>
  <c r="T21" i="13" s="1"/>
  <c r="U28" i="19"/>
  <c r="U29" i="19"/>
  <c r="T20" i="13"/>
  <c r="T18" i="13"/>
  <c r="T19" i="13" l="1"/>
  <c r="E15" i="13"/>
  <c r="J15" i="13" s="1"/>
  <c r="E14" i="13"/>
  <c r="J14" i="13" s="1"/>
  <c r="U15" i="19"/>
  <c r="U14" i="19"/>
  <c r="T15" i="19"/>
  <c r="T14" i="19"/>
  <c r="S15" i="19"/>
  <c r="S14" i="19"/>
  <c r="R15" i="19"/>
  <c r="R14" i="19"/>
  <c r="T4" i="19"/>
  <c r="T5" i="19"/>
  <c r="T6" i="19"/>
  <c r="T7" i="19"/>
  <c r="T8" i="19"/>
  <c r="T9" i="19"/>
  <c r="S4" i="19"/>
  <c r="S5" i="19"/>
  <c r="S6" i="19"/>
  <c r="S7" i="19"/>
  <c r="S8" i="19"/>
  <c r="S9" i="19"/>
  <c r="S3" i="19"/>
  <c r="Q4" i="19"/>
  <c r="Q5" i="19"/>
  <c r="Q6" i="19"/>
  <c r="Q7" i="19"/>
  <c r="Q8" i="19"/>
  <c r="Q9" i="19"/>
  <c r="Q3" i="19"/>
  <c r="K7" i="19"/>
  <c r="K5" i="19"/>
  <c r="K3" i="19"/>
  <c r="K2" i="19"/>
  <c r="G15" i="13" l="1"/>
  <c r="K15" i="13" s="1"/>
  <c r="E16" i="13"/>
  <c r="F16" i="13" s="1"/>
  <c r="J16" i="13" s="1"/>
  <c r="K16" i="13" s="1"/>
  <c r="T3" i="19"/>
  <c r="V18" i="13" l="1" a="1"/>
  <c r="V6" i="13" a="1"/>
  <c r="V6" i="13" s="1"/>
  <c r="AF6" i="13" a="1"/>
  <c r="AF6" i="13" s="1"/>
  <c r="AE6" i="13" a="1"/>
  <c r="AE6" i="13" s="1"/>
  <c r="AD6" i="13" a="1"/>
  <c r="AD6" i="13" s="1"/>
  <c r="AC6" i="13" a="1"/>
  <c r="AC6" i="13" s="1"/>
  <c r="AB6" i="13" a="1"/>
  <c r="AB6" i="13" s="1"/>
  <c r="AA6" i="13" a="1"/>
  <c r="AA6" i="13" s="1"/>
  <c r="Z6" i="13" a="1"/>
  <c r="Z6" i="13" s="1"/>
  <c r="Y6" i="13" a="1"/>
  <c r="Y6" i="13" s="1"/>
  <c r="X6" i="13" a="1"/>
  <c r="X6" i="13" s="1"/>
  <c r="W6" i="13" a="1"/>
  <c r="W6" i="13" s="1"/>
  <c r="U6" i="13" a="1"/>
  <c r="U6" i="13" s="1"/>
  <c r="T6" i="13" a="1"/>
  <c r="T6" i="13" s="1"/>
  <c r="S6" i="13" a="1"/>
  <c r="S6" i="13" s="1"/>
  <c r="R6" i="13" a="1"/>
  <c r="R6" i="13" s="1"/>
  <c r="N6" i="13" a="1"/>
  <c r="N6" i="13" s="1"/>
  <c r="Q6" i="13" a="1"/>
  <c r="Q6" i="13" s="1"/>
  <c r="O6" i="13" a="1"/>
  <c r="O6" i="13" s="1"/>
  <c r="E6" i="13" a="1"/>
  <c r="D6" i="13" a="1"/>
  <c r="D6" i="13" s="1"/>
  <c r="P6" i="13" a="1"/>
  <c r="P6" i="13" s="1"/>
  <c r="M6" i="13" a="1"/>
  <c r="M6" i="13" s="1"/>
  <c r="E6" i="13" l="1"/>
  <c r="F6" i="13" s="1"/>
  <c r="G14" i="13"/>
  <c r="V18" i="13"/>
  <c r="X19" i="13"/>
  <c r="W24" i="13"/>
  <c r="X22" i="13"/>
  <c r="X24" i="13"/>
  <c r="W21" i="13"/>
  <c r="W22" i="13"/>
  <c r="X20" i="13"/>
  <c r="X23" i="13"/>
  <c r="W19" i="13"/>
  <c r="W20" i="13"/>
  <c r="W23" i="13"/>
  <c r="X21" i="13"/>
  <c r="G7" i="13"/>
  <c r="K7" i="13" s="1"/>
  <c r="G11" i="13"/>
  <c r="K11" i="13" s="1"/>
  <c r="G10" i="13"/>
  <c r="K10" i="13" s="1"/>
  <c r="G9" i="13"/>
  <c r="K9" i="13" s="1"/>
  <c r="G8" i="13"/>
  <c r="K8" i="13" s="1"/>
  <c r="F13" i="13"/>
  <c r="K13" i="13" s="1"/>
  <c r="J6" i="13"/>
  <c r="D13" i="13"/>
  <c r="G12" i="13"/>
  <c r="K12" i="13" s="1"/>
  <c r="K6" i="13"/>
  <c r="I7" i="13"/>
  <c r="H14" i="13" l="1"/>
  <c r="K14" i="13"/>
  <c r="H15" i="13"/>
  <c r="I14" i="13"/>
  <c r="I15" i="13" s="1"/>
  <c r="X18" i="13"/>
  <c r="W18" i="13"/>
  <c r="H8" i="13"/>
  <c r="H11" i="13"/>
  <c r="H7" i="13"/>
  <c r="J7" i="13" s="1"/>
  <c r="I8" i="13"/>
  <c r="I12" i="13"/>
  <c r="H9" i="13"/>
  <c r="J13" i="13"/>
  <c r="H10" i="13"/>
  <c r="I9" i="13"/>
  <c r="I10" i="13"/>
  <c r="I11" i="13"/>
  <c r="H12" i="13"/>
  <c r="J11" i="13" l="1"/>
  <c r="J8" i="13"/>
  <c r="J9" i="13"/>
  <c r="J12" i="13"/>
  <c r="J10" i="1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9C2785F-F162-48E4-A81A-53947B353577}" keepAlive="1" name="Zapytanie — cash_flow_financing" description="Połączenie z zapytaniem „cash_flow_financing” w skoroszycie." type="5" refreshedVersion="8" background="1" saveData="1">
    <dbPr connection="Provider=Microsoft.Mashup.OleDb.1;Data Source=$Workbook$;Location=cash_flow_financing;Extended Properties=&quot;&quot;" command="SELECT * FROM [cash_flow_financing]"/>
  </connection>
  <connection id="2" xr16:uid="{0E3AC857-D004-401A-9E78-FCA02E185D82}" keepAlive="1" name="Zapytanie — cash_flow_invest" description="Połączenie z zapytaniem „cash_flow_invest” w skoroszycie." type="5" refreshedVersion="8" background="1" saveData="1">
    <dbPr connection="Provider=Microsoft.Mashup.OleDb.1;Data Source=$Workbook$;Location=cash_flow_invest;Extended Properties=&quot;&quot;" command="SELECT * FROM [cash_flow_invest]"/>
  </connection>
  <connection id="3" xr16:uid="{D00CACA7-B8ED-4DD1-8B58-B5C75EA88CD0}" keepAlive="1" name="Zapytanie — cash_flow_operating" description="Połączenie z zapytaniem „cash_flow_operating” w skoroszycie." type="5" refreshedVersion="8" background="1" saveData="1">
    <dbPr connection="Provider=Microsoft.Mashup.OleDb.1;Data Source=$Workbook$;Location=cash_flow_operating;Extended Properties=&quot;&quot;" command="SELECT * FROM [cash_flow_operating]"/>
  </connection>
  <connection id="4" xr16:uid="{5C587FC0-939F-43F4-8A78-CE26DABB9A85}" keepAlive="1" name="Zapytanie — Current_Assets" description="Połączenie z zapytaniem „Current_Assets” w skoroszycie." type="5" refreshedVersion="8" background="1" saveData="1">
    <dbPr connection="Provider=Microsoft.Mashup.OleDb.1;Data Source=$Workbook$;Location=Current_Assets;Extended Properties=&quot;&quot;" command="SELECT * FROM [Current_Assets]"/>
  </connection>
  <connection id="5" xr16:uid="{6762057F-6130-4FB3-99BE-BBBF535BF61E}" keepAlive="1" name="Zapytanie — Equity" description="Połączenie z zapytaniem „Equity” w skoroszycie." type="5" refreshedVersion="8" background="1" saveData="1">
    <dbPr connection="Provider=Microsoft.Mashup.OleDb.1;Data Source=$Workbook$;Location=Equity;Extended Properties=&quot;&quot;" command="SELECT * FROM [Equity]"/>
  </connection>
  <connection id="6" xr16:uid="{061710CA-4EAD-4820-AD95-0F91C19806F0}" keepAlive="1" name="Zapytanie — Long_term_liabilities" description="Połączenie z zapytaniem „Long_term_liabilities” w skoroszycie." type="5" refreshedVersion="8" background="1" saveData="1">
    <dbPr connection="Provider=Microsoft.Mashup.OleDb.1;Data Source=$Workbook$;Location=Long_term_liabilities;Extended Properties=&quot;&quot;" command="SELECT * FROM [Long_term_liabilities]"/>
  </connection>
  <connection id="7" xr16:uid="{6D0F7A97-FF26-4EB8-B1EC-73C41FFA96D5}" keepAlive="1" name="Zapytanie — Non_current_assets" description="Połączenie z zapytaniem „Non_current_assets” w skoroszycie." type="5" refreshedVersion="8" background="1" saveData="1">
    <dbPr connection="Provider=Microsoft.Mashup.OleDb.1;Data Source=$Workbook$;Location=Non_current_assets;Extended Properties=&quot;&quot;" command="SELECT * FROM [Non_current_assets]"/>
  </connection>
  <connection id="8" xr16:uid="{A531F627-709C-45A3-ADE0-F5DAA7ECF27A}" keepAlive="1" name="Zapytanie — P&amp;L" description="Połączenie z zapytaniem „P&amp;L” w skoroszycie." type="5" refreshedVersion="8" background="1" saveData="1">
    <dbPr connection="Provider=Microsoft.Mashup.OleDb.1;Data Source=$Workbook$;Location=P&amp;L;Extended Properties=&quot;&quot;" command="SELECT * FROM [P&amp;L]"/>
  </connection>
  <connection id="9" xr16:uid="{2663E2FE-9A7F-46F0-AB00-2AC575C7F3C4}" keepAlive="1" name="Zapytanie — Short_term_liabilities" description="Połączenie z zapytaniem „Short_term_liabilities” w skoroszycie." type="5" refreshedVersion="8" background="1" saveData="1">
    <dbPr connection="Provider=Microsoft.Mashup.OleDb.1;Data Source=$Workbook$;Location=Short_term_liabilities;Extended Properties=&quot;&quot;" command="SELECT * FROM [Short_term_liabilities]"/>
  </connection>
  <connection id="10" xr16:uid="{F313AC0F-6C83-4583-AB15-79968DE34598}" keepAlive="1" name="Zapytanie — Top40_Current_Assets" description="Połączenie z zapytaniem „Top40_Current_Assets” w skoroszycie." type="5" refreshedVersion="8" background="1" saveData="1">
    <dbPr connection="Provider=Microsoft.Mashup.OleDb.1;Data Source=$Workbook$;Location=Top40_Current_Assets;Extended Properties=&quot;&quot;" command="SELECT * FROM [Top40_Current_Assets]"/>
  </connection>
  <connection id="11" xr16:uid="{E23D5F50-2543-4BC7-B4AD-83B3D31EDC26}" keepAlive="1" name="Zapytanie — Top40_Long_liabilities_and_Equity" description="Połączenie z zapytaniem „Top40_Long_liabilities_and_Equity” w skoroszycie." type="5" refreshedVersion="8" background="1" saveData="1">
    <dbPr connection="Provider=Microsoft.Mashup.OleDb.1;Data Source=$Workbook$;Location=Top40_Long_liabilities_and_Equity;Extended Properties=&quot;&quot;" command="SELECT * FROM [Top40_Long_liabilities_and_Equity]"/>
  </connection>
  <connection id="12" xr16:uid="{ED354A78-E4D5-40C4-9B09-8F980688C946}" keepAlive="1" name="Zapytanie — Top40_Non_Current_Assets" description="Połączenie z zapytaniem „Top40_Non_Current_Assets” w skoroszycie." type="5" refreshedVersion="8" background="1" saveData="1">
    <dbPr connection="Provider=Microsoft.Mashup.OleDb.1;Data Source=$Workbook$;Location=Top40_Non_Current_Assets;Extended Properties=&quot;&quot;" command="SELECT * FROM [Top40_Non_Current_Assets]"/>
  </connection>
  <connection id="13" xr16:uid="{75A5ABA9-DA02-4B15-994D-5FB17D1878AB}" keepAlive="1" name="Zapytanie — Top40_P&amp;L_CF" description="Połączenie z zapytaniem „Top40_P&amp;L_CF” w skoroszycie." type="5" refreshedVersion="8" background="1" saveData="1">
    <dbPr connection="Provider=Microsoft.Mashup.OleDb.1;Data Source=$Workbook$;Location=Top40_P&amp;L_CF;Extended Properties=&quot;&quot;" command="SELECT * FROM [Top40_P&amp;L_CF]"/>
  </connection>
  <connection id="14" xr16:uid="{F7150FDE-5FA9-4475-96F6-67F105736A0C}" keepAlive="1" name="Zapytanie — Top40_Short_Liabilities" description="Połączenie z zapytaniem „Top40_Short_Liabilities” w skoroszycie." type="5" refreshedVersion="8" background="1" saveData="1">
    <dbPr connection="Provider=Microsoft.Mashup.OleDb.1;Data Source=$Workbook$;Location=Top40_Short_Liabilities;Extended Properties=&quot;&quot;" command="SELECT * FROM [Top40_Short_Liabilitie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<sst xmlns="http://schemas.openxmlformats.org/spreadsheetml/2006/main" count="377" uniqueCount="239">
  <si>
    <t>Year</t>
  </si>
  <si>
    <t>Other_Payments</t>
  </si>
  <si>
    <t>Total_Payments</t>
  </si>
  <si>
    <t>2017</t>
  </si>
  <si>
    <t>2018</t>
  </si>
  <si>
    <t>2019</t>
  </si>
  <si>
    <t>2020</t>
  </si>
  <si>
    <t>2021</t>
  </si>
  <si>
    <t>2022</t>
  </si>
  <si>
    <t>2023</t>
  </si>
  <si>
    <t>Expenditures_Related_To_Mining_And_Metallurgical_Assets</t>
  </si>
  <si>
    <t>Expenditures_On_Other_Tangible_And_Intangible_Non_Current_Assets</t>
  </si>
  <si>
    <t>Acquisition_Of_Interests_In_Joint_Ventures</t>
  </si>
  <si>
    <t>Inflows</t>
  </si>
  <si>
    <t>Cash_Flows_From_Investing_Activities</t>
  </si>
  <si>
    <t>Profit_Before_Tax</t>
  </si>
  <si>
    <t>Depreciation_Included_In_Profit</t>
  </si>
  <si>
    <t>Share_Of_Losses_Of_Joint_Ventures_Accounted_For_Using_The_Equity_Method</t>
  </si>
  <si>
    <t>Gain_On_Reversal_Of_Impairment_Of_Loans_Granted_To_Joint_Venture</t>
  </si>
  <si>
    <t>Interest_On_Loans_Granted_To_Joint_Ventures</t>
  </si>
  <si>
    <t>Other_Interest</t>
  </si>
  <si>
    <t>Impairment_Losses_On_Non_Current_Assets</t>
  </si>
  <si>
    <t>Gains_On_Disposal_Of_Non_Current_Assets</t>
  </si>
  <si>
    <t>Gain_On_Disposal_Of_Subsidiaries</t>
  </si>
  <si>
    <t>Foreign_Exchange_Differences_From</t>
  </si>
  <si>
    <t>From_Investment_Activities_And_Valuation_Of_Cash_Holdings</t>
  </si>
  <si>
    <t>From_Financial_Activities</t>
  </si>
  <si>
    <t>Change_In_Provisions_For_Mine_Closure_Employee_Benefits_And_Other_Provisions</t>
  </si>
  <si>
    <t>Change_In_Other_Receivables_And_Liabilities_Not_Related_To_Working_Capital</t>
  </si>
  <si>
    <t>Change_In_Derivative_Assets_And_Liabilities</t>
  </si>
  <si>
    <t>Reclassification_Of_Other_Comprehensive_Income_To_Profit_Or_Loss_On_Realisation_Of_Hedging_Derivatives</t>
  </si>
  <si>
    <t>Other_Adjustments</t>
  </si>
  <si>
    <t>Total_Exclusions_Of_Revenues_And_Costs</t>
  </si>
  <si>
    <t>Income_Tax_Paid</t>
  </si>
  <si>
    <t>Change_In_Working_Capital_including</t>
  </si>
  <si>
    <t>Change_In_Trade_Liabilities_Transferred_To_Factoring</t>
  </si>
  <si>
    <t>Net_Cash_Flows_From_Operating_Activities</t>
  </si>
  <si>
    <t>Inventories</t>
  </si>
  <si>
    <t>Trade_Receivables_Including</t>
  </si>
  <si>
    <t>Trade_Receivables_Fair_Value_Through_Profit_or_Loss</t>
  </si>
  <si>
    <t>Tax_Receivables</t>
  </si>
  <si>
    <t>Derivative_Financial_Instruments</t>
  </si>
  <si>
    <t>Commitments_to_Joint_Ventures_Loans_Granted</t>
  </si>
  <si>
    <t>Other_Financial_Assets</t>
  </si>
  <si>
    <t>Other_Non_Financial_Assets</t>
  </si>
  <si>
    <t>Cash_and_Cash_Equivalents</t>
  </si>
  <si>
    <t>Assets_Held_for_Sale_Disposal_Group</t>
  </si>
  <si>
    <t>Current_Assets</t>
  </si>
  <si>
    <t>TOTAL_ASSETS</t>
  </si>
  <si>
    <t>Share_Capital</t>
  </si>
  <si>
    <t>Capital_Reserve_from_Financial_Instruments_Valuation</t>
  </si>
  <si>
    <t>Accumulated_Other_Comprehensive_Income_Excluding_Financial_Instruments_Valuation</t>
  </si>
  <si>
    <t>Retained_Earnings</t>
  </si>
  <si>
    <t>Equity_Attributable_to_Owners_of_the_Parent</t>
  </si>
  <si>
    <t>Non_controlling_Interests_Equity</t>
  </si>
  <si>
    <t>Equity</t>
  </si>
  <si>
    <t>Liabilities_from_Loans_Leases_and_Debt_Securities</t>
  </si>
  <si>
    <t>Employee_Benefit_Liabilities</t>
  </si>
  <si>
    <t>Provisions_for_Mine_Closure_and_Other_Technological_Facilities_Costs</t>
  </si>
  <si>
    <t>Deferred_Income_Tax_Liabilities</t>
  </si>
  <si>
    <t>Other_Liabilities</t>
  </si>
  <si>
    <t>Long_Term_Liabilities</t>
  </si>
  <si>
    <t>Long_and_Short_Term_Liabilities</t>
  </si>
  <si>
    <t>Total_Liabilities_and_Equity</t>
  </si>
  <si>
    <t>Mining_and_Metallurgical_Tangible_fixed_Assets</t>
  </si>
  <si>
    <t>Mining_and_Metallurgical_Intangible_Assets</t>
  </si>
  <si>
    <t>Mining_and_Metallurgical_Tangible_and_Intangible_Assets</t>
  </si>
  <si>
    <t>Other_Tangible_Fixed_Assets</t>
  </si>
  <si>
    <t>Other_Intangible_Assets</t>
  </si>
  <si>
    <t>Other_Tangible_and_Intangible_Assets</t>
  </si>
  <si>
    <t>Total_Commitment_to_Joint_Ventures</t>
  </si>
  <si>
    <t>Total_Financial_Instruments</t>
  </si>
  <si>
    <t>Deferred_Income_Tax_Assets</t>
  </si>
  <si>
    <t>Total_Non_Current_Assets</t>
  </si>
  <si>
    <t>Liabilities_From_Loans_Leases_and_Debt_Securities</t>
  </si>
  <si>
    <t>Liabilities_To_Suppliers_and_Similar</t>
  </si>
  <si>
    <t>Tax_Liabilities</t>
  </si>
  <si>
    <t>Provisions_For_Liabilities_and_Other_Charges</t>
  </si>
  <si>
    <t>Liabilities_Associated_With_Assets_Held_For_Sale</t>
  </si>
  <si>
    <t>Liabilities_Related_To_Disposal_Groups</t>
  </si>
  <si>
    <t>Short_Term_Liabilities</t>
  </si>
  <si>
    <t>Revenue_From_Contracts_With_Customers</t>
  </si>
  <si>
    <t>Cost_of_Goods_Sold</t>
  </si>
  <si>
    <t>Gross_Profit_From_Sales</t>
  </si>
  <si>
    <t>Selling_And_Administrative_Expenses</t>
  </si>
  <si>
    <t>Net_Profit_From_Sales</t>
  </si>
  <si>
    <t>Results_From_Joint_Ventures</t>
  </si>
  <si>
    <t>Other_Operating_Revenues</t>
  </si>
  <si>
    <t>Other_Operating_Expenses</t>
  </si>
  <si>
    <t>Financial_Revenues</t>
  </si>
  <si>
    <t>Financial_Expenses</t>
  </si>
  <si>
    <t>Income_Tax</t>
  </si>
  <si>
    <t>Net_Profit</t>
  </si>
  <si>
    <t>`</t>
  </si>
  <si>
    <t>S_E</t>
  </si>
  <si>
    <t>fac</t>
  </si>
  <si>
    <t>wzrosty</t>
  </si>
  <si>
    <t>spadki</t>
  </si>
  <si>
    <t>label place</t>
  </si>
  <si>
    <t>label number</t>
  </si>
  <si>
    <t>KGHM</t>
  </si>
  <si>
    <t>Top 40 Companies Mining sector</t>
  </si>
  <si>
    <t>Cash</t>
  </si>
  <si>
    <t>Account_receivable</t>
  </si>
  <si>
    <t>Other</t>
  </si>
  <si>
    <t>Total_current_assets</t>
  </si>
  <si>
    <t>Property_plant_and_equipment</t>
  </si>
  <si>
    <t>Goodwill_and_other_intangibles</t>
  </si>
  <si>
    <t>Investment_in_assosiates_and_joint_ventures</t>
  </si>
  <si>
    <t>Other_investments_and_loang_granted</t>
  </si>
  <si>
    <t>Total_non_current_assets</t>
  </si>
  <si>
    <t>Total_assets</t>
  </si>
  <si>
    <t>Borrowings</t>
  </si>
  <si>
    <t>Total_non_current_liabilities</t>
  </si>
  <si>
    <t>Total_liabilities</t>
  </si>
  <si>
    <t>Equity_and_Liabilities</t>
  </si>
  <si>
    <t>Accounts_payable</t>
  </si>
  <si>
    <t>Total_current_liabilities</t>
  </si>
  <si>
    <t>Revenue</t>
  </si>
  <si>
    <t>Trading_revenue</t>
  </si>
  <si>
    <t>Operating_expenses</t>
  </si>
  <si>
    <t>Other_operating_expenses</t>
  </si>
  <si>
    <t>EBITDA</t>
  </si>
  <si>
    <t>Impaiment_charges</t>
  </si>
  <si>
    <t>Deprecation_and_amortisation</t>
  </si>
  <si>
    <t>Net_finance_cost</t>
  </si>
  <si>
    <t>PBT</t>
  </si>
  <si>
    <t>Income_tax_expense</t>
  </si>
  <si>
    <t>Net_profit</t>
  </si>
  <si>
    <t>Net_operating_cash_flows</t>
  </si>
  <si>
    <t>EBIT</t>
  </si>
  <si>
    <t>estimated_Selling_And_Administrative_Expenses</t>
  </si>
  <si>
    <t>estimated_cost_of_goods_sold</t>
  </si>
  <si>
    <t>Etykiety wierszy</t>
  </si>
  <si>
    <t>ROA Top40</t>
  </si>
  <si>
    <t xml:space="preserve">ROE Top40 </t>
  </si>
  <si>
    <t xml:space="preserve">EBIT Margin KGHM </t>
  </si>
  <si>
    <t xml:space="preserve">ROS KGHM </t>
  </si>
  <si>
    <t xml:space="preserve">ROA KGHM </t>
  </si>
  <si>
    <t xml:space="preserve">ROE KGHM </t>
  </si>
  <si>
    <t>ROS Top40</t>
  </si>
  <si>
    <t>EBIT Margin Top40</t>
  </si>
  <si>
    <t>Current Ratio</t>
  </si>
  <si>
    <t>Cash Ratio</t>
  </si>
  <si>
    <t>Cash Efficiency Ratio of Sales</t>
  </si>
  <si>
    <t>Operating Cash to Long-Term Debt Ratio</t>
  </si>
  <si>
    <t>Current Ratio KGHM</t>
  </si>
  <si>
    <t>Current Ratio Top40</t>
  </si>
  <si>
    <t>Cash Ratio KGHM</t>
  </si>
  <si>
    <t>Cash Ratio Top40</t>
  </si>
  <si>
    <t>Cash Efficiency Ratio of Sales KGHM</t>
  </si>
  <si>
    <t>Cash Efficiency Ratio of Sales Top40</t>
  </si>
  <si>
    <t>Operating Cash to Long-Term Debt Ratio KGHM</t>
  </si>
  <si>
    <t>Operating Cash to Long-Term Debt Ratio Top40</t>
  </si>
  <si>
    <t>Cash Efficiency Ratio of Current Assets KGHM</t>
  </si>
  <si>
    <t>Cash Efficiency Ratio of Current Assets Top40</t>
  </si>
  <si>
    <t>Cash Efficiency Ratio of Current Assets</t>
  </si>
  <si>
    <t>TOP40 Companies in mining sector</t>
  </si>
  <si>
    <t>Revenues</t>
  </si>
  <si>
    <t>PODSUMOWANIE - WYJŚCIE</t>
  </si>
  <si>
    <t>Statystyki regresji</t>
  </si>
  <si>
    <t>Wielokrotność R</t>
  </si>
  <si>
    <t>R kwadrat</t>
  </si>
  <si>
    <t>Dopasowany R kwadrat</t>
  </si>
  <si>
    <t>Błąd standardowy</t>
  </si>
  <si>
    <t>Obserwacje</t>
  </si>
  <si>
    <t>ANALIZA WARIANCJI</t>
  </si>
  <si>
    <t>Regresja</t>
  </si>
  <si>
    <t>Resztkowy</t>
  </si>
  <si>
    <t>Razem</t>
  </si>
  <si>
    <t>Przecięcie</t>
  </si>
  <si>
    <t>df</t>
  </si>
  <si>
    <t>SS</t>
  </si>
  <si>
    <t>MS</t>
  </si>
  <si>
    <t>F</t>
  </si>
  <si>
    <t>Istotność F</t>
  </si>
  <si>
    <t>Współczynniki</t>
  </si>
  <si>
    <t>t Stat</t>
  </si>
  <si>
    <t>Wartość-p</t>
  </si>
  <si>
    <t>Dolne 95%</t>
  </si>
  <si>
    <t>Górne 95%</t>
  </si>
  <si>
    <t>Dolne 95,0%</t>
  </si>
  <si>
    <t>Górne 95,0%</t>
  </si>
  <si>
    <r>
      <rPr>
        <b/>
        <i/>
        <sz val="11"/>
        <color theme="1"/>
        <rFont val="Calibri"/>
        <family val="2"/>
        <charset val="238"/>
        <scheme val="minor"/>
      </rPr>
      <t>b</t>
    </r>
    <r>
      <rPr>
        <b/>
        <vertAlign val="subscript"/>
        <sz val="11"/>
        <color theme="1"/>
        <rFont val="Calibri"/>
        <family val="2"/>
        <charset val="238"/>
        <scheme val="minor"/>
      </rPr>
      <t>0</t>
    </r>
    <r>
      <rPr>
        <b/>
        <sz val="11"/>
        <color theme="1"/>
        <rFont val="Calibri"/>
        <family val="2"/>
        <charset val="238"/>
        <scheme val="minor"/>
      </rPr>
      <t xml:space="preserve"> =</t>
    </r>
  </si>
  <si>
    <r>
      <rPr>
        <b/>
        <i/>
        <sz val="11"/>
        <color theme="1"/>
        <rFont val="Calibri"/>
        <family val="2"/>
        <charset val="238"/>
        <scheme val="minor"/>
      </rPr>
      <t>b</t>
    </r>
    <r>
      <rPr>
        <b/>
        <vertAlign val="subscript"/>
        <sz val="11"/>
        <color theme="1"/>
        <rFont val="Calibri"/>
        <family val="2"/>
        <charset val="238"/>
        <scheme val="minor"/>
      </rPr>
      <t>1</t>
    </r>
    <r>
      <rPr>
        <b/>
        <sz val="11"/>
        <color theme="1"/>
        <rFont val="Calibri"/>
        <family val="2"/>
        <charset val="238"/>
        <scheme val="minor"/>
      </rPr>
      <t xml:space="preserve"> =</t>
    </r>
  </si>
  <si>
    <r>
      <rPr>
        <b/>
        <i/>
        <sz val="11"/>
        <color theme="1"/>
        <rFont val="Calibri"/>
        <family val="2"/>
        <charset val="238"/>
        <scheme val="minor"/>
      </rPr>
      <t>R</t>
    </r>
    <r>
      <rPr>
        <b/>
        <vertAlign val="superscript"/>
        <sz val="11"/>
        <color theme="1"/>
        <rFont val="Calibri"/>
        <family val="2"/>
        <charset val="238"/>
        <scheme val="minor"/>
      </rPr>
      <t>2</t>
    </r>
    <r>
      <rPr>
        <b/>
        <sz val="11"/>
        <color theme="1"/>
        <rFont val="Calibri"/>
        <family val="2"/>
        <charset val="238"/>
        <scheme val="minor"/>
      </rPr>
      <t xml:space="preserve"> = </t>
    </r>
  </si>
  <si>
    <r>
      <rPr>
        <b/>
        <i/>
        <sz val="11"/>
        <color theme="1"/>
        <rFont val="Calibri"/>
        <family val="2"/>
        <charset val="238"/>
      </rPr>
      <t>S</t>
    </r>
    <r>
      <rPr>
        <b/>
        <i/>
        <vertAlign val="subscript"/>
        <sz val="11"/>
        <color theme="1"/>
        <rFont val="Calibri"/>
        <family val="2"/>
        <charset val="238"/>
      </rPr>
      <t>e</t>
    </r>
    <r>
      <rPr>
        <b/>
        <sz val="11"/>
        <color theme="1"/>
        <rFont val="Calibri"/>
        <family val="2"/>
        <charset val="238"/>
      </rPr>
      <t xml:space="preserve"> = </t>
    </r>
  </si>
  <si>
    <t>year</t>
  </si>
  <si>
    <t>t</t>
  </si>
  <si>
    <t>revenuus</t>
  </si>
  <si>
    <t>ŷt</t>
  </si>
  <si>
    <t>Zmienna X 1</t>
  </si>
  <si>
    <r>
      <rPr>
        <b/>
        <i/>
        <sz val="11"/>
        <color theme="1"/>
        <rFont val="Calibri"/>
        <family val="2"/>
        <charset val="238"/>
        <scheme val="minor"/>
      </rPr>
      <t>y</t>
    </r>
    <r>
      <rPr>
        <b/>
        <i/>
        <vertAlign val="subscript"/>
        <sz val="11"/>
        <color theme="1"/>
        <rFont val="Calibri"/>
        <family val="2"/>
        <charset val="238"/>
        <scheme val="minor"/>
      </rPr>
      <t>T</t>
    </r>
    <r>
      <rPr>
        <b/>
        <i/>
        <vertAlign val="superscript"/>
        <sz val="11"/>
        <color theme="1"/>
        <rFont val="Calibri"/>
        <family val="2"/>
        <charset val="238"/>
        <scheme val="minor"/>
      </rPr>
      <t>*</t>
    </r>
  </si>
  <si>
    <t>Excel</t>
  </si>
  <si>
    <t>check</t>
  </si>
  <si>
    <t xml:space="preserve">KGHM </t>
  </si>
  <si>
    <t>Costs</t>
  </si>
  <si>
    <t>Total Debt Ratio KGHM</t>
  </si>
  <si>
    <t>Total Debt Ratio Top40</t>
  </si>
  <si>
    <t>Long-Term Debt Ratio KGHM</t>
  </si>
  <si>
    <t>Long-Term Debt Ratio Top40</t>
  </si>
  <si>
    <t>Debt to Equity Ratio KGHM</t>
  </si>
  <si>
    <t>Debt to Equity Ratio Top40</t>
  </si>
  <si>
    <t>Leverage of Debt Capital KGHM</t>
  </si>
  <si>
    <t>S E</t>
  </si>
  <si>
    <t>ROE KGHM</t>
  </si>
  <si>
    <t>ROA KGHM</t>
  </si>
  <si>
    <t>ROS KGHM</t>
  </si>
  <si>
    <t>EBIT Margin KGHM</t>
  </si>
  <si>
    <t>ROE Top40</t>
  </si>
  <si>
    <t>Leverage of Debt Capital Top40</t>
  </si>
  <si>
    <t>Profitability Ratios KGHM vs. Top 40 Global Mining Companies</t>
  </si>
  <si>
    <t>Debt Ratios KGHM vs. Top 40 Global Mining Companies</t>
  </si>
  <si>
    <t>Total Asset Turnover Ratio</t>
  </si>
  <si>
    <t>Fixed Asset Turnover Ratio</t>
  </si>
  <si>
    <t>Total Asset Turnover Ratio KGHM</t>
  </si>
  <si>
    <t>Total Asset Turnover Ratio Top40</t>
  </si>
  <si>
    <t>Fixed Asset Turnover Ratio KGHM</t>
  </si>
  <si>
    <t>Fixed Asset Turnover Ratio Top40</t>
  </si>
  <si>
    <t>Current Asset Turnover Ratio</t>
  </si>
  <si>
    <t>Current Asset Turnover Ratio KGHM</t>
  </si>
  <si>
    <t>Current Asset Turnover Ratio Top40</t>
  </si>
  <si>
    <t>Receivables Turnover Ratio</t>
  </si>
  <si>
    <t>Receivables Turnover Ratio Top40</t>
  </si>
  <si>
    <t>Inventory Turnover Ratio</t>
  </si>
  <si>
    <t>Inventory Turnover Ratio KGHM</t>
  </si>
  <si>
    <t>Inventory Turnover Ratio Top40</t>
  </si>
  <si>
    <t>Receivables Turnover Ratio KGHM</t>
  </si>
  <si>
    <t>Activity Ratios KGHM vs. Top 40 Global Mining Companies</t>
  </si>
  <si>
    <t>Liquidity  Ratios KGHM vs. Top 40 Global Mining Companies</t>
  </si>
  <si>
    <t>KGHM Revenues 2017-2023 Actual and 2024-2025 Excel Forecast</t>
  </si>
  <si>
    <t>KGHM Cost of Goods Sold + Selling And Administrative Expenses 2017-2023 Actual and 2024-2025 Excel Forecast</t>
  </si>
  <si>
    <t>Inflows_From_Borrowings</t>
  </si>
  <si>
    <t>Other_Inflows</t>
  </si>
  <si>
    <t>Total_Inflows</t>
  </si>
  <si>
    <t>Payments_From_Borrowings</t>
  </si>
  <si>
    <t>Dividends_Paid_To_Equity_Holders</t>
  </si>
  <si>
    <t>Interest_And_Other_Borrowing_Costs_Paid</t>
  </si>
  <si>
    <t>Net_Cash_Flows_From_Financing_Activities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</si>
</sst>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charset val="238"/>
      <scheme val="minor"/>
    </font>
    <font>
      <b/>
      <vertAlign val="subscript"/>
      <sz val="11"/>
      <color theme="1"/>
      <name val="Calibri"/>
      <family val="2"/>
      <charset val="238"/>
      <scheme val="minor"/>
    </font>
    <font>
      <b/>
      <vertAlign val="superscript"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</font>
    <font>
      <b/>
      <i/>
      <sz val="11"/>
      <color theme="1"/>
      <name val="Calibri"/>
      <family val="2"/>
      <charset val="238"/>
    </font>
    <font>
      <b/>
      <i/>
      <vertAlign val="subscript"/>
      <sz val="11"/>
      <color theme="1"/>
      <name val="Calibri"/>
      <family val="2"/>
      <charset val="238"/>
    </font>
    <font>
      <b/>
      <i/>
      <vertAlign val="subscript"/>
      <sz val="11"/>
      <color theme="1"/>
      <name val="Calibri"/>
      <family val="2"/>
      <charset val="238"/>
      <scheme val="minor"/>
    </font>
    <font>
      <b/>
      <i/>
      <vertAlign val="superscript"/>
      <sz val="11"/>
      <color theme="1"/>
      <name val="Calibri"/>
      <family val="2"/>
      <charset val="238"/>
      <scheme val="minor"/>
    </font>
    <font>
      <sz val="11"/>
      <color rgb="FF5E822E"/>
      <name val="Calibri"/>
      <family val="2"/>
      <scheme val="minor"/>
    </font>
    <font>
      <sz val="11"/>
      <color theme="2" tint="-0.24994659260841701"/>
      <name val="Calibri"/>
      <family val="2"/>
      <scheme val="minor"/>
    </font>
    <font>
      <b/>
      <sz val="14"/>
      <color rgb="FF5E822E"/>
      <name val="Calibri"/>
      <family val="2"/>
      <charset val="238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2" tint="-0.249977111117893"/>
      </top>
      <bottom/>
      <diagonal/>
    </border>
    <border>
      <left/>
      <right style="thin">
        <color theme="2" tint="-0.249977111117893"/>
      </right>
      <top/>
      <bottom/>
      <diagonal/>
    </border>
    <border>
      <left/>
      <right style="thin">
        <color theme="2" tint="-0.249977111117893"/>
      </right>
      <top style="thin">
        <color theme="2" tint="-0.249977111117893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7">
    <xf numFmtId="0" fontId="0" fillId="0" borderId="0" xfId="0"/>
    <xf numFmtId="164" fontId="0" fillId="0" borderId="0" xfId="1" applyNumberFormat="1" applyFont="1"/>
    <xf numFmtId="0" fontId="0" fillId="2" borderId="0" xfId="0" applyFill="1"/>
    <xf numFmtId="0" fontId="0" fillId="2" borderId="1" xfId="0" applyFill="1" applyBorder="1"/>
    <xf numFmtId="0" fontId="0" fillId="3" borderId="0" xfId="0" applyFill="1"/>
    <xf numFmtId="0" fontId="0" fillId="3" borderId="0" xfId="0" applyFill="1" applyAlignment="1">
      <alignment horizontal="center"/>
    </xf>
    <xf numFmtId="3" fontId="0" fillId="2" borderId="0" xfId="0" applyNumberFormat="1" applyFill="1"/>
    <xf numFmtId="3" fontId="0" fillId="2" borderId="1" xfId="0" applyNumberFormat="1" applyFill="1" applyBorder="1"/>
    <xf numFmtId="0" fontId="0" fillId="4" borderId="1" xfId="0" applyFill="1" applyBorder="1"/>
    <xf numFmtId="0" fontId="0" fillId="3" borderId="2" xfId="0" applyFill="1" applyBorder="1" applyAlignment="1">
      <alignment horizontal="center"/>
    </xf>
    <xf numFmtId="0" fontId="0" fillId="4" borderId="3" xfId="0" applyFill="1" applyBorder="1"/>
    <xf numFmtId="164" fontId="0" fillId="2" borderId="2" xfId="1" applyNumberFormat="1" applyFont="1" applyFill="1" applyBorder="1"/>
    <xf numFmtId="164" fontId="0" fillId="2" borderId="0" xfId="1" applyNumberFormat="1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2" fontId="0" fillId="2" borderId="2" xfId="0" applyNumberFormat="1" applyFill="1" applyBorder="1"/>
    <xf numFmtId="2" fontId="0" fillId="2" borderId="0" xfId="0" applyNumberFormat="1" applyFill="1"/>
    <xf numFmtId="0" fontId="2" fillId="2" borderId="5" xfId="0" applyFont="1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4" borderId="10" xfId="0" applyFill="1" applyBorder="1"/>
    <xf numFmtId="0" fontId="0" fillId="4" borderId="11" xfId="0" applyFill="1" applyBorder="1"/>
    <xf numFmtId="0" fontId="0" fillId="2" borderId="8" xfId="0" applyFill="1" applyBorder="1"/>
    <xf numFmtId="164" fontId="0" fillId="2" borderId="9" xfId="1" applyNumberFormat="1" applyFont="1" applyFill="1" applyBorder="1"/>
    <xf numFmtId="0" fontId="0" fillId="2" borderId="7" xfId="0" applyFill="1" applyBorder="1"/>
    <xf numFmtId="2" fontId="0" fillId="2" borderId="9" xfId="0" applyNumberFormat="1" applyFill="1" applyBorder="1"/>
    <xf numFmtId="0" fontId="0" fillId="3" borderId="4" xfId="0" applyFill="1" applyBorder="1" applyAlignment="1">
      <alignment horizontal="center"/>
    </xf>
    <xf numFmtId="0" fontId="0" fillId="0" borderId="12" xfId="0" applyBorder="1"/>
    <xf numFmtId="0" fontId="3" fillId="0" borderId="13" xfId="0" applyFont="1" applyBorder="1" applyAlignment="1">
      <alignment horizontal="center"/>
    </xf>
    <xf numFmtId="0" fontId="3" fillId="0" borderId="13" xfId="0" applyFont="1" applyBorder="1" applyAlignment="1">
      <alignment horizontal="centerContinuous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vertical="center"/>
    </xf>
    <xf numFmtId="0" fontId="7" fillId="0" borderId="0" xfId="0" applyFont="1" applyAlignment="1">
      <alignment horizontal="right" vertical="center"/>
    </xf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0" fillId="0" borderId="16" xfId="0" applyBorder="1"/>
    <xf numFmtId="0" fontId="4" fillId="0" borderId="0" xfId="0" applyFont="1" applyAlignment="1">
      <alignment horizontal="right"/>
    </xf>
    <xf numFmtId="0" fontId="0" fillId="0" borderId="1" xfId="0" applyBorder="1"/>
    <xf numFmtId="4" fontId="0" fillId="0" borderId="0" xfId="0" applyNumberFormat="1"/>
    <xf numFmtId="3" fontId="0" fillId="0" borderId="0" xfId="0" applyNumberFormat="1"/>
    <xf numFmtId="3" fontId="0" fillId="0" borderId="1" xfId="0" applyNumberFormat="1" applyBorder="1"/>
    <xf numFmtId="2" fontId="0" fillId="0" borderId="0" xfId="0" applyNumberFormat="1"/>
    <xf numFmtId="4" fontId="0" fillId="0" borderId="1" xfId="0" applyNumberFormat="1" applyBorder="1"/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2" borderId="0" xfId="0" applyFill="1" applyAlignment="1">
      <alignment horizontal="left"/>
    </xf>
    <xf numFmtId="0" fontId="12" fillId="0" borderId="0" xfId="0" applyFont="1"/>
    <xf numFmtId="0" fontId="12" fillId="0" borderId="12" xfId="0" applyFont="1" applyBorder="1"/>
    <xf numFmtId="0" fontId="0" fillId="3" borderId="9" xfId="0" applyFill="1" applyBorder="1"/>
    <xf numFmtId="0" fontId="0" fillId="4" borderId="16" xfId="0" applyFill="1" applyBorder="1"/>
    <xf numFmtId="2" fontId="0" fillId="2" borderId="4" xfId="0" applyNumberFormat="1" applyFill="1" applyBorder="1"/>
    <xf numFmtId="0" fontId="0" fillId="5" borderId="0" xfId="0" applyFill="1"/>
    <xf numFmtId="2" fontId="0" fillId="2" borderId="8" xfId="0" applyNumberFormat="1" applyFill="1" applyBorder="1"/>
    <xf numFmtId="0" fontId="0" fillId="4" borderId="1" xfId="0" applyFill="1" applyBorder="1" applyAlignment="1">
      <alignment horizontal="left"/>
    </xf>
    <xf numFmtId="0" fontId="13" fillId="3" borderId="20" xfId="0" applyFont="1" applyFill="1" applyBorder="1"/>
    <xf numFmtId="0" fontId="13" fillId="3" borderId="22" xfId="0" applyFont="1" applyFill="1" applyBorder="1"/>
    <xf numFmtId="0" fontId="0" fillId="3" borderId="21" xfId="0" applyFill="1" applyBorder="1"/>
    <xf numFmtId="0" fontId="0" fillId="2" borderId="1" xfId="0" applyFill="1" applyBorder="1" applyAlignment="1">
      <alignment horizontal="left"/>
    </xf>
    <xf numFmtId="0" fontId="14" fillId="2" borderId="17" xfId="0" applyFont="1" applyFill="1" applyBorder="1" applyAlignment="1">
      <alignment horizontal="center" vertical="center"/>
    </xf>
    <xf numFmtId="0" fontId="14" fillId="2" borderId="18" xfId="0" applyFont="1" applyFill="1" applyBorder="1" applyAlignment="1">
      <alignment horizontal="center" vertical="center"/>
    </xf>
    <xf numFmtId="0" fontId="14" fillId="2" borderId="19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</cellXfs>
  <cellStyles count="2">
    <cellStyle name="Normalny" xfId="0" builtinId="0"/>
    <cellStyle name="Procentowy" xfId="1" builtinId="5"/>
  </cellStyles>
  <dxfs count="4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0.0%"/>
    </dxf>
    <dxf>
      <numFmt numFmtId="2" formatCode="0.00"/>
    </dxf>
  </dxfs>
  <tableStyles count="0" defaultTableStyle="TableStyleMedium2" defaultPivotStyle="PivotStyleLight16"/>
  <colors>
    <mruColors>
      <color rgb="FF5E822E"/>
      <color rgb="FFFF7C80"/>
      <color rgb="FF8ADC96"/>
      <color rgb="FFAADAB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1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microsoft.com/office/2007/relationships/slicerCache" Target="slicerCaches/slicerCache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microsoft.com/office/2007/relationships/slicerCache" Target="slicerCaches/slicerCach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onnections" Target="connections.xml"/><Relationship Id="rId28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4261272895382335E-2"/>
          <c:y val="4.1887935690982217E-2"/>
          <c:w val="0.95894246125396831"/>
          <c:h val="0.88980808931898236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Ratios!$D$6:$D$16</c:f>
              <c:numCache>
                <c:formatCode>General</c:formatCode>
                <c:ptCount val="11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2025</c:v>
                </c:pt>
              </c:numCache>
            </c:numRef>
          </c:cat>
          <c:val>
            <c:numRef>
              <c:f>Ratios!$F$6:$F$16</c:f>
              <c:numCache>
                <c:formatCode>#,##0</c:formatCode>
                <c:ptCount val="11"/>
                <c:pt idx="0">
                  <c:v>20358</c:v>
                </c:pt>
                <c:pt idx="7">
                  <c:v>33467</c:v>
                </c:pt>
                <c:pt idx="10">
                  <c:v>39381.03571428571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DC-47E0-AF96-1CF0454B92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18894111"/>
        <c:axId val="618894591"/>
      </c:barChart>
      <c:lineChart>
        <c:grouping val="standard"/>
        <c:varyColors val="0"/>
        <c:ser>
          <c:idx val="1"/>
          <c:order val="1"/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numRef>
              <c:f>Ratios!$D$6:$D$16</c:f>
              <c:numCache>
                <c:formatCode>General</c:formatCode>
                <c:ptCount val="11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2025</c:v>
                </c:pt>
              </c:numCache>
            </c:numRef>
          </c:cat>
          <c:val>
            <c:numRef>
              <c:f>Ratios!$H$6:$H$16</c:f>
              <c:numCache>
                <c:formatCode>#,##0</c:formatCode>
                <c:ptCount val="11"/>
                <c:pt idx="1">
                  <c:v>20526</c:v>
                </c:pt>
                <c:pt idx="2">
                  <c:v>22723</c:v>
                </c:pt>
                <c:pt idx="3">
                  <c:v>23632</c:v>
                </c:pt>
                <c:pt idx="4">
                  <c:v>29803</c:v>
                </c:pt>
                <c:pt idx="5">
                  <c:v>33847</c:v>
                </c:pt>
                <c:pt idx="6">
                  <c:v>33467</c:v>
                </c:pt>
                <c:pt idx="8">
                  <c:v>36772.142857142855</c:v>
                </c:pt>
                <c:pt idx="9">
                  <c:v>39381.03571428571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4DC-47E0-AF96-1CF0454B92D5}"/>
            </c:ext>
          </c:extLst>
        </c:ser>
        <c:ser>
          <c:idx val="2"/>
          <c:order val="2"/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numRef>
              <c:f>Ratios!$D$6:$D$16</c:f>
              <c:numCache>
                <c:formatCode>General</c:formatCode>
                <c:ptCount val="11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2025</c:v>
                </c:pt>
              </c:numCache>
            </c:numRef>
          </c:cat>
          <c:val>
            <c:numRef>
              <c:f>Ratios!$I$6:$I$16</c:f>
              <c:numCache>
                <c:formatCode>#,##0</c:formatCode>
                <c:ptCount val="11"/>
                <c:pt idx="1">
                  <c:v>20358</c:v>
                </c:pt>
                <c:pt idx="2">
                  <c:v>20526</c:v>
                </c:pt>
                <c:pt idx="3">
                  <c:v>22723</c:v>
                </c:pt>
                <c:pt idx="4">
                  <c:v>23632</c:v>
                </c:pt>
                <c:pt idx="5">
                  <c:v>29803</c:v>
                </c:pt>
                <c:pt idx="6">
                  <c:v>33847</c:v>
                </c:pt>
                <c:pt idx="8">
                  <c:v>33467</c:v>
                </c:pt>
                <c:pt idx="9">
                  <c:v>36772.142857142855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4DC-47E0-AF96-1CF0454B92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C00000"/>
              </a:solidFill>
              <a:ln w="9525">
                <a:noFill/>
              </a:ln>
              <a:effectLst/>
            </c:spPr>
          </c:upBars>
          <c:downBars>
            <c:spPr>
              <a:solidFill>
                <a:schemeClr val="accent6">
                  <a:lumMod val="75000"/>
                </a:schemeClr>
              </a:solidFill>
              <a:ln w="9525">
                <a:noFill/>
              </a:ln>
              <a:effectLst/>
            </c:spPr>
          </c:downBars>
        </c:upDownBars>
        <c:marker val="1"/>
        <c:smooth val="0"/>
        <c:axId val="618894111"/>
        <c:axId val="618894591"/>
      </c:lineChart>
      <c:scatterChart>
        <c:scatterStyle val="lineMarker"/>
        <c:varyColors val="0"/>
        <c:ser>
          <c:idx val="3"/>
          <c:order val="3"/>
          <c:tx>
            <c:v>label place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421A7CC1-AFC9-4AE3-A81B-B4C55457BEF8}" type="CELLRANGE">
                      <a:rPr lang="en-US"/>
                      <a:pPr/>
                      <a:t>[ZAKRES KOMÓREK]</a:t>
                    </a:fld>
                    <a:endParaRPr lang="pl-PL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64DC-47E0-AF96-1CF0454B92D5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ABAA000B-985B-4A18-86B8-A2F34D988ABA}" type="CELLRANGE">
                      <a:rPr lang="pl-PL"/>
                      <a:pPr/>
                      <a:t>[ZAKRES KOMÓREK]</a:t>
                    </a:fld>
                    <a:endParaRPr lang="pl-PL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64DC-47E0-AF96-1CF0454B92D5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78FF3169-9C55-4A7C-8AB5-3F6BC5DB50B9}" type="CELLRANGE">
                      <a:rPr lang="pl-PL"/>
                      <a:pPr/>
                      <a:t>[ZAKRES KOMÓREK]</a:t>
                    </a:fld>
                    <a:endParaRPr lang="pl-PL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64DC-47E0-AF96-1CF0454B92D5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2C90C9C3-F6B8-4D81-BBC1-91DDA5EB5BC6}" type="CELLRANGE">
                      <a:rPr lang="pl-PL"/>
                      <a:pPr/>
                      <a:t>[ZAKRES KOMÓREK]</a:t>
                    </a:fld>
                    <a:endParaRPr lang="pl-PL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64DC-47E0-AF96-1CF0454B92D5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284E2998-FEF0-4FC7-A4E1-6A0835354829}" type="CELLRANGE">
                      <a:rPr lang="pl-PL"/>
                      <a:pPr/>
                      <a:t>[ZAKRES KOMÓREK]</a:t>
                    </a:fld>
                    <a:endParaRPr lang="pl-PL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64DC-47E0-AF96-1CF0454B92D5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5CFE674B-A5D4-4A10-810B-B2FABE9F49E3}" type="CELLRANGE">
                      <a:rPr lang="pl-PL"/>
                      <a:pPr/>
                      <a:t>[ZAKRES KOMÓREK]</a:t>
                    </a:fld>
                    <a:endParaRPr lang="pl-PL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64DC-47E0-AF96-1CF0454B92D5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6A27836C-1428-4D3E-93A9-50C57DD5F39D}" type="CELLRANGE">
                      <a:rPr lang="pl-PL"/>
                      <a:pPr/>
                      <a:t>[ZAKRES KOMÓREK]</a:t>
                    </a:fld>
                    <a:endParaRPr lang="pl-PL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64DC-47E0-AF96-1CF0454B92D5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EB8FBDF7-4AB7-45F5-B052-3311CED117B0}" type="CELLRANGE">
                      <a:rPr lang="pl-PL"/>
                      <a:pPr/>
                      <a:t>[ZAKRES KOMÓREK]</a:t>
                    </a:fld>
                    <a:endParaRPr lang="pl-PL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64DC-47E0-AF96-1CF0454B92D5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570BB0C5-1C1F-4EB8-83A3-642F9114A9F1}" type="CELLRANGE">
                      <a:rPr lang="pl-PL"/>
                      <a:pPr/>
                      <a:t>[ZAKRES KOMÓREK]</a:t>
                    </a:fld>
                    <a:endParaRPr lang="pl-PL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EADB-46DD-8437-50B9FE783B17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352BD708-C76A-44F1-AE4B-52DEA55F8914}" type="CELLRANGE">
                      <a:rPr lang="pl-PL"/>
                      <a:pPr/>
                      <a:t>[ZAKRES KOMÓREK]</a:t>
                    </a:fld>
                    <a:endParaRPr lang="pl-PL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EADB-46DD-8437-50B9FE783B17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0E9B88DD-2A55-4787-817C-547BBFFE1CE8}" type="CELLRANGE">
                      <a:rPr lang="pl-PL"/>
                      <a:pPr/>
                      <a:t>[ZAKRES KOMÓREK]</a:t>
                    </a:fld>
                    <a:endParaRPr lang="pl-PL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EADB-46DD-8437-50B9FE783B1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yVal>
            <c:numRef>
              <c:f>Ratios!$J$6:$J$16</c:f>
              <c:numCache>
                <c:formatCode>#,##0</c:formatCode>
                <c:ptCount val="11"/>
                <c:pt idx="0">
                  <c:v>20358</c:v>
                </c:pt>
                <c:pt idx="1">
                  <c:v>20526</c:v>
                </c:pt>
                <c:pt idx="2">
                  <c:v>22723</c:v>
                </c:pt>
                <c:pt idx="3">
                  <c:v>23632</c:v>
                </c:pt>
                <c:pt idx="4">
                  <c:v>29803</c:v>
                </c:pt>
                <c:pt idx="5">
                  <c:v>33847</c:v>
                </c:pt>
                <c:pt idx="6">
                  <c:v>33847</c:v>
                </c:pt>
                <c:pt idx="7">
                  <c:v>33467</c:v>
                </c:pt>
                <c:pt idx="8">
                  <c:v>36772.142857142855</c:v>
                </c:pt>
                <c:pt idx="9">
                  <c:v>39381.03571428571</c:v>
                </c:pt>
                <c:pt idx="10">
                  <c:v>39381.03571428571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Ratios!$K$6:$K$16</c15:f>
                <c15:dlblRangeCache>
                  <c:ptCount val="11"/>
                  <c:pt idx="0">
                    <c:v>20 358</c:v>
                  </c:pt>
                  <c:pt idx="1">
                    <c:v>168</c:v>
                  </c:pt>
                  <c:pt idx="2">
                    <c:v>2 197</c:v>
                  </c:pt>
                  <c:pt idx="3">
                    <c:v>909</c:v>
                  </c:pt>
                  <c:pt idx="4">
                    <c:v>6 171</c:v>
                  </c:pt>
                  <c:pt idx="5">
                    <c:v>4 044</c:v>
                  </c:pt>
                  <c:pt idx="6">
                    <c:v>-380</c:v>
                  </c:pt>
                  <c:pt idx="7">
                    <c:v>33 467</c:v>
                  </c:pt>
                  <c:pt idx="8">
                    <c:v>3 305</c:v>
                  </c:pt>
                  <c:pt idx="9">
                    <c:v>2 609</c:v>
                  </c:pt>
                  <c:pt idx="10">
                    <c:v>39 381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B-64DC-47E0-AF96-1CF0454B92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8894111"/>
        <c:axId val="618894591"/>
      </c:scatterChart>
      <c:catAx>
        <c:axId val="6188941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18894591"/>
        <c:crosses val="autoZero"/>
        <c:auto val="1"/>
        <c:lblAlgn val="ctr"/>
        <c:lblOffset val="100"/>
        <c:noMultiLvlLbl val="0"/>
      </c:catAx>
      <c:valAx>
        <c:axId val="618894591"/>
        <c:scaling>
          <c:orientation val="minMax"/>
        </c:scaling>
        <c:delete val="1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crossAx val="618894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[Ratio Analysis KGHM Dashboard.xlsx]Ratios!Tabela przestawna4</c:name>
    <c:fmtId val="26"/>
  </c:pivotSource>
  <c:chart>
    <c:autoTitleDeleted val="0"/>
    <c:pivotFmts>
      <c:pivotFmt>
        <c:idx val="0"/>
        <c:spPr>
          <a:solidFill>
            <a:schemeClr val="accent6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>
              <a:lumMod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6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>
              <a:lumMod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6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6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6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>
              <a:lumMod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>
              <a:lumMod val="50000"/>
            </a:schemeClr>
          </a:solidFill>
          <a:ln>
            <a:noFill/>
          </a:ln>
          <a:effectLst/>
        </c:spP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Ratios!$E$20</c:f>
              <c:strCache>
                <c:ptCount val="1"/>
                <c:pt idx="0">
                  <c:v>EBIT Margin Top40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Ratios!$D$21</c:f>
              <c:strCache>
                <c:ptCount val="1"/>
                <c:pt idx="0">
                  <c:v>2023</c:v>
                </c:pt>
              </c:strCache>
            </c:strRef>
          </c:cat>
          <c:val>
            <c:numRef>
              <c:f>Ratios!$E$21</c:f>
              <c:numCache>
                <c:formatCode>0.0%</c:formatCode>
                <c:ptCount val="1"/>
                <c:pt idx="0">
                  <c:v>0.18698224852071005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E6-4617-93A4-3D895047E205}"/>
            </c:ext>
          </c:extLst>
        </c:ser>
        <c:ser>
          <c:idx val="1"/>
          <c:order val="1"/>
          <c:tx>
            <c:strRef>
              <c:f>Ratios!$F$20</c:f>
              <c:strCache>
                <c:ptCount val="1"/>
                <c:pt idx="0">
                  <c:v>EBIT Margin KGHM 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Ratios!$D$21</c:f>
              <c:strCache>
                <c:ptCount val="1"/>
                <c:pt idx="0">
                  <c:v>2023</c:v>
                </c:pt>
              </c:strCache>
            </c:strRef>
          </c:cat>
          <c:val>
            <c:numRef>
              <c:f>Ratios!$F$21</c:f>
              <c:numCache>
                <c:formatCode>0.0%</c:formatCode>
                <c:ptCount val="1"/>
                <c:pt idx="0">
                  <c:v>-0.10770156438026474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9E6-4617-93A4-3D895047E205}"/>
            </c:ext>
          </c:extLst>
        </c:ser>
        <c:ser>
          <c:idx val="2"/>
          <c:order val="2"/>
          <c:tx>
            <c:strRef>
              <c:f>Ratios!$G$20</c:f>
              <c:strCache>
                <c:ptCount val="1"/>
                <c:pt idx="0">
                  <c:v>ROS Top40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Ratios!$D$21</c:f>
              <c:strCache>
                <c:ptCount val="1"/>
                <c:pt idx="0">
                  <c:v>2023</c:v>
                </c:pt>
              </c:strCache>
            </c:strRef>
          </c:cat>
          <c:val>
            <c:numRef>
              <c:f>Ratios!$G$21</c:f>
              <c:numCache>
                <c:formatCode>0.0%</c:formatCode>
                <c:ptCount val="1"/>
                <c:pt idx="0">
                  <c:v>0.13493253373313344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9E6-4617-93A4-3D895047E205}"/>
            </c:ext>
          </c:extLst>
        </c:ser>
        <c:ser>
          <c:idx val="3"/>
          <c:order val="3"/>
          <c:tx>
            <c:strRef>
              <c:f>Ratios!$H$20</c:f>
              <c:strCache>
                <c:ptCount val="1"/>
                <c:pt idx="0">
                  <c:v>ROS KGHM 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Ratios!$D$21</c:f>
              <c:strCache>
                <c:ptCount val="1"/>
                <c:pt idx="0">
                  <c:v>2023</c:v>
                </c:pt>
              </c:strCache>
            </c:strRef>
          </c:cat>
          <c:val>
            <c:numRef>
              <c:f>Ratios!$H$21</c:f>
              <c:numCache>
                <c:formatCode>0.0%</c:formatCode>
                <c:ptCount val="1"/>
                <c:pt idx="0">
                  <c:v>1.6732901066722441E-2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9E6-4617-93A4-3D895047E205}"/>
            </c:ext>
          </c:extLst>
        </c:ser>
        <c:ser>
          <c:idx val="4"/>
          <c:order val="4"/>
          <c:tx>
            <c:strRef>
              <c:f>Ratios!$I$20</c:f>
              <c:strCache>
                <c:ptCount val="1"/>
                <c:pt idx="0">
                  <c:v>ROA Top40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Ratios!$D$21</c:f>
              <c:strCache>
                <c:ptCount val="1"/>
                <c:pt idx="0">
                  <c:v>2023</c:v>
                </c:pt>
              </c:strCache>
            </c:strRef>
          </c:cat>
          <c:val>
            <c:numRef>
              <c:f>Ratios!$I$21</c:f>
              <c:numCache>
                <c:formatCode>0.0%</c:formatCode>
                <c:ptCount val="1"/>
                <c:pt idx="0">
                  <c:v>6.9875776397515521E-2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9E6-4617-93A4-3D895047E205}"/>
            </c:ext>
          </c:extLst>
        </c:ser>
        <c:ser>
          <c:idx val="5"/>
          <c:order val="5"/>
          <c:tx>
            <c:strRef>
              <c:f>Ratios!$J$20</c:f>
              <c:strCache>
                <c:ptCount val="1"/>
                <c:pt idx="0">
                  <c:v>ROA KGHM 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Ratios!$D$21</c:f>
              <c:strCache>
                <c:ptCount val="1"/>
                <c:pt idx="0">
                  <c:v>2023</c:v>
                </c:pt>
              </c:strCache>
            </c:strRef>
          </c:cat>
          <c:val>
            <c:numRef>
              <c:f>Ratios!$J$21</c:f>
              <c:numCache>
                <c:formatCode>0.0%</c:formatCode>
                <c:ptCount val="1"/>
                <c:pt idx="0">
                  <c:v>-7.1833096549442421E-2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9E6-4617-93A4-3D895047E205}"/>
            </c:ext>
          </c:extLst>
        </c:ser>
        <c:ser>
          <c:idx val="6"/>
          <c:order val="6"/>
          <c:tx>
            <c:strRef>
              <c:f>Ratios!$K$20</c:f>
              <c:strCache>
                <c:ptCount val="1"/>
                <c:pt idx="0">
                  <c:v>ROE Top40 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Ratios!$D$21</c:f>
              <c:strCache>
                <c:ptCount val="1"/>
                <c:pt idx="0">
                  <c:v>2023</c:v>
                </c:pt>
              </c:strCache>
            </c:strRef>
          </c:cat>
          <c:val>
            <c:numRef>
              <c:f>Ratios!$K$21</c:f>
              <c:numCache>
                <c:formatCode>0.0%</c:formatCode>
                <c:ptCount val="1"/>
                <c:pt idx="0">
                  <c:v>0.13595166163141995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9E6-4617-93A4-3D895047E205}"/>
            </c:ext>
          </c:extLst>
        </c:ser>
        <c:ser>
          <c:idx val="7"/>
          <c:order val="7"/>
          <c:tx>
            <c:strRef>
              <c:f>Ratios!$L$20</c:f>
              <c:strCache>
                <c:ptCount val="1"/>
                <c:pt idx="0">
                  <c:v>ROE KGHM 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Ratios!$D$21</c:f>
              <c:strCache>
                <c:ptCount val="1"/>
                <c:pt idx="0">
                  <c:v>2023</c:v>
                </c:pt>
              </c:strCache>
            </c:strRef>
          </c:cat>
          <c:val>
            <c:numRef>
              <c:f>Ratios!$L$21</c:f>
              <c:numCache>
                <c:formatCode>0.0%</c:formatCode>
                <c:ptCount val="1"/>
                <c:pt idx="0">
                  <c:v>-0.12892071253929444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9E6-4617-93A4-3D895047E2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66"/>
        <c:overlap val="-13"/>
        <c:axId val="887667823"/>
        <c:axId val="887664943"/>
      </c:barChart>
      <c:catAx>
        <c:axId val="887667823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887664943"/>
        <c:crosses val="autoZero"/>
        <c:auto val="1"/>
        <c:lblAlgn val="ctr"/>
        <c:lblOffset val="100"/>
        <c:noMultiLvlLbl val="0"/>
      </c:catAx>
      <c:valAx>
        <c:axId val="8876649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87667823"/>
        <c:crosses val="autoZero"/>
        <c:crossBetween val="between"/>
        <c:majorUnit val="2.5000000000000005E-2"/>
      </c:val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1.310615989515072E-2"/>
          <c:y val="0.14927341088890395"/>
          <c:w val="0.19171473978596712"/>
          <c:h val="0.6494938855777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Ratios!$W$17</c:f>
              <c:strCache>
                <c:ptCount val="1"/>
                <c:pt idx="0">
                  <c:v>KGHM</c:v>
                </c:pt>
              </c:strCache>
            </c:strRef>
          </c:tx>
          <c:spPr>
            <a:ln w="28575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Ratios!$V$18:$V$24</c:f>
              <c:numCache>
                <c:formatCode>General</c:formatCode>
                <c:ptCount val="7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</c:numCache>
            </c:numRef>
          </c:cat>
          <c:val>
            <c:numRef>
              <c:f>Ratios!$W$18:$W$24</c:f>
              <c:numCache>
                <c:formatCode>0.00</c:formatCode>
                <c:ptCount val="7"/>
                <c:pt idx="0">
                  <c:v>0.28075013789299502</c:v>
                </c:pt>
                <c:pt idx="1">
                  <c:v>0.3149748909195686</c:v>
                </c:pt>
                <c:pt idx="2">
                  <c:v>0.38326626679826892</c:v>
                </c:pt>
                <c:pt idx="3">
                  <c:v>0.41009280742459397</c:v>
                </c:pt>
                <c:pt idx="4">
                  <c:v>0.37582591842128449</c:v>
                </c:pt>
                <c:pt idx="5">
                  <c:v>0.2034178155700487</c:v>
                </c:pt>
                <c:pt idx="6">
                  <c:v>0.54337284482758619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751-462D-BEAE-DFEFDE7E5A20}"/>
            </c:ext>
          </c:extLst>
        </c:ser>
        <c:ser>
          <c:idx val="1"/>
          <c:order val="1"/>
          <c:tx>
            <c:strRef>
              <c:f>Ratios!$X$17</c:f>
              <c:strCache>
                <c:ptCount val="1"/>
                <c:pt idx="0">
                  <c:v>TOP40 Companies in mining sector</c:v>
                </c:pt>
              </c:strCache>
            </c:strRef>
          </c:tx>
          <c:spPr>
            <a:ln w="28575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Ratios!$V$18:$V$24</c:f>
              <c:numCache>
                <c:formatCode>General</c:formatCode>
                <c:ptCount val="7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</c:numCache>
            </c:numRef>
          </c:cat>
          <c:val>
            <c:numRef>
              <c:f>Ratios!$X$18:$X$24</c:f>
              <c:numCache>
                <c:formatCode>0.00</c:formatCode>
                <c:ptCount val="7"/>
                <c:pt idx="0">
                  <c:v>0.31662269129287601</c:v>
                </c:pt>
                <c:pt idx="1">
                  <c:v>0.36813186813186816</c:v>
                </c:pt>
                <c:pt idx="2">
                  <c:v>0.34482758620689657</c:v>
                </c:pt>
                <c:pt idx="3">
                  <c:v>0.35858585858585856</c:v>
                </c:pt>
                <c:pt idx="4">
                  <c:v>0.58290155440414504</c:v>
                </c:pt>
                <c:pt idx="5">
                  <c:v>0.47619047619047616</c:v>
                </c:pt>
                <c:pt idx="6">
                  <c:v>0.3350253807106599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751-462D-BEAE-DFEFDE7E5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20324479"/>
        <c:axId val="2020324959"/>
      </c:lineChart>
      <c:catAx>
        <c:axId val="20203244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20324959"/>
        <c:crosses val="autoZero"/>
        <c:auto val="1"/>
        <c:lblAlgn val="ctr"/>
        <c:lblOffset val="100"/>
        <c:noMultiLvlLbl val="0"/>
      </c:catAx>
      <c:valAx>
        <c:axId val="2020324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203244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Ratios!$N$17:$N$27</c:f>
              <c:numCache>
                <c:formatCode>General</c:formatCode>
                <c:ptCount val="11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  <c:pt idx="7">
                  <c:v>2023</c:v>
                </c:pt>
                <c:pt idx="8" formatCode="#,##0">
                  <c:v>2024</c:v>
                </c:pt>
                <c:pt idx="9">
                  <c:v>2025</c:v>
                </c:pt>
                <c:pt idx="10">
                  <c:v>2025</c:v>
                </c:pt>
              </c:numCache>
            </c:numRef>
          </c:cat>
          <c:val>
            <c:numRef>
              <c:f>Ratios!$P$17:$P$27</c:f>
              <c:numCache>
                <c:formatCode>#,##0</c:formatCode>
                <c:ptCount val="11"/>
                <c:pt idx="0">
                  <c:v>16547</c:v>
                </c:pt>
                <c:pt idx="7">
                  <c:v>35107</c:v>
                </c:pt>
                <c:pt idx="10">
                  <c:v>38496.46428571429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C7-428B-B8FE-F81832291C2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618894111"/>
        <c:axId val="618894591"/>
      </c:barChart>
      <c:lineChart>
        <c:grouping val="standard"/>
        <c:varyColors val="0"/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Ratios!$N$17:$N$27</c:f>
              <c:numCache>
                <c:formatCode>General</c:formatCode>
                <c:ptCount val="11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  <c:pt idx="7">
                  <c:v>2023</c:v>
                </c:pt>
                <c:pt idx="8" formatCode="#,##0">
                  <c:v>2024</c:v>
                </c:pt>
                <c:pt idx="9">
                  <c:v>2025</c:v>
                </c:pt>
                <c:pt idx="10">
                  <c:v>2025</c:v>
                </c:pt>
              </c:numCache>
            </c:numRef>
          </c:cat>
          <c:val>
            <c:numRef>
              <c:f>Ratios!$R$17:$R$27</c:f>
              <c:numCache>
                <c:formatCode>#,##0</c:formatCode>
                <c:ptCount val="11"/>
                <c:pt idx="1">
                  <c:v>17935</c:v>
                </c:pt>
                <c:pt idx="2">
                  <c:v>20268</c:v>
                </c:pt>
                <c:pt idx="3">
                  <c:v>20471</c:v>
                </c:pt>
                <c:pt idx="4">
                  <c:v>25093</c:v>
                </c:pt>
                <c:pt idx="5">
                  <c:v>29503</c:v>
                </c:pt>
                <c:pt idx="6">
                  <c:v>35107</c:v>
                </c:pt>
                <c:pt idx="8">
                  <c:v>35509.28571428571</c:v>
                </c:pt>
                <c:pt idx="9">
                  <c:v>38496.46428571429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9C7-428B-B8FE-F81832291C21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Ratios!$N$17:$N$27</c:f>
              <c:numCache>
                <c:formatCode>General</c:formatCode>
                <c:ptCount val="11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  <c:pt idx="7">
                  <c:v>2023</c:v>
                </c:pt>
                <c:pt idx="8" formatCode="#,##0">
                  <c:v>2024</c:v>
                </c:pt>
                <c:pt idx="9">
                  <c:v>2025</c:v>
                </c:pt>
                <c:pt idx="10">
                  <c:v>2025</c:v>
                </c:pt>
              </c:numCache>
            </c:numRef>
          </c:cat>
          <c:val>
            <c:numRef>
              <c:f>Ratios!$S$17:$S$27</c:f>
              <c:numCache>
                <c:formatCode>#,##0</c:formatCode>
                <c:ptCount val="11"/>
                <c:pt idx="1">
                  <c:v>16547</c:v>
                </c:pt>
                <c:pt idx="2">
                  <c:v>17935</c:v>
                </c:pt>
                <c:pt idx="3">
                  <c:v>20268</c:v>
                </c:pt>
                <c:pt idx="4">
                  <c:v>20471</c:v>
                </c:pt>
                <c:pt idx="5">
                  <c:v>25093</c:v>
                </c:pt>
                <c:pt idx="6">
                  <c:v>29503</c:v>
                </c:pt>
                <c:pt idx="8">
                  <c:v>35107</c:v>
                </c:pt>
                <c:pt idx="9">
                  <c:v>35509.28571428571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9C7-428B-B8FE-F81832291C2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0000"/>
              </a:solidFill>
              <a:ln w="9525">
                <a:noFill/>
              </a:ln>
              <a:effectLst/>
            </c:spPr>
          </c:upBars>
          <c:downBars>
            <c:spPr>
              <a:solidFill>
                <a:srgbClr val="C00000"/>
              </a:solidFill>
              <a:ln w="9525">
                <a:noFill/>
              </a:ln>
              <a:effectLst/>
            </c:spPr>
          </c:downBars>
        </c:upDownBars>
        <c:marker val="1"/>
        <c:smooth val="0"/>
        <c:axId val="618894111"/>
        <c:axId val="618894591"/>
      </c:lineChart>
      <c:scatterChart>
        <c:scatterStyle val="lineMarker"/>
        <c:varyColors val="0"/>
        <c:ser>
          <c:idx val="3"/>
          <c:order val="3"/>
          <c:tx>
            <c:v>label place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E802FEEC-3F28-4F1A-901F-8D35C73FA251}" type="CELLRANGE">
                      <a:rPr lang="en-US"/>
                      <a:pPr/>
                      <a:t>[ZAKRES KOMÓREK]</a:t>
                    </a:fld>
                    <a:endParaRPr lang="pl-PL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C9C7-428B-B8FE-F81832291C2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B9288EAB-3175-4960-9DFA-65C4F03042BE}" type="CELLRANGE">
                      <a:rPr lang="pl-PL"/>
                      <a:pPr/>
                      <a:t>[ZAKRES KOMÓREK]</a:t>
                    </a:fld>
                    <a:endParaRPr lang="pl-PL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C9C7-428B-B8FE-F81832291C2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9152514F-00E6-4EA5-BBE1-272F42C107C5}" type="CELLRANGE">
                      <a:rPr lang="pl-PL"/>
                      <a:pPr/>
                      <a:t>[ZAKRES KOMÓREK]</a:t>
                    </a:fld>
                    <a:endParaRPr lang="pl-PL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C9C7-428B-B8FE-F81832291C2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E8C3B19A-334E-44B9-ADED-E68CC9FAB3C6}" type="CELLRANGE">
                      <a:rPr lang="pl-PL"/>
                      <a:pPr/>
                      <a:t>[ZAKRES KOMÓREK]</a:t>
                    </a:fld>
                    <a:endParaRPr lang="pl-PL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C9C7-428B-B8FE-F81832291C2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29C53C8C-0812-4DAD-BA76-E57F8B3DEF94}" type="CELLRANGE">
                      <a:rPr lang="pl-PL"/>
                      <a:pPr/>
                      <a:t>[ZAKRES KOMÓREK]</a:t>
                    </a:fld>
                    <a:endParaRPr lang="pl-PL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C9C7-428B-B8FE-F81832291C21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E3FA9901-1C8A-4D57-808D-C7C17B021B4C}" type="CELLRANGE">
                      <a:rPr lang="pl-PL"/>
                      <a:pPr/>
                      <a:t>[ZAKRES KOMÓREK]</a:t>
                    </a:fld>
                    <a:endParaRPr lang="pl-PL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C9C7-428B-B8FE-F81832291C21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A0240BF6-23A4-408A-86F4-92785E3DB987}" type="CELLRANGE">
                      <a:rPr lang="pl-PL"/>
                      <a:pPr/>
                      <a:t>[ZAKRES KOMÓREK]</a:t>
                    </a:fld>
                    <a:endParaRPr lang="pl-PL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C9C7-428B-B8FE-F81832291C21}"/>
                </c:ext>
              </c:extLst>
            </c:dLbl>
            <c:dLbl>
              <c:idx val="7"/>
              <c:layout>
                <c:manualLayout>
                  <c:x val="-4.0722280430535426E-2"/>
                  <c:y val="-4.6188800614143523E-2"/>
                </c:manualLayout>
              </c:layout>
              <c:tx>
                <c:rich>
                  <a:bodyPr/>
                  <a:lstStyle/>
                  <a:p>
                    <a:fld id="{0DBD8941-D87F-4342-8A34-97D3EDC314A4}" type="CELLRANGE">
                      <a:rPr lang="en-US"/>
                      <a:pPr/>
                      <a:t>[ZAKRES KOMÓREK]</a:t>
                    </a:fld>
                    <a:endParaRPr lang="pl-PL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C9C7-428B-B8FE-F81832291C21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0BC3DFDE-DBAE-4235-94A5-853D62E2D873}" type="CELLRANGE">
                      <a:rPr lang="pl-PL"/>
                      <a:pPr/>
                      <a:t>[ZAKRES KOMÓREK]</a:t>
                    </a:fld>
                    <a:endParaRPr lang="pl-PL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C9C7-428B-B8FE-F81832291C21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D0D268EC-6B4B-4B0E-9DAB-E69B2B6B1D0E}" type="CELLRANGE">
                      <a:rPr lang="pl-PL"/>
                      <a:pPr/>
                      <a:t>[ZAKRES KOMÓREK]</a:t>
                    </a:fld>
                    <a:endParaRPr lang="pl-PL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C9C7-428B-B8FE-F81832291C21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85D7CE65-5080-4F36-AEA3-2F01086A13A3}" type="CELLRANGE">
                      <a:rPr lang="pl-PL"/>
                      <a:pPr/>
                      <a:t>[ZAKRES KOMÓREK]</a:t>
                    </a:fld>
                    <a:endParaRPr lang="pl-PL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C9C7-428B-B8FE-F81832291C2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yVal>
            <c:numRef>
              <c:f>Ratios!$T$17:$T$27</c:f>
              <c:numCache>
                <c:formatCode>#,##0</c:formatCode>
                <c:ptCount val="11"/>
                <c:pt idx="0">
                  <c:v>16547</c:v>
                </c:pt>
                <c:pt idx="1">
                  <c:v>17935</c:v>
                </c:pt>
                <c:pt idx="2">
                  <c:v>20268</c:v>
                </c:pt>
                <c:pt idx="3">
                  <c:v>20471</c:v>
                </c:pt>
                <c:pt idx="4">
                  <c:v>25093</c:v>
                </c:pt>
                <c:pt idx="5">
                  <c:v>29503</c:v>
                </c:pt>
                <c:pt idx="6">
                  <c:v>35107</c:v>
                </c:pt>
                <c:pt idx="7">
                  <c:v>35107</c:v>
                </c:pt>
                <c:pt idx="8">
                  <c:v>35509.28571428571</c:v>
                </c:pt>
                <c:pt idx="9">
                  <c:v>38496.46428571429</c:v>
                </c:pt>
                <c:pt idx="10">
                  <c:v>38496.46428571429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Ratios!$U$17:$U$27</c15:f>
                <c15:dlblRangeCache>
                  <c:ptCount val="11"/>
                  <c:pt idx="0">
                    <c:v>16 547</c:v>
                  </c:pt>
                  <c:pt idx="1">
                    <c:v>1 388</c:v>
                  </c:pt>
                  <c:pt idx="2">
                    <c:v>2 333</c:v>
                  </c:pt>
                  <c:pt idx="3">
                    <c:v>203</c:v>
                  </c:pt>
                  <c:pt idx="4">
                    <c:v>4 622</c:v>
                  </c:pt>
                  <c:pt idx="5">
                    <c:v>4 410</c:v>
                  </c:pt>
                  <c:pt idx="6">
                    <c:v>5 604</c:v>
                  </c:pt>
                  <c:pt idx="7">
                    <c:v>35 107</c:v>
                  </c:pt>
                  <c:pt idx="8">
                    <c:v>402</c:v>
                  </c:pt>
                  <c:pt idx="9">
                    <c:v>2 987</c:v>
                  </c:pt>
                  <c:pt idx="10">
                    <c:v>38 496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E-C9C7-428B-B8FE-F81832291C2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618894111"/>
        <c:axId val="618894591"/>
      </c:scatterChart>
      <c:catAx>
        <c:axId val="6188941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18894591"/>
        <c:crosses val="autoZero"/>
        <c:auto val="1"/>
        <c:lblAlgn val="ctr"/>
        <c:lblOffset val="100"/>
        <c:noMultiLvlLbl val="0"/>
      </c:catAx>
      <c:valAx>
        <c:axId val="618894591"/>
        <c:scaling>
          <c:orientation val="minMax"/>
        </c:scaling>
        <c:delete val="1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crossAx val="618894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[Ratio Analysis KGHM Dashboard.xlsx]Ratios!Tabela przestawna1</c:name>
    <c:fmtId val="3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>
              <a:lumMod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6">
              <a:lumMod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6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>
              <a:lumMod val="50000"/>
            </a:schemeClr>
          </a:solidFill>
          <a:ln>
            <a:noFill/>
          </a:ln>
          <a:effectLst/>
        </c:spPr>
      </c:pivotFmt>
      <c:pivotFmt>
        <c:idx val="25"/>
        <c:spPr>
          <a:solidFill>
            <a:schemeClr val="accent6">
              <a:lumMod val="50000"/>
            </a:schemeClr>
          </a:solidFill>
          <a:ln>
            <a:noFill/>
          </a:ln>
          <a:effectLst/>
        </c:spPr>
      </c:pivotFmt>
      <c:pivotFmt>
        <c:idx val="26"/>
        <c:spPr>
          <a:solidFill>
            <a:schemeClr val="accent1">
              <a:lumMod val="75000"/>
            </a:schemeClr>
          </a:solidFill>
          <a:ln>
            <a:noFill/>
          </a:ln>
          <a:effectLst/>
        </c:spPr>
      </c:pivotFmt>
      <c:pivotFmt>
        <c:idx val="27"/>
        <c:spPr>
          <a:solidFill>
            <a:schemeClr val="accent1">
              <a:lumMod val="40000"/>
              <a:lumOff val="60000"/>
            </a:schemeClr>
          </a:solidFill>
          <a:ln>
            <a:noFill/>
          </a:ln>
          <a:effectLst/>
        </c:spPr>
      </c:pivotFmt>
      <c:pivotFmt>
        <c:idx val="28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6.0493982725089594E-2"/>
          <c:y val="9.1046608199898668E-2"/>
          <c:w val="0.66651332668943886"/>
          <c:h val="0.846323758920046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Ratios!$AH$17</c:f>
              <c:strCache>
                <c:ptCount val="1"/>
                <c:pt idx="0">
                  <c:v>Total Debt Ratio KGHM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Ratios!$AG$18</c:f>
              <c:strCache>
                <c:ptCount val="1"/>
                <c:pt idx="0">
                  <c:v>2023</c:v>
                </c:pt>
              </c:strCache>
            </c:strRef>
          </c:cat>
          <c:val>
            <c:numRef>
              <c:f>Ratios!$AH$18</c:f>
              <c:numCache>
                <c:formatCode>0.00</c:formatCode>
                <c:ptCount val="1"/>
                <c:pt idx="0">
                  <c:v>0.44281182492263976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09BA-414E-A4CA-C6AE0F0D8925}"/>
            </c:ext>
          </c:extLst>
        </c:ser>
        <c:ser>
          <c:idx val="1"/>
          <c:order val="1"/>
          <c:tx>
            <c:strRef>
              <c:f>Ratios!$AI$17</c:f>
              <c:strCache>
                <c:ptCount val="1"/>
                <c:pt idx="0">
                  <c:v>Total Debt Ratio Top40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Ratios!$AG$18</c:f>
              <c:strCache>
                <c:ptCount val="1"/>
                <c:pt idx="0">
                  <c:v>2023</c:v>
                </c:pt>
              </c:strCache>
            </c:strRef>
          </c:cat>
          <c:val>
            <c:numRef>
              <c:f>Ratios!$AI$18</c:f>
              <c:numCache>
                <c:formatCode>0.00</c:formatCode>
                <c:ptCount val="1"/>
                <c:pt idx="0">
                  <c:v>0.4860248447204969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09BA-414E-A4CA-C6AE0F0D8925}"/>
            </c:ext>
          </c:extLst>
        </c:ser>
        <c:ser>
          <c:idx val="2"/>
          <c:order val="2"/>
          <c:tx>
            <c:strRef>
              <c:f>Ratios!$AJ$17</c:f>
              <c:strCache>
                <c:ptCount val="1"/>
                <c:pt idx="0">
                  <c:v>Long-Term Debt Ratio KGHM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Ratios!$AG$18</c:f>
              <c:strCache>
                <c:ptCount val="1"/>
                <c:pt idx="0">
                  <c:v>2023</c:v>
                </c:pt>
              </c:strCache>
            </c:strRef>
          </c:cat>
          <c:val>
            <c:numRef>
              <c:f>Ratios!$AJ$18</c:f>
              <c:numCache>
                <c:formatCode>0.00</c:formatCode>
                <c:ptCount val="1"/>
                <c:pt idx="0">
                  <c:v>0.38896262661543834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09BA-414E-A4CA-C6AE0F0D8925}"/>
            </c:ext>
          </c:extLst>
        </c:ser>
        <c:ser>
          <c:idx val="3"/>
          <c:order val="3"/>
          <c:tx>
            <c:strRef>
              <c:f>Ratios!$AK$17</c:f>
              <c:strCache>
                <c:ptCount val="1"/>
                <c:pt idx="0">
                  <c:v>Long-Term Debt Ratio Top40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Ratios!$AG$18</c:f>
              <c:strCache>
                <c:ptCount val="1"/>
                <c:pt idx="0">
                  <c:v>2023</c:v>
                </c:pt>
              </c:strCache>
            </c:strRef>
          </c:cat>
          <c:val>
            <c:numRef>
              <c:f>Ratios!$AK$18</c:f>
              <c:numCache>
                <c:formatCode>0.00</c:formatCode>
                <c:ptCount val="1"/>
                <c:pt idx="0">
                  <c:v>0.595166163141994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09BA-414E-A4CA-C6AE0F0D8925}"/>
            </c:ext>
          </c:extLst>
        </c:ser>
        <c:ser>
          <c:idx val="4"/>
          <c:order val="4"/>
          <c:tx>
            <c:strRef>
              <c:f>Ratios!$AL$17</c:f>
              <c:strCache>
                <c:ptCount val="1"/>
                <c:pt idx="0">
                  <c:v>Debt to Equity Ratio KGHM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Ratios!$AG$18</c:f>
              <c:strCache>
                <c:ptCount val="1"/>
                <c:pt idx="0">
                  <c:v>2023</c:v>
                </c:pt>
              </c:strCache>
            </c:strRef>
          </c:cat>
          <c:val>
            <c:numRef>
              <c:f>Ratios!$AL$18</c:f>
              <c:numCache>
                <c:formatCode>0.00</c:formatCode>
                <c:ptCount val="1"/>
                <c:pt idx="0">
                  <c:v>0.7947258120852253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09BA-414E-A4CA-C6AE0F0D8925}"/>
            </c:ext>
          </c:extLst>
        </c:ser>
        <c:ser>
          <c:idx val="5"/>
          <c:order val="5"/>
          <c:tx>
            <c:strRef>
              <c:f>Ratios!$AM$17</c:f>
              <c:strCache>
                <c:ptCount val="1"/>
                <c:pt idx="0">
                  <c:v>Debt to Equity Ratio Top40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Ratios!$AG$18</c:f>
              <c:strCache>
                <c:ptCount val="1"/>
                <c:pt idx="0">
                  <c:v>2023</c:v>
                </c:pt>
              </c:strCache>
            </c:strRef>
          </c:cat>
          <c:val>
            <c:numRef>
              <c:f>Ratios!$AM$18</c:f>
              <c:numCache>
                <c:formatCode>0.00</c:formatCode>
                <c:ptCount val="1"/>
                <c:pt idx="0">
                  <c:v>0.94561933534743203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09BA-414E-A4CA-C6AE0F0D8925}"/>
            </c:ext>
          </c:extLst>
        </c:ser>
        <c:ser>
          <c:idx val="6"/>
          <c:order val="6"/>
          <c:tx>
            <c:strRef>
              <c:f>Ratios!$AN$17</c:f>
              <c:strCache>
                <c:ptCount val="1"/>
                <c:pt idx="0">
                  <c:v>Leverage of Debt Capital KGHM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Ratios!$AG$18</c:f>
              <c:strCache>
                <c:ptCount val="1"/>
                <c:pt idx="0">
                  <c:v>2023</c:v>
                </c:pt>
              </c:strCache>
            </c:strRef>
          </c:cat>
          <c:val>
            <c:numRef>
              <c:f>Ratios!$AN$18</c:f>
              <c:numCache>
                <c:formatCode>0.00</c:formatCode>
                <c:ptCount val="1"/>
                <c:pt idx="0">
                  <c:v>1.6977316818385315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09BA-414E-A4CA-C6AE0F0D8925}"/>
            </c:ext>
          </c:extLst>
        </c:ser>
        <c:ser>
          <c:idx val="7"/>
          <c:order val="7"/>
          <c:tx>
            <c:strRef>
              <c:f>Ratios!$AO$17</c:f>
              <c:strCache>
                <c:ptCount val="1"/>
                <c:pt idx="0">
                  <c:v>Leverage of Debt Capital Top40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Ratios!$AG$18</c:f>
              <c:strCache>
                <c:ptCount val="1"/>
                <c:pt idx="0">
                  <c:v>2023</c:v>
                </c:pt>
              </c:strCache>
            </c:strRef>
          </c:cat>
          <c:val>
            <c:numRef>
              <c:f>Ratios!$AO$18</c:f>
              <c:numCache>
                <c:formatCode>0.00</c:formatCode>
                <c:ptCount val="1"/>
                <c:pt idx="0">
                  <c:v>1.7197802197802199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09BA-414E-A4CA-C6AE0F0D89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11121023"/>
        <c:axId val="1211121503"/>
      </c:barChart>
      <c:catAx>
        <c:axId val="1211121023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211121503"/>
        <c:crosses val="autoZero"/>
        <c:auto val="1"/>
        <c:lblAlgn val="ctr"/>
        <c:lblOffset val="100"/>
        <c:noMultiLvlLbl val="0"/>
      </c:catAx>
      <c:valAx>
        <c:axId val="1211121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211121023"/>
        <c:crosses val="autoZero"/>
        <c:crossBetween val="between"/>
        <c:majorUnit val="0.25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3060581280497727"/>
          <c:y val="0.2969916176837808"/>
          <c:w val="0.21848568925999548"/>
          <c:h val="0.395513439519509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userShapes r:id="rId3"/>
  <c:extLst>
    <c:ext xmlns:c14="http://schemas.microsoft.com/office/drawing/2007/8/2/chart" uri="{781A3756-C4B2-4CAC-9D66-4F8BD8637D16}">
      <c14:pivotOptions>
        <c14:dropZoneFilter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Ratios!$AQ$17</c:f>
              <c:strCache>
                <c:ptCount val="1"/>
                <c:pt idx="0">
                  <c:v>KGHM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Ratios!$AP$18:$AP$24</c:f>
              <c:numCache>
                <c:formatCode>General</c:formatCode>
                <c:ptCount val="7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</c:numCache>
            </c:numRef>
          </c:cat>
          <c:val>
            <c:numRef>
              <c:f>Ratios!$AQ$18:$AQ$24</c:f>
              <c:numCache>
                <c:formatCode>0.00</c:formatCode>
                <c:ptCount val="7"/>
                <c:pt idx="0">
                  <c:v>4.4625164401578257</c:v>
                </c:pt>
                <c:pt idx="1">
                  <c:v>4.1192052980132452</c:v>
                </c:pt>
                <c:pt idx="2">
                  <c:v>4.7928707023834631</c:v>
                </c:pt>
                <c:pt idx="3">
                  <c:v>5.2998430141287285</c:v>
                </c:pt>
                <c:pt idx="4">
                  <c:v>4.7030140445005522</c:v>
                </c:pt>
                <c:pt idx="5">
                  <c:v>3.8021792855538084</c:v>
                </c:pt>
                <c:pt idx="6">
                  <c:v>3.9723442136498517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A1-4041-A00B-0B45961F80DD}"/>
            </c:ext>
          </c:extLst>
        </c:ser>
        <c:ser>
          <c:idx val="1"/>
          <c:order val="1"/>
          <c:tx>
            <c:strRef>
              <c:f>Ratios!$AR$17</c:f>
              <c:strCache>
                <c:ptCount val="1"/>
                <c:pt idx="0">
                  <c:v>TOP40 Companies in mining sector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Ratios!$AP$18:$AP$24</c:f>
              <c:numCache>
                <c:formatCode>General</c:formatCode>
                <c:ptCount val="7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</c:numCache>
            </c:numRef>
          </c:cat>
          <c:val>
            <c:numRef>
              <c:f>Ratios!$AR$18:$AR$24</c:f>
              <c:numCache>
                <c:formatCode>0.00</c:formatCode>
                <c:ptCount val="7"/>
                <c:pt idx="0">
                  <c:v>5.7341772151898738</c:v>
                </c:pt>
                <c:pt idx="1">
                  <c:v>6.3506493506493502</c:v>
                </c:pt>
                <c:pt idx="2">
                  <c:v>6.3253012048192767</c:v>
                </c:pt>
                <c:pt idx="3">
                  <c:v>6.264367816091954</c:v>
                </c:pt>
                <c:pt idx="4">
                  <c:v>7.3367346938775508</c:v>
                </c:pt>
                <c:pt idx="5">
                  <c:v>7.2551020408163263</c:v>
                </c:pt>
                <c:pt idx="6">
                  <c:v>6.4134615384615383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1A1-4041-A00B-0B45961F80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18337743"/>
        <c:axId val="718339183"/>
      </c:barChart>
      <c:catAx>
        <c:axId val="7183377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18339183"/>
        <c:crosses val="autoZero"/>
        <c:auto val="1"/>
        <c:lblAlgn val="ctr"/>
        <c:lblOffset val="100"/>
        <c:noMultiLvlLbl val="0"/>
      </c:catAx>
      <c:valAx>
        <c:axId val="718339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183377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2.svg"/><Relationship Id="rId3" Type="http://schemas.openxmlformats.org/officeDocument/2006/relationships/chart" Target="../charts/chart3.xml"/><Relationship Id="rId7" Type="http://schemas.openxmlformats.org/officeDocument/2006/relationships/image" Target="../media/image1.png"/><Relationship Id="rId12" Type="http://schemas.openxmlformats.org/officeDocument/2006/relationships/image" Target="../media/image4.svg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hyperlink" Target="#Ratios!A1"/><Relationship Id="rId11" Type="http://schemas.openxmlformats.org/officeDocument/2006/relationships/image" Target="../media/image3.png"/><Relationship Id="rId5" Type="http://schemas.openxmlformats.org/officeDocument/2006/relationships/chart" Target="../charts/chart5.xml"/><Relationship Id="rId10" Type="http://schemas.openxmlformats.org/officeDocument/2006/relationships/hyperlink" Target="mailto:adrianrybinski2000@gmail.com" TargetMode="External"/><Relationship Id="rId4" Type="http://schemas.openxmlformats.org/officeDocument/2006/relationships/chart" Target="../charts/chart4.xml"/><Relationship Id="rId9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137582</xdr:colOff>
      <xdr:row>4</xdr:row>
      <xdr:rowOff>78952</xdr:rowOff>
    </xdr:from>
    <xdr:to>
      <xdr:col>29</xdr:col>
      <xdr:colOff>201083</xdr:colOff>
      <xdr:row>22</xdr:row>
      <xdr:rowOff>116418</xdr:rowOff>
    </xdr:to>
    <xdr:graphicFrame macro="">
      <xdr:nvGraphicFramePr>
        <xdr:cNvPr id="5" name="Wykres 4">
          <a:extLst>
            <a:ext uri="{FF2B5EF4-FFF2-40B4-BE49-F238E27FC236}">
              <a16:creationId xmlns:a16="http://schemas.microsoft.com/office/drawing/2014/main" id="{21D0D415-BBC9-48F8-8C3A-583C1329A7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14</xdr:col>
      <xdr:colOff>509116</xdr:colOff>
      <xdr:row>7</xdr:row>
      <xdr:rowOff>89117</xdr:rowOff>
    </xdr:from>
    <xdr:to>
      <xdr:col>17</xdr:col>
      <xdr:colOff>497686</xdr:colOff>
      <xdr:row>20</xdr:row>
      <xdr:rowOff>5298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Year">
              <a:extLst>
                <a:ext uri="{FF2B5EF4-FFF2-40B4-BE49-F238E27FC236}">
                  <a16:creationId xmlns:a16="http://schemas.microsoft.com/office/drawing/2014/main" id="{8A062ACD-1A57-49CB-B6BA-52BEF8E3CC3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Year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594783" y="1422617"/>
              <a:ext cx="1766570" cy="239268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l-PL" sz="1100"/>
                <a:t>Ten kształt odzwierciedla fragmentator. Fragmentatory są obsługiwane w programie Excel 2010 i nowszych wersjach.
Jeśli kształt został zmodyfikowany w starszej wersji programu Excel lub jeśli skoroszyt został zapisany w programie Excel 2003 albo starszej wersji, korzystanie z fragmentatora jest niemożliwe.</a:t>
              </a:r>
            </a:p>
          </xdr:txBody>
        </xdr:sp>
      </mc:Fallback>
    </mc:AlternateContent>
    <xdr:clientData/>
  </xdr:twoCellAnchor>
  <xdr:twoCellAnchor>
    <xdr:from>
      <xdr:col>2</xdr:col>
      <xdr:colOff>1</xdr:colOff>
      <xdr:row>6</xdr:row>
      <xdr:rowOff>31377</xdr:rowOff>
    </xdr:from>
    <xdr:to>
      <xdr:col>14</xdr:col>
      <xdr:colOff>465666</xdr:colOff>
      <xdr:row>22</xdr:row>
      <xdr:rowOff>127001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C2A21CA5-918D-4237-80B7-CD4C67E52B4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259106</xdr:colOff>
      <xdr:row>1</xdr:row>
      <xdr:rowOff>31749</xdr:rowOff>
    </xdr:from>
    <xdr:to>
      <xdr:col>28</xdr:col>
      <xdr:colOff>1</xdr:colOff>
      <xdr:row>3</xdr:row>
      <xdr:rowOff>169334</xdr:rowOff>
    </xdr:to>
    <xdr:sp macro="" textlink="Ratios!D3">
      <xdr:nvSpPr>
        <xdr:cNvPr id="6" name="Prostokąt: zaokrąglone rogi 5">
          <a:extLst>
            <a:ext uri="{FF2B5EF4-FFF2-40B4-BE49-F238E27FC236}">
              <a16:creationId xmlns:a16="http://schemas.microsoft.com/office/drawing/2014/main" id="{578442AB-EA85-FA7A-4A14-C670B9E9AF81}"/>
            </a:ext>
          </a:extLst>
        </xdr:cNvPr>
        <xdr:cNvSpPr/>
      </xdr:nvSpPr>
      <xdr:spPr>
        <a:xfrm>
          <a:off x="11308106" y="222249"/>
          <a:ext cx="5074895" cy="518585"/>
        </a:xfrm>
        <a:prstGeom prst="roundRect">
          <a:avLst/>
        </a:prstGeom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fld id="{6065CC8A-AEE3-4ED5-BF05-90D44121BF85}" type="TxLink">
            <a:rPr lang="en-US" sz="1400" b="1" i="0" u="none" strike="noStrike">
              <a:solidFill>
                <a:srgbClr val="5E822E"/>
              </a:solidFill>
              <a:latin typeface="Calibri"/>
              <a:ea typeface="Calibri"/>
              <a:cs typeface="Calibri"/>
            </a:rPr>
            <a:pPr algn="ctr"/>
            <a:t>KGHM Revenues 2017-2023 Actual and 2024-2025 Excel Forecast</a:t>
          </a:fld>
          <a:endParaRPr lang="pl-PL" sz="1400" b="1">
            <a:solidFill>
              <a:srgbClr val="5E822E"/>
            </a:solidFill>
          </a:endParaRPr>
        </a:p>
      </xdr:txBody>
    </xdr:sp>
    <xdr:clientData/>
  </xdr:twoCellAnchor>
  <xdr:twoCellAnchor>
    <xdr:from>
      <xdr:col>31</xdr:col>
      <xdr:colOff>42334</xdr:colOff>
      <xdr:row>33</xdr:row>
      <xdr:rowOff>70849</xdr:rowOff>
    </xdr:from>
    <xdr:to>
      <xdr:col>41</xdr:col>
      <xdr:colOff>571501</xdr:colOff>
      <xdr:row>52</xdr:row>
      <xdr:rowOff>95250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068AA847-31A7-4112-8A11-F696066A95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96140</xdr:colOff>
      <xdr:row>1</xdr:row>
      <xdr:rowOff>12955</xdr:rowOff>
    </xdr:from>
    <xdr:to>
      <xdr:col>14</xdr:col>
      <xdr:colOff>0</xdr:colOff>
      <xdr:row>3</xdr:row>
      <xdr:rowOff>148166</xdr:rowOff>
    </xdr:to>
    <xdr:sp macro="" textlink="Ratios!M2">
      <xdr:nvSpPr>
        <xdr:cNvPr id="8" name="Prostokąt: zaokrąglone rogi 7">
          <a:extLst>
            <a:ext uri="{FF2B5EF4-FFF2-40B4-BE49-F238E27FC236}">
              <a16:creationId xmlns:a16="http://schemas.microsoft.com/office/drawing/2014/main" id="{243F24D5-A043-4C3F-B769-DF56FF4D8FDE}"/>
            </a:ext>
          </a:extLst>
        </xdr:cNvPr>
        <xdr:cNvSpPr/>
      </xdr:nvSpPr>
      <xdr:spPr>
        <a:xfrm>
          <a:off x="2847807" y="203455"/>
          <a:ext cx="5237860" cy="516211"/>
        </a:xfrm>
        <a:prstGeom prst="roundRect">
          <a:avLst/>
        </a:prstGeom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fld id="{04ADF9A0-6DA7-4B27-91CE-07BE581574E5}" type="TxLink">
            <a:rPr lang="en-US" sz="1400" b="1" i="0" u="none" strike="noStrike">
              <a:solidFill>
                <a:srgbClr val="5E822E"/>
              </a:solidFill>
              <a:latin typeface="Calibri"/>
              <a:ea typeface="Calibri"/>
              <a:cs typeface="Calibri"/>
            </a:rPr>
            <a:pPr algn="ctr"/>
            <a:t>Profitability Ratios KGHM vs. Top 40 Global Mining Companies</a:t>
          </a:fld>
          <a:endParaRPr lang="pl-PL" sz="1400" b="1">
            <a:solidFill>
              <a:srgbClr val="5E822E"/>
            </a:solidFill>
          </a:endParaRPr>
        </a:p>
      </xdr:txBody>
    </xdr:sp>
    <xdr:clientData/>
  </xdr:twoCellAnchor>
  <xdr:twoCellAnchor>
    <xdr:from>
      <xdr:col>30</xdr:col>
      <xdr:colOff>232834</xdr:colOff>
      <xdr:row>4</xdr:row>
      <xdr:rowOff>84667</xdr:rowOff>
    </xdr:from>
    <xdr:to>
      <xdr:col>41</xdr:col>
      <xdr:colOff>465666</xdr:colOff>
      <xdr:row>22</xdr:row>
      <xdr:rowOff>179917</xdr:rowOff>
    </xdr:to>
    <xdr:graphicFrame macro="">
      <xdr:nvGraphicFramePr>
        <xdr:cNvPr id="9" name="Wykres 8">
          <a:extLst>
            <a:ext uri="{FF2B5EF4-FFF2-40B4-BE49-F238E27FC236}">
              <a16:creationId xmlns:a16="http://schemas.microsoft.com/office/drawing/2014/main" id="{442464F2-1E76-4FCA-8442-FD25E4EB16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31</xdr:col>
      <xdr:colOff>138204</xdr:colOff>
      <xdr:row>0</xdr:row>
      <xdr:rowOff>163731</xdr:rowOff>
    </xdr:from>
    <xdr:to>
      <xdr:col>41</xdr:col>
      <xdr:colOff>52480</xdr:colOff>
      <xdr:row>4</xdr:row>
      <xdr:rowOff>49431</xdr:rowOff>
    </xdr:to>
    <xdr:sp macro="" textlink="Ratios!P15">
      <xdr:nvSpPr>
        <xdr:cNvPr id="10" name="Prostokąt: zaokrąglone rogi 9">
          <a:extLst>
            <a:ext uri="{FF2B5EF4-FFF2-40B4-BE49-F238E27FC236}">
              <a16:creationId xmlns:a16="http://schemas.microsoft.com/office/drawing/2014/main" id="{05D5115D-78A8-4A70-B6AA-E5F62320D35B}"/>
            </a:ext>
          </a:extLst>
        </xdr:cNvPr>
        <xdr:cNvSpPr/>
      </xdr:nvSpPr>
      <xdr:spPr>
        <a:xfrm>
          <a:off x="18299204" y="163731"/>
          <a:ext cx="5840943" cy="647700"/>
        </a:xfrm>
        <a:prstGeom prst="roundRect">
          <a:avLst/>
        </a:prstGeom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fld id="{1A129F09-CFE3-4AF5-8BED-339B95F5C62F}" type="TxLink">
            <a:rPr lang="en-US" sz="1400" b="1" i="0" u="none" strike="noStrike">
              <a:solidFill>
                <a:srgbClr val="5E822E"/>
              </a:solidFill>
              <a:latin typeface="Calibri"/>
              <a:ea typeface="Calibri"/>
              <a:cs typeface="Calibri"/>
            </a:rPr>
            <a:pPr algn="ctr"/>
            <a:t>KGHM Cost of Goods Sold + Selling And Administrative Expenses 2017-2023 Actual and 2024-2025 Excel Forecast</a:t>
          </a:fld>
          <a:endParaRPr lang="pl-PL" sz="1400" b="1">
            <a:solidFill>
              <a:srgbClr val="5E822E"/>
            </a:solidFill>
          </a:endParaRPr>
        </a:p>
      </xdr:txBody>
    </xdr:sp>
    <xdr:clientData/>
  </xdr:twoCellAnchor>
  <xdr:twoCellAnchor>
    <xdr:from>
      <xdr:col>2</xdr:col>
      <xdr:colOff>78224</xdr:colOff>
      <xdr:row>30</xdr:row>
      <xdr:rowOff>438182</xdr:rowOff>
    </xdr:from>
    <xdr:to>
      <xdr:col>14</xdr:col>
      <xdr:colOff>306916</xdr:colOff>
      <xdr:row>51</xdr:row>
      <xdr:rowOff>84667</xdr:rowOff>
    </xdr:to>
    <xdr:graphicFrame macro="">
      <xdr:nvGraphicFramePr>
        <xdr:cNvPr id="7" name="Wykres 6">
          <a:extLst>
            <a:ext uri="{FF2B5EF4-FFF2-40B4-BE49-F238E27FC236}">
              <a16:creationId xmlns:a16="http://schemas.microsoft.com/office/drawing/2014/main" id="{96557C12-813C-4CBA-9849-95CDB46999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14</xdr:col>
      <xdr:colOff>449390</xdr:colOff>
      <xdr:row>35</xdr:row>
      <xdr:rowOff>22677</xdr:rowOff>
    </xdr:from>
    <xdr:to>
      <xdr:col>17</xdr:col>
      <xdr:colOff>496454</xdr:colOff>
      <xdr:row>48</xdr:row>
      <xdr:rowOff>70302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2" name="Year 1">
              <a:extLst>
                <a:ext uri="{FF2B5EF4-FFF2-40B4-BE49-F238E27FC236}">
                  <a16:creationId xmlns:a16="http://schemas.microsoft.com/office/drawing/2014/main" id="{66D4D5BA-BCCA-4DE2-8BDF-78EA32D0331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Year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535057" y="6965344"/>
              <a:ext cx="1825064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l-PL" sz="1100"/>
                <a:t>Ten kształt odzwierciedla fragmentator. Fragmentatory są obsługiwane w programie Excel 2010 i nowszych wersjach.
Jeśli kształt został zmodyfikowany w starszej wersji programu Excel lub jeśli skoroszyt został zapisany w programie Excel 2003 albo starszej wersji, korzystanie z fragmentatora jest niemożliwe.</a:t>
              </a:r>
            </a:p>
          </xdr:txBody>
        </xdr:sp>
      </mc:Fallback>
    </mc:AlternateContent>
    <xdr:clientData/>
  </xdr:twoCellAnchor>
  <xdr:twoCellAnchor>
    <xdr:from>
      <xdr:col>4</xdr:col>
      <xdr:colOff>584481</xdr:colOff>
      <xdr:row>29</xdr:row>
      <xdr:rowOff>158749</xdr:rowOff>
    </xdr:from>
    <xdr:to>
      <xdr:col>13</xdr:col>
      <xdr:colOff>476250</xdr:colOff>
      <xdr:row>31</xdr:row>
      <xdr:rowOff>1605</xdr:rowOff>
    </xdr:to>
    <xdr:sp macro="" textlink="Ratios!AG2">
      <xdr:nvSpPr>
        <xdr:cNvPr id="13" name="Prostokąt: zaokrąglone rogi 12">
          <a:extLst>
            <a:ext uri="{FF2B5EF4-FFF2-40B4-BE49-F238E27FC236}">
              <a16:creationId xmlns:a16="http://schemas.microsoft.com/office/drawing/2014/main" id="{5D2B3286-DAB8-49F5-A16E-E7C460DA5F04}"/>
            </a:ext>
          </a:extLst>
        </xdr:cNvPr>
        <xdr:cNvSpPr/>
      </xdr:nvSpPr>
      <xdr:spPr>
        <a:xfrm>
          <a:off x="2743481" y="5683249"/>
          <a:ext cx="5225769" cy="499023"/>
        </a:xfrm>
        <a:prstGeom prst="roundRect">
          <a:avLst/>
        </a:prstGeom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fld id="{88B4AE3B-A74F-4640-B43E-362689736091}" type="TxLink">
            <a:rPr lang="en-US" sz="1400" b="1" i="0" u="none" strike="noStrike">
              <a:solidFill>
                <a:srgbClr val="5E822E"/>
              </a:solidFill>
              <a:latin typeface="Calibri"/>
              <a:ea typeface="Calibri"/>
              <a:cs typeface="Calibri"/>
            </a:rPr>
            <a:pPr algn="ctr"/>
            <a:t>Debt Ratios KGHM vs. Top 40 Global Mining Companies</a:t>
          </a:fld>
          <a:endParaRPr lang="pl-PL" sz="1400" b="1">
            <a:solidFill>
              <a:srgbClr val="5E822E"/>
            </a:solidFill>
          </a:endParaRPr>
        </a:p>
      </xdr:txBody>
    </xdr:sp>
    <xdr:clientData/>
  </xdr:twoCellAnchor>
  <xdr:twoCellAnchor editAs="oneCell">
    <xdr:from>
      <xdr:col>0</xdr:col>
      <xdr:colOff>31750</xdr:colOff>
      <xdr:row>3</xdr:row>
      <xdr:rowOff>158750</xdr:rowOff>
    </xdr:from>
    <xdr:to>
      <xdr:col>1</xdr:col>
      <xdr:colOff>462038</xdr:colOff>
      <xdr:row>8</xdr:row>
      <xdr:rowOff>140478</xdr:rowOff>
    </xdr:to>
    <xdr:pic>
      <xdr:nvPicPr>
        <xdr:cNvPr id="15" name="Grafika 14" descr="Baza danych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F95FEC7E-B1BE-4801-9E1F-3F5822484B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31750" y="730250"/>
          <a:ext cx="917121" cy="934228"/>
        </a:xfrm>
        <a:prstGeom prst="rect">
          <a:avLst/>
        </a:prstGeom>
      </xdr:spPr>
    </xdr:pic>
    <xdr:clientData/>
  </xdr:twoCellAnchor>
  <xdr:twoCellAnchor>
    <xdr:from>
      <xdr:col>18</xdr:col>
      <xdr:colOff>582083</xdr:colOff>
      <xdr:row>33</xdr:row>
      <xdr:rowOff>42333</xdr:rowOff>
    </xdr:from>
    <xdr:to>
      <xdr:col>29</xdr:col>
      <xdr:colOff>190498</xdr:colOff>
      <xdr:row>52</xdr:row>
      <xdr:rowOff>63499</xdr:rowOff>
    </xdr:to>
    <xdr:graphicFrame macro="">
      <xdr:nvGraphicFramePr>
        <xdr:cNvPr id="17" name="Wykres 16">
          <a:extLst>
            <a:ext uri="{FF2B5EF4-FFF2-40B4-BE49-F238E27FC236}">
              <a16:creationId xmlns:a16="http://schemas.microsoft.com/office/drawing/2014/main" id="{B6A1AE2C-F403-4F20-91DD-4698ABB413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4</xdr:col>
      <xdr:colOff>370416</xdr:colOff>
      <xdr:row>22</xdr:row>
      <xdr:rowOff>169333</xdr:rowOff>
    </xdr:from>
    <xdr:to>
      <xdr:col>14</xdr:col>
      <xdr:colOff>486832</xdr:colOff>
      <xdr:row>26</xdr:row>
      <xdr:rowOff>55033</xdr:rowOff>
    </xdr:to>
    <xdr:sp macro="" textlink="">
      <xdr:nvSpPr>
        <xdr:cNvPr id="21" name="Prostokąt: zaokrąglone rogi 20">
          <a:extLst>
            <a:ext uri="{FF2B5EF4-FFF2-40B4-BE49-F238E27FC236}">
              <a16:creationId xmlns:a16="http://schemas.microsoft.com/office/drawing/2014/main" id="{084DBBAD-1C9F-4E4B-BDF1-F25B00AB9C2C}"/>
            </a:ext>
          </a:extLst>
        </xdr:cNvPr>
        <xdr:cNvSpPr/>
      </xdr:nvSpPr>
      <xdr:spPr>
        <a:xfrm>
          <a:off x="2529416" y="4360333"/>
          <a:ext cx="6043083" cy="647700"/>
        </a:xfrm>
        <a:prstGeom prst="roundRect">
          <a:avLst/>
        </a:prstGeom>
        <a:solidFill>
          <a:schemeClr val="bg1"/>
        </a:solidFill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pl-PL" sz="1200" b="0">
              <a:solidFill>
                <a:schemeClr val="accent6">
                  <a:lumMod val="75000"/>
                </a:schemeClr>
              </a:solidFill>
            </a:rPr>
            <a:t>Comparison of key profitability ratios between KGHM and the top 40 global mining companies measured by market capitalization. A higher ratio indicates better </a:t>
          </a:r>
          <a:r>
            <a:rPr lang="pl-PL" sz="1200" b="0">
              <a:solidFill>
                <a:schemeClr val="accent6">
                  <a:lumMod val="75000"/>
                </a:schemeClr>
              </a:solidFill>
              <a:latin typeface="+mn-lt"/>
            </a:rPr>
            <a:t>performance</a:t>
          </a:r>
          <a:r>
            <a:rPr lang="pl-PL" sz="1200" b="0">
              <a:solidFill>
                <a:schemeClr val="accent6">
                  <a:lumMod val="75000"/>
                </a:schemeClr>
              </a:solidFill>
            </a:rPr>
            <a:t>. </a:t>
          </a:r>
          <a:endParaRPr lang="en-US" sz="1200" b="0" i="0" u="none" strike="noStrike">
            <a:solidFill>
              <a:schemeClr val="accent6">
                <a:lumMod val="75000"/>
              </a:schemeClr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18</xdr:col>
      <xdr:colOff>370415</xdr:colOff>
      <xdr:row>22</xdr:row>
      <xdr:rowOff>158749</xdr:rowOff>
    </xdr:from>
    <xdr:to>
      <xdr:col>29</xdr:col>
      <xdr:colOff>349249</xdr:colOff>
      <xdr:row>26</xdr:row>
      <xdr:rowOff>44449</xdr:rowOff>
    </xdr:to>
    <xdr:sp macro="" textlink="">
      <xdr:nvSpPr>
        <xdr:cNvPr id="22" name="Prostokąt: zaokrąglone rogi 21">
          <a:extLst>
            <a:ext uri="{FF2B5EF4-FFF2-40B4-BE49-F238E27FC236}">
              <a16:creationId xmlns:a16="http://schemas.microsoft.com/office/drawing/2014/main" id="{0CDD468D-DDAE-4995-801D-877D9DEF61D7}"/>
            </a:ext>
          </a:extLst>
        </xdr:cNvPr>
        <xdr:cNvSpPr/>
      </xdr:nvSpPr>
      <xdr:spPr>
        <a:xfrm>
          <a:off x="10826748" y="4349749"/>
          <a:ext cx="6498168" cy="647700"/>
        </a:xfrm>
        <a:prstGeom prst="roundRect">
          <a:avLst/>
        </a:prstGeom>
        <a:solidFill>
          <a:schemeClr val="bg1"/>
        </a:solidFill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pl-PL" sz="1200">
              <a:solidFill>
                <a:schemeClr val="accent6">
                  <a:lumMod val="75000"/>
                </a:schemeClr>
              </a:solidFill>
            </a:rPr>
            <a:t>Historical revenue of KGHM from 2017 to 2023 with forecasts for 2024-2025. Revenues are expected to increase significantly in the coming years, suggesting growing demand for raw materials.</a:t>
          </a:r>
          <a:endParaRPr lang="en-US" sz="1200" b="0" i="0" u="none" strike="noStrike">
            <a:solidFill>
              <a:schemeClr val="accent6">
                <a:lumMod val="75000"/>
              </a:schemeClr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31</xdr:col>
      <xdr:colOff>95250</xdr:colOff>
      <xdr:row>22</xdr:row>
      <xdr:rowOff>148167</xdr:rowOff>
    </xdr:from>
    <xdr:to>
      <xdr:col>41</xdr:col>
      <xdr:colOff>338666</xdr:colOff>
      <xdr:row>26</xdr:row>
      <xdr:rowOff>33867</xdr:rowOff>
    </xdr:to>
    <xdr:sp macro="" textlink="">
      <xdr:nvSpPr>
        <xdr:cNvPr id="23" name="Prostokąt: zaokrąglone rogi 22">
          <a:extLst>
            <a:ext uri="{FF2B5EF4-FFF2-40B4-BE49-F238E27FC236}">
              <a16:creationId xmlns:a16="http://schemas.microsoft.com/office/drawing/2014/main" id="{4281CD7C-446A-4FBC-92EB-041BF952CC72}"/>
            </a:ext>
          </a:extLst>
        </xdr:cNvPr>
        <xdr:cNvSpPr/>
      </xdr:nvSpPr>
      <xdr:spPr>
        <a:xfrm>
          <a:off x="18256250" y="4339167"/>
          <a:ext cx="6170083" cy="647700"/>
        </a:xfrm>
        <a:prstGeom prst="roundRect">
          <a:avLst/>
        </a:prstGeom>
        <a:solidFill>
          <a:schemeClr val="bg1"/>
        </a:solidFill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pl-PL" sz="1200">
              <a:solidFill>
                <a:schemeClr val="accent6">
                  <a:lumMod val="75000"/>
                </a:schemeClr>
              </a:solidFill>
            </a:rPr>
            <a:t>Analysis of KGHM's cost of goods sold and administrative expenses. The projected rise in costs for 2024-2025 could impact future profit margins.</a:t>
          </a:r>
          <a:endParaRPr lang="en-US" sz="1200" b="0" i="0" u="none" strike="noStrike">
            <a:solidFill>
              <a:schemeClr val="accent6">
                <a:lumMod val="75000"/>
              </a:schemeClr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4</xdr:col>
      <xdr:colOff>232834</xdr:colOff>
      <xdr:row>52</xdr:row>
      <xdr:rowOff>52916</xdr:rowOff>
    </xdr:from>
    <xdr:to>
      <xdr:col>14</xdr:col>
      <xdr:colOff>349250</xdr:colOff>
      <xdr:row>56</xdr:row>
      <xdr:rowOff>84666</xdr:rowOff>
    </xdr:to>
    <xdr:sp macro="" textlink="">
      <xdr:nvSpPr>
        <xdr:cNvPr id="24" name="Prostokąt: zaokrąglone rogi 23">
          <a:extLst>
            <a:ext uri="{FF2B5EF4-FFF2-40B4-BE49-F238E27FC236}">
              <a16:creationId xmlns:a16="http://schemas.microsoft.com/office/drawing/2014/main" id="{166460B0-0F2D-49FE-ABDF-47B227CFC5C3}"/>
            </a:ext>
          </a:extLst>
        </xdr:cNvPr>
        <xdr:cNvSpPr/>
      </xdr:nvSpPr>
      <xdr:spPr>
        <a:xfrm>
          <a:off x="2391834" y="10234083"/>
          <a:ext cx="6043083" cy="793750"/>
        </a:xfrm>
        <a:prstGeom prst="roundRect">
          <a:avLst/>
        </a:prstGeom>
        <a:solidFill>
          <a:schemeClr val="bg1"/>
        </a:solidFill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pl-PL" sz="1200" b="0">
              <a:solidFill>
                <a:schemeClr val="accent6">
                  <a:lumMod val="75000"/>
                </a:schemeClr>
              </a:solidFill>
            </a:rPr>
            <a:t>Comparison of debt</a:t>
          </a:r>
          <a:r>
            <a:rPr lang="pl-PL" sz="1200" b="0" baseline="0">
              <a:solidFill>
                <a:schemeClr val="accent6">
                  <a:lumMod val="75000"/>
                </a:schemeClr>
              </a:solidFill>
            </a:rPr>
            <a:t> </a:t>
          </a:r>
          <a:r>
            <a:rPr lang="pl-PL" sz="1200" b="0">
              <a:solidFill>
                <a:schemeClr val="accent6">
                  <a:lumMod val="75000"/>
                </a:schemeClr>
              </a:solidFill>
            </a:rPr>
            <a:t>ratios between KGHM and the top 40 global mining companies measured by market capitalization. </a:t>
          </a:r>
          <a:r>
            <a:rPr lang="pl-PL" sz="1200">
              <a:solidFill>
                <a:schemeClr val="accent6">
                  <a:lumMod val="75000"/>
                </a:schemeClr>
              </a:solidFill>
            </a:rPr>
            <a:t>KGHM's lower debt ratios indicate a more stable financial position compared to competitors</a:t>
          </a:r>
          <a:endParaRPr lang="en-US" sz="1200" b="0" i="0" u="none" strike="noStrike">
            <a:solidFill>
              <a:schemeClr val="accent6">
                <a:lumMod val="75000"/>
              </a:schemeClr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19</xdr:col>
      <xdr:colOff>169333</xdr:colOff>
      <xdr:row>52</xdr:row>
      <xdr:rowOff>116417</xdr:rowOff>
    </xdr:from>
    <xdr:to>
      <xdr:col>29</xdr:col>
      <xdr:colOff>275166</xdr:colOff>
      <xdr:row>56</xdr:row>
      <xdr:rowOff>2117</xdr:rowOff>
    </xdr:to>
    <xdr:sp macro="" textlink="">
      <xdr:nvSpPr>
        <xdr:cNvPr id="25" name="Prostokąt: zaokrąglone rogi 24">
          <a:extLst>
            <a:ext uri="{FF2B5EF4-FFF2-40B4-BE49-F238E27FC236}">
              <a16:creationId xmlns:a16="http://schemas.microsoft.com/office/drawing/2014/main" id="{79FAF24F-A57E-4AB9-ACC0-2FBE473D25F0}"/>
            </a:ext>
          </a:extLst>
        </xdr:cNvPr>
        <xdr:cNvSpPr/>
      </xdr:nvSpPr>
      <xdr:spPr>
        <a:xfrm>
          <a:off x="11218333" y="10297584"/>
          <a:ext cx="6032500" cy="647700"/>
        </a:xfrm>
        <a:prstGeom prst="roundRect">
          <a:avLst/>
        </a:prstGeom>
        <a:solidFill>
          <a:schemeClr val="bg1"/>
        </a:solidFill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pl-PL" sz="1200">
              <a:solidFill>
                <a:schemeClr val="accent6">
                  <a:lumMod val="75000"/>
                </a:schemeClr>
              </a:solidFill>
            </a:rPr>
            <a:t>Activity ratios of KGHM compared to the top global mining companies. A higher</a:t>
          </a:r>
          <a:r>
            <a:rPr lang="pl-PL" sz="1200" baseline="0">
              <a:solidFill>
                <a:schemeClr val="accent6">
                  <a:lumMod val="75000"/>
                </a:schemeClr>
              </a:solidFill>
            </a:rPr>
            <a:t> activity </a:t>
          </a:r>
          <a:r>
            <a:rPr lang="pl-PL" sz="1200">
              <a:solidFill>
                <a:schemeClr val="accent6">
                  <a:lumMod val="75000"/>
                </a:schemeClr>
              </a:solidFill>
            </a:rPr>
            <a:t>ratio indicates higher efficient</a:t>
          </a:r>
          <a:r>
            <a:rPr lang="pl-PL" sz="1200" baseline="0">
              <a:solidFill>
                <a:schemeClr val="accent6">
                  <a:lumMod val="75000"/>
                </a:schemeClr>
              </a:solidFill>
            </a:rPr>
            <a:t> in assets </a:t>
          </a:r>
          <a:r>
            <a:rPr lang="pl-PL" sz="1200">
              <a:solidFill>
                <a:schemeClr val="accent6">
                  <a:lumMod val="75000"/>
                </a:schemeClr>
              </a:solidFill>
            </a:rPr>
            <a:t>management.</a:t>
          </a:r>
          <a:endParaRPr lang="en-US" sz="1200" b="0" i="0" u="none" strike="noStrike">
            <a:solidFill>
              <a:schemeClr val="accent6">
                <a:lumMod val="75000"/>
              </a:schemeClr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18</xdr:col>
      <xdr:colOff>63500</xdr:colOff>
      <xdr:row>30</xdr:row>
      <xdr:rowOff>179917</xdr:rowOff>
    </xdr:from>
    <xdr:to>
      <xdr:col>19</xdr:col>
      <xdr:colOff>497415</xdr:colOff>
      <xdr:row>32</xdr:row>
      <xdr:rowOff>52917</xdr:rowOff>
    </xdr:to>
    <xdr:sp macro="" textlink="">
      <xdr:nvSpPr>
        <xdr:cNvPr id="27" name="Dymek mowy: prostokąt z zaokrąglonymi rogami 26">
          <a:extLst>
            <a:ext uri="{FF2B5EF4-FFF2-40B4-BE49-F238E27FC236}">
              <a16:creationId xmlns:a16="http://schemas.microsoft.com/office/drawing/2014/main" id="{D7054DFE-F006-4EDA-939F-C2B6AC31440D}"/>
            </a:ext>
          </a:extLst>
        </xdr:cNvPr>
        <xdr:cNvSpPr/>
      </xdr:nvSpPr>
      <xdr:spPr>
        <a:xfrm>
          <a:off x="10519833" y="5894917"/>
          <a:ext cx="1026582" cy="529167"/>
        </a:xfrm>
        <a:prstGeom prst="wedgeRoundRectCallout">
          <a:avLst>
            <a:gd name="adj1" fmla="val 81094"/>
            <a:gd name="adj2" fmla="val -33728"/>
            <a:gd name="adj3" fmla="val 16667"/>
          </a:avLst>
        </a:prstGeom>
        <a:ln>
          <a:solidFill>
            <a:schemeClr val="bg2">
              <a:lumMod val="75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>
              <a:solidFill>
                <a:srgbClr val="5E822E"/>
              </a:solidFill>
            </a:rPr>
            <a:t>Select a </a:t>
          </a:r>
          <a:r>
            <a:rPr lang="pl-PL" sz="1000">
              <a:solidFill>
                <a:srgbClr val="5E822E"/>
              </a:solidFill>
            </a:rPr>
            <a:t>Activity</a:t>
          </a:r>
          <a:r>
            <a:rPr lang="pl-PL" sz="1000" baseline="0">
              <a:solidFill>
                <a:srgbClr val="5E822E"/>
              </a:solidFill>
            </a:rPr>
            <a:t> </a:t>
          </a:r>
          <a:r>
            <a:rPr lang="en-US" sz="1000">
              <a:solidFill>
                <a:srgbClr val="5E822E"/>
              </a:solidFill>
            </a:rPr>
            <a:t>Ratio</a:t>
          </a:r>
        </a:p>
      </xdr:txBody>
    </xdr:sp>
    <xdr:clientData/>
  </xdr:twoCellAnchor>
  <xdr:twoCellAnchor>
    <xdr:from>
      <xdr:col>30</xdr:col>
      <xdr:colOff>74083</xdr:colOff>
      <xdr:row>30</xdr:row>
      <xdr:rowOff>137583</xdr:rowOff>
    </xdr:from>
    <xdr:to>
      <xdr:col>31</xdr:col>
      <xdr:colOff>507998</xdr:colOff>
      <xdr:row>32</xdr:row>
      <xdr:rowOff>10583</xdr:rowOff>
    </xdr:to>
    <xdr:sp macro="" textlink="">
      <xdr:nvSpPr>
        <xdr:cNvPr id="28" name="Dymek mowy: prostokąt z zaokrąglonymi rogami 27">
          <a:extLst>
            <a:ext uri="{FF2B5EF4-FFF2-40B4-BE49-F238E27FC236}">
              <a16:creationId xmlns:a16="http://schemas.microsoft.com/office/drawing/2014/main" id="{0DC89ABD-5880-4F1C-8D17-2352F224EB3A}"/>
            </a:ext>
          </a:extLst>
        </xdr:cNvPr>
        <xdr:cNvSpPr/>
      </xdr:nvSpPr>
      <xdr:spPr>
        <a:xfrm>
          <a:off x="17642416" y="5852583"/>
          <a:ext cx="1026582" cy="529167"/>
        </a:xfrm>
        <a:prstGeom prst="wedgeRoundRectCallout">
          <a:avLst>
            <a:gd name="adj1" fmla="val 81094"/>
            <a:gd name="adj2" fmla="val -33728"/>
            <a:gd name="adj3" fmla="val 16667"/>
          </a:avLst>
        </a:prstGeom>
        <a:ln>
          <a:solidFill>
            <a:schemeClr val="bg2">
              <a:lumMod val="75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>
              <a:solidFill>
                <a:srgbClr val="5E822E"/>
              </a:solidFill>
            </a:rPr>
            <a:t>Select a </a:t>
          </a:r>
          <a:r>
            <a:rPr lang="pl-PL" sz="1000">
              <a:solidFill>
                <a:srgbClr val="5E822E"/>
              </a:solidFill>
            </a:rPr>
            <a:t>Liquidity</a:t>
          </a:r>
          <a:r>
            <a:rPr lang="pl-PL" sz="1000" baseline="0">
              <a:solidFill>
                <a:srgbClr val="5E822E"/>
              </a:solidFill>
            </a:rPr>
            <a:t> </a:t>
          </a:r>
          <a:r>
            <a:rPr lang="en-US" sz="1000">
              <a:solidFill>
                <a:srgbClr val="5E822E"/>
              </a:solidFill>
            </a:rPr>
            <a:t>Ratio</a:t>
          </a:r>
        </a:p>
      </xdr:txBody>
    </xdr:sp>
    <xdr:clientData/>
  </xdr:twoCellAnchor>
  <xdr:twoCellAnchor>
    <xdr:from>
      <xdr:col>31</xdr:col>
      <xdr:colOff>296334</xdr:colOff>
      <xdr:row>52</xdr:row>
      <xdr:rowOff>95251</xdr:rowOff>
    </xdr:from>
    <xdr:to>
      <xdr:col>41</xdr:col>
      <xdr:colOff>444500</xdr:colOff>
      <xdr:row>55</xdr:row>
      <xdr:rowOff>171451</xdr:rowOff>
    </xdr:to>
    <xdr:sp macro="" textlink="">
      <xdr:nvSpPr>
        <xdr:cNvPr id="29" name="Prostokąt: zaokrąglone rogi 28">
          <a:extLst>
            <a:ext uri="{FF2B5EF4-FFF2-40B4-BE49-F238E27FC236}">
              <a16:creationId xmlns:a16="http://schemas.microsoft.com/office/drawing/2014/main" id="{9C28B218-8F67-4A33-BEE4-61B3D27B0CE2}"/>
            </a:ext>
          </a:extLst>
        </xdr:cNvPr>
        <xdr:cNvSpPr/>
      </xdr:nvSpPr>
      <xdr:spPr>
        <a:xfrm>
          <a:off x="18457334" y="10276418"/>
          <a:ext cx="6074833" cy="647700"/>
        </a:xfrm>
        <a:prstGeom prst="roundRect">
          <a:avLst/>
        </a:prstGeom>
        <a:solidFill>
          <a:schemeClr val="bg1"/>
        </a:solidFill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pl-PL" sz="1200">
              <a:solidFill>
                <a:schemeClr val="accent6">
                  <a:lumMod val="75000"/>
                </a:schemeClr>
              </a:solidFill>
            </a:rPr>
            <a:t>Liqudity ratios of KGHM compared to the top global mining companies. A higher liqudity ratio indicates a greater ability to liquidate assets or</a:t>
          </a:r>
          <a:r>
            <a:rPr lang="pl-PL" sz="1200" baseline="0">
              <a:solidFill>
                <a:schemeClr val="accent6">
                  <a:lumMod val="75000"/>
                </a:schemeClr>
              </a:solidFill>
            </a:rPr>
            <a:t> higher efficiency of cash.</a:t>
          </a:r>
          <a:endParaRPr lang="en-US" sz="1200" b="0" i="0" u="none" strike="noStrike">
            <a:solidFill>
              <a:schemeClr val="accent6">
                <a:lumMod val="75000"/>
              </a:schemeClr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 editAs="oneCell">
    <xdr:from>
      <xdr:col>0</xdr:col>
      <xdr:colOff>116416</xdr:colOff>
      <xdr:row>10</xdr:row>
      <xdr:rowOff>148166</xdr:rowOff>
    </xdr:from>
    <xdr:to>
      <xdr:col>1</xdr:col>
      <xdr:colOff>403680</xdr:colOff>
      <xdr:row>14</xdr:row>
      <xdr:rowOff>110657</xdr:rowOff>
    </xdr:to>
    <xdr:pic>
      <xdr:nvPicPr>
        <xdr:cNvPr id="30" name="Graphic 11" descr="Envelope with solid fill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EBE1207C-9B67-4060-84BC-2DFD98C81B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116416" y="2053166"/>
          <a:ext cx="774097" cy="724491"/>
        </a:xfrm>
        <a:prstGeom prst="rect">
          <a:avLst/>
        </a:prstGeom>
      </xdr:spPr>
    </xdr:pic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0.96643</cdr:x>
      <cdr:y>0.29124</cdr:y>
    </cdr:from>
    <cdr:to>
      <cdr:x>0.99437</cdr:x>
      <cdr:y>0.32232</cdr:y>
    </cdr:to>
    <cdr:sp macro="" textlink="">
      <cdr:nvSpPr>
        <cdr:cNvPr id="3" name="Prostokąt: zaokrąglone rogi 2">
          <a:extLst xmlns:a="http://schemas.openxmlformats.org/drawingml/2006/main">
            <a:ext uri="{FF2B5EF4-FFF2-40B4-BE49-F238E27FC236}">
              <a16:creationId xmlns:a16="http://schemas.microsoft.com/office/drawing/2014/main" id="{41B60199-0CF3-F3B7-E053-965F5302D265}"/>
            </a:ext>
          </a:extLst>
        </cdr:cNvPr>
        <cdr:cNvSpPr/>
      </cdr:nvSpPr>
      <cdr:spPr>
        <a:xfrm xmlns:a="http://schemas.openxmlformats.org/drawingml/2006/main">
          <a:off x="7689067" y="1266266"/>
          <a:ext cx="222287" cy="135149"/>
        </a:xfrm>
        <a:prstGeom xmlns:a="http://schemas.openxmlformats.org/drawingml/2006/main" prst="roundRect">
          <a:avLst/>
        </a:prstGeom>
        <a:solidFill xmlns:a="http://schemas.openxmlformats.org/drawingml/2006/main">
          <a:schemeClr val="bg1">
            <a:lumMod val="95000"/>
          </a:schemeClr>
        </a:solidFill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pl-PL" sz="1050">
              <a:solidFill>
                <a:sysClr val="windowText" lastClr="000000"/>
              </a:solidFill>
            </a:rPr>
            <a:t>1</a:t>
          </a:r>
        </a:p>
      </cdr:txBody>
    </cdr:sp>
  </cdr:relSizeAnchor>
  <cdr:relSizeAnchor xmlns:cdr="http://schemas.openxmlformats.org/drawingml/2006/chartDrawing">
    <cdr:from>
      <cdr:x>0.13315</cdr:x>
      <cdr:y>0.95498</cdr:y>
    </cdr:from>
    <cdr:to>
      <cdr:x>0.16108</cdr:x>
      <cdr:y>0.98607</cdr:y>
    </cdr:to>
    <cdr:sp macro="" textlink="">
      <cdr:nvSpPr>
        <cdr:cNvPr id="6" name="Prostokąt: zaokrąglone rogi 5">
          <a:extLst xmlns:a="http://schemas.openxmlformats.org/drawingml/2006/main">
            <a:ext uri="{FF2B5EF4-FFF2-40B4-BE49-F238E27FC236}">
              <a16:creationId xmlns:a16="http://schemas.microsoft.com/office/drawing/2014/main" id="{5529CD85-6B21-19F6-C374-C9310101AC54}"/>
            </a:ext>
          </a:extLst>
        </cdr:cNvPr>
        <cdr:cNvSpPr/>
      </cdr:nvSpPr>
      <cdr:spPr>
        <a:xfrm xmlns:a="http://schemas.openxmlformats.org/drawingml/2006/main">
          <a:off x="1059329" y="4152153"/>
          <a:ext cx="222287" cy="135149"/>
        </a:xfrm>
        <a:prstGeom xmlns:a="http://schemas.openxmlformats.org/drawingml/2006/main" prst="roundRect">
          <a:avLst/>
        </a:prstGeom>
        <a:solidFill xmlns:a="http://schemas.openxmlformats.org/drawingml/2006/main">
          <a:schemeClr val="bg1">
            <a:lumMod val="95000"/>
          </a:schemeClr>
        </a:solidFill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anchor="ctr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pl-PL" sz="1050">
              <a:solidFill>
                <a:sysClr val="windowText" lastClr="000000"/>
              </a:solidFill>
            </a:rPr>
            <a:t>1</a:t>
          </a:r>
        </a:p>
      </cdr:txBody>
    </cdr:sp>
  </cdr:relSizeAnchor>
  <cdr:relSizeAnchor xmlns:cdr="http://schemas.openxmlformats.org/drawingml/2006/chartDrawing">
    <cdr:from>
      <cdr:x>0.96695</cdr:x>
      <cdr:y>0.34416</cdr:y>
    </cdr:from>
    <cdr:to>
      <cdr:x>0.99489</cdr:x>
      <cdr:y>0.37524</cdr:y>
    </cdr:to>
    <cdr:sp macro="" textlink="">
      <cdr:nvSpPr>
        <cdr:cNvPr id="7" name="Prostokąt: zaokrąglone rogi 6">
          <a:extLst xmlns:a="http://schemas.openxmlformats.org/drawingml/2006/main">
            <a:ext uri="{FF2B5EF4-FFF2-40B4-BE49-F238E27FC236}">
              <a16:creationId xmlns:a16="http://schemas.microsoft.com/office/drawing/2014/main" id="{5016E9F3-6AE6-CC3A-0FE1-902928BB9641}"/>
            </a:ext>
          </a:extLst>
        </cdr:cNvPr>
        <cdr:cNvSpPr/>
      </cdr:nvSpPr>
      <cdr:spPr>
        <a:xfrm xmlns:a="http://schemas.openxmlformats.org/drawingml/2006/main">
          <a:off x="7693212" y="1496359"/>
          <a:ext cx="222287" cy="135149"/>
        </a:xfrm>
        <a:prstGeom xmlns:a="http://schemas.openxmlformats.org/drawingml/2006/main" prst="roundRect">
          <a:avLst/>
        </a:prstGeom>
        <a:solidFill xmlns:a="http://schemas.openxmlformats.org/drawingml/2006/main">
          <a:schemeClr val="bg1">
            <a:lumMod val="95000"/>
          </a:schemeClr>
        </a:solidFill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anchor="ctr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pl-PL" sz="1050">
              <a:solidFill>
                <a:sysClr val="windowText" lastClr="000000"/>
              </a:solidFill>
            </a:rPr>
            <a:t>2</a:t>
          </a:r>
        </a:p>
      </cdr:txBody>
    </cdr:sp>
  </cdr:relSizeAnchor>
  <cdr:relSizeAnchor xmlns:cdr="http://schemas.openxmlformats.org/drawingml/2006/chartDrawing">
    <cdr:from>
      <cdr:x>0.20357</cdr:x>
      <cdr:y>0.95498</cdr:y>
    </cdr:from>
    <cdr:to>
      <cdr:x>0.23151</cdr:x>
      <cdr:y>0.98607</cdr:y>
    </cdr:to>
    <cdr:sp macro="" textlink="">
      <cdr:nvSpPr>
        <cdr:cNvPr id="8" name="Prostokąt: zaokrąglone rogi 7">
          <a:extLst xmlns:a="http://schemas.openxmlformats.org/drawingml/2006/main">
            <a:ext uri="{FF2B5EF4-FFF2-40B4-BE49-F238E27FC236}">
              <a16:creationId xmlns:a16="http://schemas.microsoft.com/office/drawing/2014/main" id="{914097EE-32B5-E027-7C23-0C2B9509A2C0}"/>
            </a:ext>
          </a:extLst>
        </cdr:cNvPr>
        <cdr:cNvSpPr/>
      </cdr:nvSpPr>
      <cdr:spPr>
        <a:xfrm xmlns:a="http://schemas.openxmlformats.org/drawingml/2006/main">
          <a:off x="1619623" y="4152153"/>
          <a:ext cx="222287" cy="135149"/>
        </a:xfrm>
        <a:prstGeom xmlns:a="http://schemas.openxmlformats.org/drawingml/2006/main" prst="roundRect">
          <a:avLst/>
        </a:prstGeom>
        <a:solidFill xmlns:a="http://schemas.openxmlformats.org/drawingml/2006/main">
          <a:schemeClr val="bg1">
            <a:lumMod val="95000"/>
          </a:schemeClr>
        </a:solidFill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anchor="ctr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pl-PL" sz="1050">
              <a:solidFill>
                <a:sysClr val="windowText" lastClr="000000"/>
              </a:solidFill>
            </a:rPr>
            <a:t>2</a:t>
          </a:r>
        </a:p>
      </cdr:txBody>
    </cdr:sp>
  </cdr:relSizeAnchor>
  <cdr:relSizeAnchor xmlns:cdr="http://schemas.openxmlformats.org/drawingml/2006/chartDrawing">
    <cdr:from>
      <cdr:x>0.96695</cdr:x>
      <cdr:y>0.3957</cdr:y>
    </cdr:from>
    <cdr:to>
      <cdr:x>0.99489</cdr:x>
      <cdr:y>0.42679</cdr:y>
    </cdr:to>
    <cdr:sp macro="" textlink="">
      <cdr:nvSpPr>
        <cdr:cNvPr id="9" name="Prostokąt: zaokrąglone rogi 8">
          <a:extLst xmlns:a="http://schemas.openxmlformats.org/drawingml/2006/main">
            <a:ext uri="{FF2B5EF4-FFF2-40B4-BE49-F238E27FC236}">
              <a16:creationId xmlns:a16="http://schemas.microsoft.com/office/drawing/2014/main" id="{2D9F69A1-0CE4-CB4C-405D-BC25D392618E}"/>
            </a:ext>
          </a:extLst>
        </cdr:cNvPr>
        <cdr:cNvSpPr/>
      </cdr:nvSpPr>
      <cdr:spPr>
        <a:xfrm xmlns:a="http://schemas.openxmlformats.org/drawingml/2006/main">
          <a:off x="7693211" y="1720477"/>
          <a:ext cx="222287" cy="135149"/>
        </a:xfrm>
        <a:prstGeom xmlns:a="http://schemas.openxmlformats.org/drawingml/2006/main" prst="roundRect">
          <a:avLst/>
        </a:prstGeom>
        <a:solidFill xmlns:a="http://schemas.openxmlformats.org/drawingml/2006/main">
          <a:schemeClr val="bg1">
            <a:lumMod val="95000"/>
          </a:schemeClr>
        </a:solidFill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anchor="ctr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pl-PL" sz="1050">
              <a:solidFill>
                <a:sysClr val="windowText" lastClr="000000"/>
              </a:solidFill>
            </a:rPr>
            <a:t>3</a:t>
          </a:r>
        </a:p>
      </cdr:txBody>
    </cdr:sp>
  </cdr:relSizeAnchor>
  <cdr:relSizeAnchor xmlns:cdr="http://schemas.openxmlformats.org/drawingml/2006/chartDrawing">
    <cdr:from>
      <cdr:x>0.27258</cdr:x>
      <cdr:y>0.95498</cdr:y>
    </cdr:from>
    <cdr:to>
      <cdr:x>0.30052</cdr:x>
      <cdr:y>0.98607</cdr:y>
    </cdr:to>
    <cdr:sp macro="" textlink="">
      <cdr:nvSpPr>
        <cdr:cNvPr id="10" name="Prostokąt: zaokrąglone rogi 9">
          <a:extLst xmlns:a="http://schemas.openxmlformats.org/drawingml/2006/main">
            <a:ext uri="{FF2B5EF4-FFF2-40B4-BE49-F238E27FC236}">
              <a16:creationId xmlns:a16="http://schemas.microsoft.com/office/drawing/2014/main" id="{FEFD1D75-A297-3E13-31CB-5C961DAC98B6}"/>
            </a:ext>
          </a:extLst>
        </cdr:cNvPr>
        <cdr:cNvSpPr/>
      </cdr:nvSpPr>
      <cdr:spPr>
        <a:xfrm xmlns:a="http://schemas.openxmlformats.org/drawingml/2006/main">
          <a:off x="2168712" y="4152153"/>
          <a:ext cx="222287" cy="135149"/>
        </a:xfrm>
        <a:prstGeom xmlns:a="http://schemas.openxmlformats.org/drawingml/2006/main" prst="roundRect">
          <a:avLst/>
        </a:prstGeom>
        <a:solidFill xmlns:a="http://schemas.openxmlformats.org/drawingml/2006/main">
          <a:schemeClr val="bg1">
            <a:lumMod val="95000"/>
          </a:schemeClr>
        </a:solidFill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anchor="ctr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pl-PL" sz="1050">
              <a:solidFill>
                <a:sysClr val="windowText" lastClr="000000"/>
              </a:solidFill>
            </a:rPr>
            <a:t>3</a:t>
          </a:r>
        </a:p>
      </cdr:txBody>
    </cdr:sp>
  </cdr:relSizeAnchor>
  <cdr:relSizeAnchor xmlns:cdr="http://schemas.openxmlformats.org/drawingml/2006/chartDrawing">
    <cdr:from>
      <cdr:x>0.96695</cdr:x>
      <cdr:y>0.44467</cdr:y>
    </cdr:from>
    <cdr:to>
      <cdr:x>0.99489</cdr:x>
      <cdr:y>0.47576</cdr:y>
    </cdr:to>
    <cdr:sp macro="" textlink="">
      <cdr:nvSpPr>
        <cdr:cNvPr id="11" name="Prostokąt: zaokrąglone rogi 10">
          <a:extLst xmlns:a="http://schemas.openxmlformats.org/drawingml/2006/main">
            <a:ext uri="{FF2B5EF4-FFF2-40B4-BE49-F238E27FC236}">
              <a16:creationId xmlns:a16="http://schemas.microsoft.com/office/drawing/2014/main" id="{A0967786-C736-5E95-B0DF-8B16BB1A366D}"/>
            </a:ext>
          </a:extLst>
        </cdr:cNvPr>
        <cdr:cNvSpPr/>
      </cdr:nvSpPr>
      <cdr:spPr>
        <a:xfrm xmlns:a="http://schemas.openxmlformats.org/drawingml/2006/main">
          <a:off x="7693212" y="1933388"/>
          <a:ext cx="222287" cy="135149"/>
        </a:xfrm>
        <a:prstGeom xmlns:a="http://schemas.openxmlformats.org/drawingml/2006/main" prst="roundRect">
          <a:avLst/>
        </a:prstGeom>
        <a:solidFill xmlns:a="http://schemas.openxmlformats.org/drawingml/2006/main">
          <a:schemeClr val="bg1">
            <a:lumMod val="95000"/>
          </a:schemeClr>
        </a:solidFill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anchor="ctr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pl-PL" sz="1050">
              <a:solidFill>
                <a:sysClr val="windowText" lastClr="000000"/>
              </a:solidFill>
            </a:rPr>
            <a:t>4</a:t>
          </a:r>
        </a:p>
      </cdr:txBody>
    </cdr:sp>
  </cdr:relSizeAnchor>
  <cdr:relSizeAnchor xmlns:cdr="http://schemas.openxmlformats.org/drawingml/2006/chartDrawing">
    <cdr:from>
      <cdr:x>0.343</cdr:x>
      <cdr:y>0.95498</cdr:y>
    </cdr:from>
    <cdr:to>
      <cdr:x>0.37094</cdr:x>
      <cdr:y>0.98607</cdr:y>
    </cdr:to>
    <cdr:sp macro="" textlink="">
      <cdr:nvSpPr>
        <cdr:cNvPr id="12" name="Prostokąt: zaokrąglone rogi 11">
          <a:extLst xmlns:a="http://schemas.openxmlformats.org/drawingml/2006/main">
            <a:ext uri="{FF2B5EF4-FFF2-40B4-BE49-F238E27FC236}">
              <a16:creationId xmlns:a16="http://schemas.microsoft.com/office/drawing/2014/main" id="{07572E99-CB4F-06A3-913A-7552DC4CD9CE}"/>
            </a:ext>
          </a:extLst>
        </cdr:cNvPr>
        <cdr:cNvSpPr/>
      </cdr:nvSpPr>
      <cdr:spPr>
        <a:xfrm xmlns:a="http://schemas.openxmlformats.org/drawingml/2006/main">
          <a:off x="2729006" y="4152153"/>
          <a:ext cx="222287" cy="135149"/>
        </a:xfrm>
        <a:prstGeom xmlns:a="http://schemas.openxmlformats.org/drawingml/2006/main" prst="roundRect">
          <a:avLst/>
        </a:prstGeom>
        <a:solidFill xmlns:a="http://schemas.openxmlformats.org/drawingml/2006/main">
          <a:schemeClr val="bg1">
            <a:lumMod val="95000"/>
          </a:schemeClr>
        </a:solidFill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anchor="ctr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pl-PL" sz="1050">
              <a:solidFill>
                <a:sysClr val="windowText" lastClr="000000"/>
              </a:solidFill>
            </a:rPr>
            <a:t>4</a:t>
          </a:r>
        </a:p>
      </cdr:txBody>
    </cdr:sp>
  </cdr:relSizeAnchor>
  <cdr:relSizeAnchor xmlns:cdr="http://schemas.openxmlformats.org/drawingml/2006/chartDrawing">
    <cdr:from>
      <cdr:x>0.96695</cdr:x>
      <cdr:y>0.4988</cdr:y>
    </cdr:from>
    <cdr:to>
      <cdr:x>0.99489</cdr:x>
      <cdr:y>0.52988</cdr:y>
    </cdr:to>
    <cdr:sp macro="" textlink="">
      <cdr:nvSpPr>
        <cdr:cNvPr id="13" name="Prostokąt: zaokrąglone rogi 12">
          <a:extLst xmlns:a="http://schemas.openxmlformats.org/drawingml/2006/main">
            <a:ext uri="{FF2B5EF4-FFF2-40B4-BE49-F238E27FC236}">
              <a16:creationId xmlns:a16="http://schemas.microsoft.com/office/drawing/2014/main" id="{64153B52-EF44-9E72-F780-F6EA3DC88BF4}"/>
            </a:ext>
          </a:extLst>
        </cdr:cNvPr>
        <cdr:cNvSpPr/>
      </cdr:nvSpPr>
      <cdr:spPr>
        <a:xfrm xmlns:a="http://schemas.openxmlformats.org/drawingml/2006/main">
          <a:off x="7693212" y="2168712"/>
          <a:ext cx="222287" cy="135149"/>
        </a:xfrm>
        <a:prstGeom xmlns:a="http://schemas.openxmlformats.org/drawingml/2006/main" prst="roundRect">
          <a:avLst/>
        </a:prstGeom>
        <a:solidFill xmlns:a="http://schemas.openxmlformats.org/drawingml/2006/main">
          <a:schemeClr val="bg1">
            <a:lumMod val="95000"/>
          </a:schemeClr>
        </a:solidFill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anchor="ctr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pl-PL" sz="1050">
              <a:solidFill>
                <a:sysClr val="windowText" lastClr="000000"/>
              </a:solidFill>
            </a:rPr>
            <a:t>5</a:t>
          </a:r>
        </a:p>
      </cdr:txBody>
    </cdr:sp>
  </cdr:relSizeAnchor>
  <cdr:relSizeAnchor xmlns:cdr="http://schemas.openxmlformats.org/drawingml/2006/chartDrawing">
    <cdr:from>
      <cdr:x>0.41338</cdr:x>
      <cdr:y>0.95498</cdr:y>
    </cdr:from>
    <cdr:to>
      <cdr:x>0.44132</cdr:x>
      <cdr:y>0.98607</cdr:y>
    </cdr:to>
    <cdr:sp macro="" textlink="">
      <cdr:nvSpPr>
        <cdr:cNvPr id="14" name="Prostokąt: zaokrąglone rogi 13">
          <a:extLst xmlns:a="http://schemas.openxmlformats.org/drawingml/2006/main">
            <a:ext uri="{FF2B5EF4-FFF2-40B4-BE49-F238E27FC236}">
              <a16:creationId xmlns:a16="http://schemas.microsoft.com/office/drawing/2014/main" id="{CB3AD8F4-314B-C643-9A39-19E9C7888F74}"/>
            </a:ext>
          </a:extLst>
        </cdr:cNvPr>
        <cdr:cNvSpPr/>
      </cdr:nvSpPr>
      <cdr:spPr>
        <a:xfrm xmlns:a="http://schemas.openxmlformats.org/drawingml/2006/main">
          <a:off x="3112920" y="4199168"/>
          <a:ext cx="210394" cy="136679"/>
        </a:xfrm>
        <a:prstGeom xmlns:a="http://schemas.openxmlformats.org/drawingml/2006/main" prst="roundRect">
          <a:avLst/>
        </a:prstGeom>
        <a:solidFill xmlns:a="http://schemas.openxmlformats.org/drawingml/2006/main">
          <a:schemeClr val="bg1">
            <a:lumMod val="95000"/>
          </a:schemeClr>
        </a:solidFill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anchor="ctr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pl-PL" sz="1050">
              <a:solidFill>
                <a:sysClr val="windowText" lastClr="000000"/>
              </a:solidFill>
            </a:rPr>
            <a:t>5</a:t>
          </a:r>
        </a:p>
      </cdr:txBody>
    </cdr:sp>
  </cdr:relSizeAnchor>
  <cdr:relSizeAnchor xmlns:cdr="http://schemas.openxmlformats.org/drawingml/2006/chartDrawing">
    <cdr:from>
      <cdr:x>0.96605</cdr:x>
      <cdr:y>0.54458</cdr:y>
    </cdr:from>
    <cdr:to>
      <cdr:x>0.99399</cdr:x>
      <cdr:y>0.57567</cdr:y>
    </cdr:to>
    <cdr:sp macro="" textlink="">
      <cdr:nvSpPr>
        <cdr:cNvPr id="15" name="Prostokąt: zaokrąglone rogi 14">
          <a:extLst xmlns:a="http://schemas.openxmlformats.org/drawingml/2006/main">
            <a:ext uri="{FF2B5EF4-FFF2-40B4-BE49-F238E27FC236}">
              <a16:creationId xmlns:a16="http://schemas.microsoft.com/office/drawing/2014/main" id="{D6AB9085-E98A-DF2E-DE5F-405F8AF219FC}"/>
            </a:ext>
          </a:extLst>
        </cdr:cNvPr>
        <cdr:cNvSpPr/>
      </cdr:nvSpPr>
      <cdr:spPr>
        <a:xfrm xmlns:a="http://schemas.openxmlformats.org/drawingml/2006/main">
          <a:off x="7274818" y="2394592"/>
          <a:ext cx="210393" cy="136680"/>
        </a:xfrm>
        <a:prstGeom xmlns:a="http://schemas.openxmlformats.org/drawingml/2006/main" prst="roundRect">
          <a:avLst/>
        </a:prstGeom>
        <a:solidFill xmlns:a="http://schemas.openxmlformats.org/drawingml/2006/main">
          <a:schemeClr val="bg1">
            <a:lumMod val="95000"/>
          </a:schemeClr>
        </a:solidFill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anchor="ctr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pl-PL" sz="1050">
              <a:solidFill>
                <a:sysClr val="windowText" lastClr="000000"/>
              </a:solidFill>
            </a:rPr>
            <a:t>6</a:t>
          </a:r>
        </a:p>
      </cdr:txBody>
    </cdr:sp>
  </cdr:relSizeAnchor>
  <cdr:relSizeAnchor xmlns:cdr="http://schemas.openxmlformats.org/drawingml/2006/chartDrawing">
    <cdr:from>
      <cdr:x>0.48284</cdr:x>
      <cdr:y>0.95835</cdr:y>
    </cdr:from>
    <cdr:to>
      <cdr:x>0.51078</cdr:x>
      <cdr:y>0.98943</cdr:y>
    </cdr:to>
    <cdr:sp macro="" textlink="">
      <cdr:nvSpPr>
        <cdr:cNvPr id="16" name="Prostokąt: zaokrąglone rogi 15">
          <a:extLst xmlns:a="http://schemas.openxmlformats.org/drawingml/2006/main">
            <a:ext uri="{FF2B5EF4-FFF2-40B4-BE49-F238E27FC236}">
              <a16:creationId xmlns:a16="http://schemas.microsoft.com/office/drawing/2014/main" id="{589D155C-2548-DB54-DEAB-83506521A8E5}"/>
            </a:ext>
          </a:extLst>
        </cdr:cNvPr>
        <cdr:cNvSpPr/>
      </cdr:nvSpPr>
      <cdr:spPr>
        <a:xfrm xmlns:a="http://schemas.openxmlformats.org/drawingml/2006/main">
          <a:off x="3636053" y="4213974"/>
          <a:ext cx="210393" cy="136680"/>
        </a:xfrm>
        <a:prstGeom xmlns:a="http://schemas.openxmlformats.org/drawingml/2006/main" prst="roundRect">
          <a:avLst/>
        </a:prstGeom>
        <a:solidFill xmlns:a="http://schemas.openxmlformats.org/drawingml/2006/main">
          <a:schemeClr val="bg1">
            <a:lumMod val="95000"/>
          </a:schemeClr>
        </a:solidFill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anchor="ctr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pl-PL" sz="1050">
              <a:solidFill>
                <a:sysClr val="windowText" lastClr="000000"/>
              </a:solidFill>
            </a:rPr>
            <a:t>6</a:t>
          </a:r>
        </a:p>
      </cdr:txBody>
    </cdr:sp>
  </cdr:relSizeAnchor>
  <cdr:relSizeAnchor xmlns:cdr="http://schemas.openxmlformats.org/drawingml/2006/chartDrawing">
    <cdr:from>
      <cdr:x>0.96605</cdr:x>
      <cdr:y>0.59326</cdr:y>
    </cdr:from>
    <cdr:to>
      <cdr:x>0.99399</cdr:x>
      <cdr:y>0.62435</cdr:y>
    </cdr:to>
    <cdr:sp macro="" textlink="">
      <cdr:nvSpPr>
        <cdr:cNvPr id="17" name="Prostokąt: zaokrąglone rogi 16">
          <a:extLst xmlns:a="http://schemas.openxmlformats.org/drawingml/2006/main">
            <a:ext uri="{FF2B5EF4-FFF2-40B4-BE49-F238E27FC236}">
              <a16:creationId xmlns:a16="http://schemas.microsoft.com/office/drawing/2014/main" id="{92BB0FA6-9693-BFCC-6B3A-D665D3D7D7CA}"/>
            </a:ext>
          </a:extLst>
        </cdr:cNvPr>
        <cdr:cNvSpPr/>
      </cdr:nvSpPr>
      <cdr:spPr>
        <a:xfrm xmlns:a="http://schemas.openxmlformats.org/drawingml/2006/main">
          <a:off x="7274817" y="2608638"/>
          <a:ext cx="210393" cy="136680"/>
        </a:xfrm>
        <a:prstGeom xmlns:a="http://schemas.openxmlformats.org/drawingml/2006/main" prst="roundRect">
          <a:avLst/>
        </a:prstGeom>
        <a:solidFill xmlns:a="http://schemas.openxmlformats.org/drawingml/2006/main">
          <a:schemeClr val="bg1">
            <a:lumMod val="95000"/>
          </a:schemeClr>
        </a:solidFill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anchor="ctr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pl-PL" sz="1050">
              <a:solidFill>
                <a:sysClr val="windowText" lastClr="000000"/>
              </a:solidFill>
            </a:rPr>
            <a:t>7</a:t>
          </a:r>
        </a:p>
      </cdr:txBody>
    </cdr:sp>
  </cdr:relSizeAnchor>
  <cdr:relSizeAnchor xmlns:cdr="http://schemas.openxmlformats.org/drawingml/2006/chartDrawing">
    <cdr:from>
      <cdr:x>0.55248</cdr:x>
      <cdr:y>0.95835</cdr:y>
    </cdr:from>
    <cdr:to>
      <cdr:x>0.58042</cdr:x>
      <cdr:y>0.98943</cdr:y>
    </cdr:to>
    <cdr:sp macro="" textlink="">
      <cdr:nvSpPr>
        <cdr:cNvPr id="18" name="Prostokąt: zaokrąglone rogi 17">
          <a:extLst xmlns:a="http://schemas.openxmlformats.org/drawingml/2006/main">
            <a:ext uri="{FF2B5EF4-FFF2-40B4-BE49-F238E27FC236}">
              <a16:creationId xmlns:a16="http://schemas.microsoft.com/office/drawing/2014/main" id="{559FF688-F08B-F591-2296-399EAB101EE1}"/>
            </a:ext>
          </a:extLst>
        </cdr:cNvPr>
        <cdr:cNvSpPr/>
      </cdr:nvSpPr>
      <cdr:spPr>
        <a:xfrm xmlns:a="http://schemas.openxmlformats.org/drawingml/2006/main">
          <a:off x="4160463" y="4213974"/>
          <a:ext cx="210393" cy="136680"/>
        </a:xfrm>
        <a:prstGeom xmlns:a="http://schemas.openxmlformats.org/drawingml/2006/main" prst="roundRect">
          <a:avLst/>
        </a:prstGeom>
        <a:solidFill xmlns:a="http://schemas.openxmlformats.org/drawingml/2006/main">
          <a:schemeClr val="bg1">
            <a:lumMod val="95000"/>
          </a:schemeClr>
        </a:solidFill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anchor="ctr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pl-PL" sz="1050">
              <a:solidFill>
                <a:sysClr val="windowText" lastClr="000000"/>
              </a:solidFill>
            </a:rPr>
            <a:t>7</a:t>
          </a:r>
        </a:p>
      </cdr:txBody>
    </cdr:sp>
  </cdr:relSizeAnchor>
  <cdr:relSizeAnchor xmlns:cdr="http://schemas.openxmlformats.org/drawingml/2006/chartDrawing">
    <cdr:from>
      <cdr:x>0.96605</cdr:x>
      <cdr:y>0.64194</cdr:y>
    </cdr:from>
    <cdr:to>
      <cdr:x>0.99399</cdr:x>
      <cdr:y>0.67302</cdr:y>
    </cdr:to>
    <cdr:sp macro="" textlink="">
      <cdr:nvSpPr>
        <cdr:cNvPr id="19" name="Prostokąt: zaokrąglone rogi 18">
          <a:extLst xmlns:a="http://schemas.openxmlformats.org/drawingml/2006/main">
            <a:ext uri="{FF2B5EF4-FFF2-40B4-BE49-F238E27FC236}">
              <a16:creationId xmlns:a16="http://schemas.microsoft.com/office/drawing/2014/main" id="{559FF688-F08B-F591-2296-399EAB101EE1}"/>
            </a:ext>
          </a:extLst>
        </cdr:cNvPr>
        <cdr:cNvSpPr/>
      </cdr:nvSpPr>
      <cdr:spPr>
        <a:xfrm xmlns:a="http://schemas.openxmlformats.org/drawingml/2006/main">
          <a:off x="7274817" y="2822682"/>
          <a:ext cx="210393" cy="136680"/>
        </a:xfrm>
        <a:prstGeom xmlns:a="http://schemas.openxmlformats.org/drawingml/2006/main" prst="roundRect">
          <a:avLst/>
        </a:prstGeom>
        <a:solidFill xmlns:a="http://schemas.openxmlformats.org/drawingml/2006/main">
          <a:schemeClr val="bg1">
            <a:lumMod val="95000"/>
          </a:schemeClr>
        </a:solidFill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anchor="ctr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pl-PL" sz="1050">
              <a:solidFill>
                <a:sysClr val="windowText" lastClr="000000"/>
              </a:solidFill>
            </a:rPr>
            <a:t>8</a:t>
          </a:r>
        </a:p>
      </cdr:txBody>
    </cdr:sp>
  </cdr:relSizeAnchor>
  <cdr:relSizeAnchor xmlns:cdr="http://schemas.openxmlformats.org/drawingml/2006/chartDrawing">
    <cdr:from>
      <cdr:x>0.62496</cdr:x>
      <cdr:y>0.95592</cdr:y>
    </cdr:from>
    <cdr:to>
      <cdr:x>0.6529</cdr:x>
      <cdr:y>0.987</cdr:y>
    </cdr:to>
    <cdr:sp macro="" textlink="">
      <cdr:nvSpPr>
        <cdr:cNvPr id="20" name="Prostokąt: zaokrąglone rogi 19">
          <a:extLst xmlns:a="http://schemas.openxmlformats.org/drawingml/2006/main">
            <a:ext uri="{FF2B5EF4-FFF2-40B4-BE49-F238E27FC236}">
              <a16:creationId xmlns:a16="http://schemas.microsoft.com/office/drawing/2014/main" id="{7F1648C8-54C5-F429-B4C6-23AB861E44A3}"/>
            </a:ext>
          </a:extLst>
        </cdr:cNvPr>
        <cdr:cNvSpPr/>
      </cdr:nvSpPr>
      <cdr:spPr>
        <a:xfrm xmlns:a="http://schemas.openxmlformats.org/drawingml/2006/main">
          <a:off x="4706278" y="4203271"/>
          <a:ext cx="210393" cy="136680"/>
        </a:xfrm>
        <a:prstGeom xmlns:a="http://schemas.openxmlformats.org/drawingml/2006/main" prst="roundRect">
          <a:avLst/>
        </a:prstGeom>
        <a:solidFill xmlns:a="http://schemas.openxmlformats.org/drawingml/2006/main">
          <a:schemeClr val="bg1">
            <a:lumMod val="95000"/>
          </a:schemeClr>
        </a:solidFill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anchor="ctr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pl-PL" sz="1050">
              <a:solidFill>
                <a:sysClr val="windowText" lastClr="000000"/>
              </a:solidFill>
            </a:rPr>
            <a:t>8</a:t>
          </a:r>
        </a:p>
      </cdr:txBody>
    </cdr:sp>
  </cdr:relSizeAnchor>
</c:userShape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rian Rybiński" refreshedDate="45512.770538078701" createdVersion="8" refreshedVersion="8" minRefreshableVersion="3" recordCount="7" xr:uid="{919D749C-D5F1-4DC4-B099-0BA89313AC7A}">
  <cacheSource type="worksheet">
    <worksheetSource ref="M5:U12" sheet="Ratios"/>
  </cacheSource>
  <cacheFields count="9">
    <cacheField name="Year" numFmtId="0">
      <sharedItems count="7">
        <s v="2017"/>
        <s v="2018"/>
        <s v="2019"/>
        <s v="2020"/>
        <s v="2021"/>
        <s v="2022"/>
        <s v="2023"/>
      </sharedItems>
    </cacheField>
    <cacheField name="ROE_KGHM" numFmtId="164">
      <sharedItems containsSemiMixedTypes="0" containsString="0" containsNumber="1" minValue="-0.12892071253929444" maxValue="0.22680374382784288"/>
    </cacheField>
    <cacheField name="ROA_KGHM" numFmtId="164">
      <sharedItems containsSemiMixedTypes="0" containsString="0" containsNumber="1" minValue="-7.1833096549442421E-2" maxValue="0.12815707831011722"/>
    </cacheField>
    <cacheField name="ROS_KGHM" numFmtId="164">
      <sharedItems containsSemiMixedTypes="0" containsString="0" containsNumber="1" minValue="1.6732901066722441E-2" maxValue="0.25316828765104626"/>
    </cacheField>
    <cacheField name="EBIT Margin_KGHM" numFmtId="164">
      <sharedItems containsSemiMixedTypes="0" containsString="0" containsNumber="1" minValue="-0.10770156438026474" maxValue="0.2622510275055327"/>
    </cacheField>
    <cacheField name="ROE_Top40" numFmtId="164">
      <sharedItems containsSemiMixedTypes="0" containsString="0" containsNumber="1" minValue="0.10834813499111901" maxValue="0.25853658536585367"/>
    </cacheField>
    <cacheField name="ROA_Top40" numFmtId="164">
      <sharedItems containsSemiMixedTypes="0" containsString="0" containsNumber="1" minValue="5.3555750658472345E-2" maxValue="0.12874493927125505"/>
    </cacheField>
    <cacheField name="ROS_Top40" numFmtId="164">
      <sharedItems containsSemiMixedTypes="0" containsString="0" containsNumber="1" minValue="0.11619047619047619" maxValue="0.2211404728789986"/>
    </cacheField>
    <cacheField name="EBIT Margin_Top40" numFmtId="164">
      <sharedItems containsSemiMixedTypes="0" containsString="0" containsNumber="1" minValue="0.17052023121387283" maxValue="0.25945945945945947" count="7">
        <n v="0.17563291139240506"/>
        <n v="0.17276720351390923"/>
        <n v="0.17052023121387283"/>
        <n v="0.18873668188736681"/>
        <n v="0.25945945945945947"/>
        <n v="0.23860021208907742"/>
        <n v="0.18698224852071005"/>
      </sharedItems>
    </cacheField>
  </cacheFields>
  <extLst>
    <ext xmlns:x14="http://schemas.microsoft.com/office/spreadsheetml/2009/9/main" uri="{725AE2AE-9491-48be-B2B4-4EB974FC3084}">
      <x14:pivotCacheDefinition pivotCacheId="1472651082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rian Rybiński" refreshedDate="45514.460444212964" createdVersion="8" refreshedVersion="8" minRefreshableVersion="3" recordCount="7" xr:uid="{8C6002CC-ED49-4FD9-9CDB-4A2D8F0A5B4A}">
  <cacheSource type="worksheet">
    <worksheetSource ref="AG5:AO12" sheet="Ratios"/>
  </cacheSource>
  <cacheFields count="9">
    <cacheField name="Year" numFmtId="0">
      <sharedItems count="7">
        <s v="2017"/>
        <s v="2018"/>
        <s v="2019"/>
        <s v="2020"/>
        <s v="2021"/>
        <s v="2022"/>
        <s v="2023"/>
      </sharedItems>
    </cacheField>
    <cacheField name="Total_Debt_Ratio_KGHM" numFmtId="2">
      <sharedItems containsSemiMixedTypes="0" containsString="0" containsNumber="1" minValue="0.39851059052466131" maxValue="0.50722300140252452"/>
    </cacheField>
    <cacheField name="Long-Term_Debt_Ratio_KGHM" numFmtId="2">
      <sharedItems containsSemiMixedTypes="0" containsString="0" containsNumber="1" minValue="0.37681204504448451" maxValue="0.6542384137374887"/>
    </cacheField>
    <cacheField name="Debt_to_Equity_Ratio_KGHM" numFmtId="2">
      <sharedItems containsSemiMixedTypes="0" containsString="0" containsNumber="1" minValue="0.66253966278852738" maxValue="1.0293154973672975"/>
    </cacheField>
    <cacheField name="Leverage_of_Debt_Capital_KGHM" numFmtId="2">
      <sharedItems containsSemiMixedTypes="0" containsString="0" containsNumber="1" minValue="1.630156907768848" maxValue="2.484713156990725"/>
    </cacheField>
    <cacheField name="Total_Debt_Ratio_Top40" numFmtId="2">
      <sharedItems containsSemiMixedTypes="0" containsString="0" containsNumber="1" minValue="0.47900466562986005" maxValue="0.50990990990990992"/>
    </cacheField>
    <cacheField name="Long-Term_Debt_Ratio_Top40" numFmtId="2">
      <sharedItems containsSemiMixedTypes="0" containsString="0" containsNumber="1" minValue="0.56417910447761199" maxValue="0.6966911764705882"/>
    </cacheField>
    <cacheField name="Debt_to_Equity_Ratio_Top40" numFmtId="2">
      <sharedItems containsSemiMixedTypes="0" containsString="0" containsNumber="1" minValue="0.91940298507462681" maxValue="1.0404411764705883"/>
    </cacheField>
    <cacheField name="Leverage_of_Debt_Capital_Top40" numFmtId="2">
      <sharedItems containsSemiMixedTypes="0" containsString="0" containsNumber="1" minValue="1.5958549222797926" maxValue="2.0507246376811592"/>
    </cacheField>
  </cacheFields>
  <extLst>
    <ext xmlns:x14="http://schemas.microsoft.com/office/spreadsheetml/2009/9/main" uri="{725AE2AE-9491-48be-B2B4-4EB974FC3084}">
      <x14:pivotCacheDefinition pivotCacheId="135316637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">
  <r>
    <x v="0"/>
    <n v="8.5746415518695523E-2"/>
    <n v="4.4692573706113355E-2"/>
    <n v="0.25316828765104626"/>
    <n v="5.7687970772630916E-2"/>
    <n v="0.11948529411764706"/>
    <n v="5.8558558558558557E-2"/>
    <n v="0.14348785871964681"/>
    <x v="0"/>
  </r>
  <r>
    <x v="1"/>
    <n v="8.6241872561768532E-2"/>
    <n v="4.4525606251846282E-2"/>
    <n v="0.19346195069667738"/>
    <n v="0.14959899865560242"/>
    <n v="0.12222222222222222"/>
    <n v="6.1111111111111109E-2"/>
    <n v="0.13496932515337423"/>
    <x v="1"/>
  </r>
  <r>
    <x v="2"/>
    <n v="7.0339570339570334E-2"/>
    <n v="3.6057753305082596E-2"/>
    <n v="0.17409673018527483"/>
    <n v="0.11243105642766228"/>
    <n v="0.10834813499111901"/>
    <n v="5.3555750658472345E-2"/>
    <n v="0.11619047619047619"/>
    <x v="2"/>
  </r>
  <r>
    <x v="3"/>
    <n v="8.5242635548598261E-2"/>
    <n v="4.2005610098176716E-2"/>
    <n v="0.19680941096817875"/>
    <n v="0.11320294392713373"/>
    <n v="0.12347826086956522"/>
    <n v="6.1049011177987965E-2"/>
    <n v="0.13027522935779817"/>
    <x v="3"/>
  </r>
  <r>
    <x v="4"/>
    <n v="0.22680374382784288"/>
    <n v="0.12815707831011722"/>
    <n v="0.21051571989397042"/>
    <n v="0.2622510275055327"/>
    <n v="0.25853658536585367"/>
    <n v="0.12874493927125505"/>
    <n v="0.2211404728789986"/>
    <x v="4"/>
  </r>
  <r>
    <x v="5"/>
    <n v="0.14850992347414921"/>
    <n v="8.9327146171693739E-2"/>
    <n v="0.1863089786391704"/>
    <n v="0.18845467722154086"/>
    <n v="0.22835820895522388"/>
    <n v="0.11897356143079316"/>
    <n v="0.21518987341772153"/>
    <x v="5"/>
  </r>
  <r>
    <x v="6"/>
    <n v="-0.12892071253929444"/>
    <n v="-7.1833096549442421E-2"/>
    <n v="1.6732901066722441E-2"/>
    <n v="-0.10770156438026474"/>
    <n v="0.13595166163141995"/>
    <n v="6.9875776397515521E-2"/>
    <n v="0.13493253373313344"/>
    <x v="6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">
  <r>
    <x v="0"/>
    <n v="0.47878201746673699"/>
    <n v="0.61163902164745576"/>
    <n v="0.9185830756255271"/>
    <n v="2.1476271854870514"/>
    <n v="0.50990990990990992"/>
    <n v="0.6966911764705882"/>
    <n v="1.0404411764705883"/>
    <n v="2.0507246376811592"/>
  </r>
  <r>
    <x v="1"/>
    <n v="0.48371243655503932"/>
    <n v="0.63183355006501951"/>
    <n v="0.93690507152145641"/>
    <n v="2.2910200966675145"/>
    <n v="0.5"/>
    <n v="0.67407407407407405"/>
    <n v="1"/>
    <n v="1.8947368421052631"/>
  </r>
  <r>
    <x v="2"/>
    <n v="0.48737598010606714"/>
    <n v="0.65196515196515192"/>
    <n v="0.95074745074745071"/>
    <n v="2.4815245478036174"/>
    <n v="0.50570676031606676"/>
    <n v="0.66962699822380112"/>
    <n v="1.0230905861456483"/>
    <n v="2.0425531914893615"/>
  </r>
  <r>
    <x v="3"/>
    <n v="0.50722300140252452"/>
    <n v="0.6542384137374887"/>
    <n v="1.0293154973672975"/>
    <n v="2.484713156990725"/>
    <n v="0.50558899398108337"/>
    <n v="0.68869565217391304"/>
    <n v="1.0226086956521738"/>
    <n v="1.9153094462540716"/>
  </r>
  <r>
    <x v="4"/>
    <n v="0.43494284464988442"/>
    <n v="0.41826958508364653"/>
    <n v="0.76973247844351089"/>
    <n v="1.8383349467570185"/>
    <n v="0.50202429149797567"/>
    <n v="0.62764227642276427"/>
    <n v="1.0081300813008129"/>
    <n v="1.6756756756756757"/>
  </r>
  <r>
    <x v="5"/>
    <n v="0.39851059052466131"/>
    <n v="0.37681204504448451"/>
    <n v="0.66253966278852738"/>
    <n v="1.630156907768848"/>
    <n v="0.47900466562986005"/>
    <n v="0.56417910447761199"/>
    <n v="0.91940298507462681"/>
    <n v="1.5958549222797926"/>
  </r>
  <r>
    <x v="6"/>
    <n v="0.44281182492263976"/>
    <n v="0.38896262661543834"/>
    <n v="0.7947258120852253"/>
    <n v="1.6977316818385315"/>
    <n v="0.4860248447204969"/>
    <n v="0.595166163141994"/>
    <n v="0.94561933534743203"/>
    <n v="1.719780219780219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E990FF5-3E3B-48E8-95A5-007AB2B13134}" name="Tabela przestawna4" cacheId="0" applyNumberFormats="0" applyBorderFormats="0" applyFontFormats="0" applyPatternFormats="0" applyAlignmentFormats="0" applyWidthHeightFormats="1" dataCaption="Wartości" updatedVersion="8" minRefreshableVersion="3" useAutoFormatting="1" rowGrandTotals="0" itemPrintTitles="1" createdVersion="8" indent="0" outline="1" outlineData="1" multipleFieldFilters="0" chartFormat="28">
  <location ref="D20:L21" firstHeaderRow="0" firstDataRow="1" firstDataCol="1"/>
  <pivotFields count="9">
    <pivotField axis="axisRow" showAll="0">
      <items count="8">
        <item h="1" x="0"/>
        <item h="1" x="1"/>
        <item h="1" x="2"/>
        <item h="1" x="3"/>
        <item h="1" x="4"/>
        <item h="1" x="5"/>
        <item x="6"/>
        <item t="default"/>
      </items>
    </pivotField>
    <pivotField dataField="1" numFmtId="164" showAll="0"/>
    <pivotField dataField="1" numFmtId="164" showAll="0"/>
    <pivotField dataField="1" numFmtId="164" showAll="0"/>
    <pivotField dataField="1" numFmtId="164" showAll="0"/>
    <pivotField dataField="1" numFmtId="164" showAll="0"/>
    <pivotField dataField="1" numFmtId="164" showAll="0"/>
    <pivotField dataField="1" numFmtId="164" showAll="0"/>
    <pivotField dataField="1" numFmtId="164" showAll="0">
      <items count="8">
        <item x="2"/>
        <item x="1"/>
        <item x="0"/>
        <item x="6"/>
        <item x="3"/>
        <item x="5"/>
        <item x="4"/>
        <item t="default"/>
      </items>
    </pivotField>
  </pivotFields>
  <rowFields count="1">
    <field x="0"/>
  </rowFields>
  <rowItems count="1">
    <i>
      <x v="6"/>
    </i>
  </rowItems>
  <colFields count="1">
    <field x="-2"/>
  </colFields>
  <col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colItems>
  <dataFields count="8">
    <dataField name="EBIT Margin Top40" fld="8" baseField="0" baseItem="0"/>
    <dataField name="EBIT Margin KGHM " fld="4" baseField="0" baseItem="0"/>
    <dataField name="ROS Top40" fld="7" baseField="0" baseItem="0"/>
    <dataField name="ROS KGHM " fld="3" baseField="0" baseItem="0"/>
    <dataField name="ROA Top40" fld="6" baseField="0" baseItem="0"/>
    <dataField name="ROA KGHM " fld="2" baseField="0" baseItem="0"/>
    <dataField name="ROE Top40 " fld="5" baseField="0" baseItem="0"/>
    <dataField name="ROE KGHM " fld="1" baseField="0" baseItem="0"/>
  </dataFields>
  <formats count="1">
    <format dxfId="45">
      <pivotArea outline="0" collapsedLevelsAreSubtotals="1" fieldPosition="0"/>
    </format>
  </formats>
  <chartFormats count="9">
    <chartFormat chart="26" format="1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6" format="1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6" format="18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6" format="19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6" format="20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26" format="21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26" format="22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26" format="23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26" format="24">
      <pivotArea type="data" outline="0" fieldPosition="0">
        <references count="1">
          <reference field="4294967294" count="1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30ECC53-6EF4-4A80-937E-C3EE9CC846CD}" name="Tabela przestawna1" cacheId="1" applyNumberFormats="0" applyBorderFormats="0" applyFontFormats="0" applyPatternFormats="0" applyAlignmentFormats="0" applyWidthHeightFormats="1" dataCaption="Wartości" updatedVersion="8" minRefreshableVersion="3" useAutoFormatting="1" rowGrandTotals="0" itemPrintTitles="1" createdVersion="8" indent="0" outline="1" outlineData="1" multipleFieldFilters="0" chartFormat="4" rowHeaderCaption="Year">
  <location ref="AG17:AO18" firstHeaderRow="0" firstDataRow="1" firstDataCol="1"/>
  <pivotFields count="9">
    <pivotField axis="axisRow" showAll="0">
      <items count="8">
        <item h="1" x="0"/>
        <item h="1" x="1"/>
        <item h="1" x="2"/>
        <item h="1" x="3"/>
        <item h="1" x="4"/>
        <item h="1" x="5"/>
        <item x="6"/>
        <item t="default"/>
      </items>
    </pivotField>
    <pivotField dataField="1" numFmtId="2" showAll="0"/>
    <pivotField dataField="1" numFmtId="2" showAll="0"/>
    <pivotField dataField="1" numFmtId="2" showAll="0"/>
    <pivotField dataField="1" numFmtId="2" showAll="0"/>
    <pivotField dataField="1" numFmtId="2" showAll="0"/>
    <pivotField dataField="1" numFmtId="2" showAll="0"/>
    <pivotField dataField="1" numFmtId="2" showAll="0"/>
    <pivotField dataField="1" numFmtId="2" showAll="0"/>
  </pivotFields>
  <rowFields count="1">
    <field x="0"/>
  </rowFields>
  <rowItems count="1">
    <i>
      <x v="6"/>
    </i>
  </rowItems>
  <colFields count="1">
    <field x="-2"/>
  </colFields>
  <col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colItems>
  <dataFields count="8">
    <dataField name="Total Debt Ratio KGHM" fld="1" baseField="0" baseItem="0"/>
    <dataField name="Total Debt Ratio Top40" fld="5" baseField="0" baseItem="0"/>
    <dataField name="Long-Term Debt Ratio KGHM" fld="2" baseField="0" baseItem="0"/>
    <dataField name="Long-Term Debt Ratio Top40" fld="6" baseField="0" baseItem="0"/>
    <dataField name="Debt to Equity Ratio KGHM" fld="3" baseField="0" baseItem="0"/>
    <dataField name="Debt to Equity Ratio Top40" fld="7" baseField="0" baseItem="0"/>
    <dataField name="Leverage of Debt Capital KGHM" fld="4" baseField="0" baseItem="0"/>
    <dataField name="Leverage of Debt Capital Top40" fld="8" baseField="0" baseItem="0"/>
  </dataFields>
  <formats count="1">
    <format dxfId="46">
      <pivotArea outline="0" collapsedLevelsAreSubtotals="1" fieldPosition="0"/>
    </format>
  </formats>
  <chartFormats count="13">
    <chartFormat chart="3" format="1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18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" format="19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3" format="20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3" format="21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3" format="22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3" format="23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3" format="24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5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26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" format="27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3" format="28">
      <pivotArea type="data" outline="0" fieldPosition="0">
        <references count="1">
          <reference field="4294967294" count="1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7" xr16:uid="{A8D64A8A-994D-46D1-9DC1-7E0814F8F71B}" autoFormatId="16" applyNumberFormats="0" applyBorderFormats="0" applyFontFormats="0" applyPatternFormats="0" applyAlignmentFormats="0" applyWidthHeightFormats="0">
  <queryTableRefresh nextId="13">
    <queryTableFields count="12">
      <queryTableField id="1" name="Year" tableColumnId="1"/>
      <queryTableField id="2" name="Mining_and_Metallurgical_Tangible_fixed_Assets" tableColumnId="2"/>
      <queryTableField id="3" name="Mining_and_Metallurgical_Intangible_Assets" tableColumnId="3"/>
      <queryTableField id="4" name="Mining_and_Metallurgical_Tangible_and_Intangible_Assets" tableColumnId="4"/>
      <queryTableField id="5" name="Other_Tangible_Fixed_Assets" tableColumnId="5"/>
      <queryTableField id="6" name="Other_Intangible_Assets" tableColumnId="6"/>
      <queryTableField id="7" name="Other_Tangible_and_Intangible_Assets" tableColumnId="7"/>
      <queryTableField id="8" name="Total_Commitment_to_Joint_Ventures" tableColumnId="8"/>
      <queryTableField id="9" name="Total_Financial_Instruments" tableColumnId="9"/>
      <queryTableField id="10" name="Deferred_Income_Tax_Assets" tableColumnId="10"/>
      <queryTableField id="11" name="Other_Non_Financial_Assets" tableColumnId="11"/>
      <queryTableField id="12" name="Total_Non_Current_Assets" tableColumnId="1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A8F91372-2B8A-407C-8DB7-77E6AED1B06E}" autoFormatId="16" applyNumberFormats="0" applyBorderFormats="0" applyFontFormats="0" applyPatternFormats="0" applyAlignmentFormats="0" applyWidthHeightFormats="0">
  <queryTableRefresh nextId="14">
    <queryTableFields count="13">
      <queryTableField id="1" name="Year" tableColumnId="1"/>
      <queryTableField id="2" name="Inventories" tableColumnId="2"/>
      <queryTableField id="3" name="Trade_Receivables_Including" tableColumnId="3"/>
      <queryTableField id="4" name="Trade_Receivables_Fair_Value_Through_Profit_or_Loss" tableColumnId="4"/>
      <queryTableField id="5" name="Tax_Receivables" tableColumnId="5"/>
      <queryTableField id="6" name="Derivative_Financial_Instruments" tableColumnId="6"/>
      <queryTableField id="7" name="Commitments_to_Joint_Ventures_Loans_Granted" tableColumnId="7"/>
      <queryTableField id="8" name="Other_Financial_Assets" tableColumnId="8"/>
      <queryTableField id="9" name="Other_Non_Financial_Assets" tableColumnId="9"/>
      <queryTableField id="10" name="Cash_and_Cash_Equivalents" tableColumnId="10"/>
      <queryTableField id="11" name="Assets_Held_for_Sale_Disposal_Group" tableColumnId="11"/>
      <queryTableField id="12" name="Current_Assets" tableColumnId="12"/>
      <queryTableField id="13" name="TOTAL_ASSETS" tableColumnId="1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2" xr16:uid="{AF9E9456-B65B-437C-8258-D0791E35600C}" autoFormatId="16" applyNumberFormats="0" applyBorderFormats="0" applyFontFormats="0" applyPatternFormats="0" applyAlignmentFormats="0" applyWidthHeightFormats="0">
  <queryTableRefresh nextId="9">
    <queryTableFields count="8">
      <queryTableField id="1" name="Year" tableColumnId="1"/>
      <queryTableField id="2" name="Property_plant_and_equipment" tableColumnId="2"/>
      <queryTableField id="3" name="Goodwill_and_other_intangibles" tableColumnId="3"/>
      <queryTableField id="4" name="Investment_in_assosiates_and_joint_ventures" tableColumnId="4"/>
      <queryTableField id="5" name="Other_investments_and_loang_granted" tableColumnId="5"/>
      <queryTableField id="6" name="Other" tableColumnId="6"/>
      <queryTableField id="7" name="Total_non_current_assets" tableColumnId="7"/>
      <queryTableField id="8" name="Total_assets" tableColumnId="8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10F5B24A-FB08-4629-9845-5107B8BCE1F8}" autoFormatId="16" applyNumberFormats="0" applyBorderFormats="0" applyFontFormats="0" applyPatternFormats="0" applyAlignmentFormats="0" applyWidthHeightFormats="0">
  <queryTableRefresh nextId="7">
    <queryTableFields count="6">
      <queryTableField id="1" name="Year" tableColumnId="1"/>
      <queryTableField id="2" name="Cash" tableColumnId="2"/>
      <queryTableField id="3" name="Inventories" tableColumnId="3"/>
      <queryTableField id="4" name="Account_receivable" tableColumnId="4"/>
      <queryTableField id="5" name="Other" tableColumnId="5"/>
      <queryTableField id="6" name="Total_current_assets" tableColumnId="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5" xr16:uid="{17BE5089-7155-494B-BC4C-3D550C990C05}" autoFormatId="16" applyNumberFormats="0" applyBorderFormats="0" applyFontFormats="0" applyPatternFormats="0" applyAlignmentFormats="0" applyWidthHeightFormats="0">
  <queryTableRefresh nextId="9">
    <queryTableFields count="8">
      <queryTableField id="1" name="Year" tableColumnId="1"/>
      <queryTableField id="2" name="Share_Capital" tableColumnId="2"/>
      <queryTableField id="3" name="Capital_Reserve_from_Financial_Instruments_Valuation" tableColumnId="3"/>
      <queryTableField id="4" name="Accumulated_Other_Comprehensive_Income_Excluding_Financial_Instruments_Valuation" tableColumnId="4"/>
      <queryTableField id="5" name="Retained_Earnings" tableColumnId="5"/>
      <queryTableField id="6" name="Equity_Attributable_to_Owners_of_the_Parent" tableColumnId="6"/>
      <queryTableField id="7" name="Non_controlling_Interests_Equity" tableColumnId="7"/>
      <queryTableField id="8" name="Equity" tableColumnId="8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6" xr16:uid="{28D26E45-2330-4B93-A47C-02E94459A317}" autoFormatId="16" applyNumberFormats="0" applyBorderFormats="0" applyFontFormats="0" applyPatternFormats="0" applyAlignmentFormats="0" applyWidthHeightFormats="0">
  <queryTableRefresh nextId="11">
    <queryTableFields count="10">
      <queryTableField id="1" name="Year" tableColumnId="1"/>
      <queryTableField id="2" name="Liabilities_from_Loans_Leases_and_Debt_Securities" tableColumnId="2"/>
      <queryTableField id="3" name="Derivative_Financial_Instruments" tableColumnId="3"/>
      <queryTableField id="4" name="Employee_Benefit_Liabilities" tableColumnId="4"/>
      <queryTableField id="5" name="Provisions_for_Mine_Closure_and_Other_Technological_Facilities_Costs" tableColumnId="5"/>
      <queryTableField id="6" name="Deferred_Income_Tax_Liabilities" tableColumnId="6"/>
      <queryTableField id="7" name="Other_Liabilities" tableColumnId="7"/>
      <queryTableField id="8" name="Long_Term_Liabilities" tableColumnId="8"/>
      <queryTableField id="9" name="Long_and_Short_Term_Liabilities" tableColumnId="9"/>
      <queryTableField id="10" name="Total_Liabilities_and_Equity" tableColumnId="10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9" xr16:uid="{6E6F74C2-BF23-474E-B807-5FCEF4373F34}" autoFormatId="16" applyNumberFormats="0" applyBorderFormats="0" applyFontFormats="0" applyPatternFormats="0" applyAlignmentFormats="0" applyWidthHeightFormats="0">
  <queryTableRefresh nextId="14">
    <queryTableFields count="13">
      <queryTableField id="1" name="Year" tableColumnId="1"/>
      <queryTableField id="2" name="Liabilities_From_Loans_Leases_and_Debt_Securities" tableColumnId="2"/>
      <queryTableField id="3" name="Derivative_Financial_Instruments" tableColumnId="3"/>
      <queryTableField id="4" name="Liabilities_To_Suppliers_and_Similar" tableColumnId="4"/>
      <queryTableField id="5" name="Employee_Benefit_Liabilities" tableColumnId="5"/>
      <queryTableField id="6" name="Tax_Liabilities" tableColumnId="6"/>
      <queryTableField id="7" name="Provisions_For_Liabilities_and_Other_Charges" tableColumnId="7"/>
      <queryTableField id="8" name="Other_Liabilities" tableColumnId="8"/>
      <queryTableField id="9" name="Liabilities_Associated_With_Assets_Held_For_Sale" tableColumnId="9"/>
      <queryTableField id="10" name="Liabilities_Related_To_Disposal_Groups" tableColumnId="10"/>
      <queryTableField id="11" name="Short_Term_Liabilities" tableColumnId="11"/>
      <queryTableField id="12" name="Long_and_Short_Term_Liabilities" tableColumnId="12"/>
      <queryTableField id="13" name="Total_Liabilities_and_Equity" tableColumnId="1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35F6E871-CFA3-496C-AB03-15172E2619EB}" autoFormatId="16" applyNumberFormats="0" applyBorderFormats="0" applyFontFormats="0" applyPatternFormats="0" applyAlignmentFormats="0" applyWidthHeightFormats="0">
  <queryTableRefresh nextId="8">
    <queryTableFields count="7">
      <queryTableField id="1" name="Year" tableColumnId="1"/>
      <queryTableField id="2" name="Borrowings" tableColumnId="2"/>
      <queryTableField id="3" name="Other" tableColumnId="3"/>
      <queryTableField id="4" name="Total_non_current_liabilities" tableColumnId="4"/>
      <queryTableField id="5" name="Total_liabilities" tableColumnId="5"/>
      <queryTableField id="6" name="Equity" tableColumnId="6"/>
      <queryTableField id="7" name="Equity_and_Liabilities" tableColumnId="7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4" xr16:uid="{EE4BC301-E1AE-45E1-B051-0966BA2B029B}" autoFormatId="16" applyNumberFormats="0" applyBorderFormats="0" applyFontFormats="0" applyPatternFormats="0" applyAlignmentFormats="0" applyWidthHeightFormats="0">
  <queryTableRefresh nextId="6">
    <queryTableFields count="5">
      <queryTableField id="1" name="Year" tableColumnId="1"/>
      <queryTableField id="2" name="Accounts_payable" tableColumnId="2"/>
      <queryTableField id="3" name="Borrowings" tableColumnId="3"/>
      <queryTableField id="4" name="Other" tableColumnId="4"/>
      <queryTableField id="5" name="Total_current_liabilities" tableColumnId="5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8" xr16:uid="{8220BC79-D07B-4022-9A32-561515F64688}" autoFormatId="16" applyNumberFormats="0" applyBorderFormats="0" applyFontFormats="0" applyPatternFormats="0" applyAlignmentFormats="0" applyWidthHeightFormats="0">
  <queryTableRefresh nextId="15">
    <queryTableFields count="14">
      <queryTableField id="1" name="Year" tableColumnId="1"/>
      <queryTableField id="2" name="Revenue_From_Contracts_With_Customers" tableColumnId="2"/>
      <queryTableField id="3" name="Cost_of_Goods_Sold" tableColumnId="3"/>
      <queryTableField id="4" name="Gross_Profit_From_Sales" tableColumnId="4"/>
      <queryTableField id="5" name="Selling_And_Administrative_Expenses" tableColumnId="5"/>
      <queryTableField id="6" name="Net_Profit_From_Sales" tableColumnId="6"/>
      <queryTableField id="7" name="Results_From_Joint_Ventures" tableColumnId="7"/>
      <queryTableField id="8" name="Other_Operating_Revenues" tableColumnId="8"/>
      <queryTableField id="9" name="Other_Operating_Expenses" tableColumnId="9"/>
      <queryTableField id="10" name="Financial_Revenues" tableColumnId="10"/>
      <queryTableField id="11" name="Financial_Expenses" tableColumnId="11"/>
      <queryTableField id="12" name="Profit_Before_Tax" tableColumnId="12"/>
      <queryTableField id="13" name="Income_Tax" tableColumnId="13"/>
      <queryTableField id="14" name="Net_Profit" tableColumnId="14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3" xr16:uid="{7FA1D86A-9186-463D-ABF2-83175AE4D5BE}" autoFormatId="16" applyNumberFormats="0" applyBorderFormats="0" applyFontFormats="0" applyPatternFormats="0" applyAlignmentFormats="0" applyWidthHeightFormats="0">
  <queryTableRefresh nextId="17">
    <queryTableFields count="16">
      <queryTableField id="1" name="Year" tableColumnId="1"/>
      <queryTableField id="2" name="Revenue" tableColumnId="2"/>
      <queryTableField id="3" name="Trading_revenue" tableColumnId="3"/>
      <queryTableField id="4" name="Operating_expenses" tableColumnId="4"/>
      <queryTableField id="5" name="Other_operating_expenses" tableColumnId="5"/>
      <queryTableField id="6" name="EBITDA" tableColumnId="6"/>
      <queryTableField id="7" name="Impaiment_charges" tableColumnId="7"/>
      <queryTableField id="8" name="Deprecation_and_amortisation" tableColumnId="8"/>
      <queryTableField id="9" name="Net_finance_cost" tableColumnId="9"/>
      <queryTableField id="10" name="PBT" tableColumnId="10"/>
      <queryTableField id="11" name="Income_tax_expense" tableColumnId="11"/>
      <queryTableField id="12" name="Net_profit" tableColumnId="12"/>
      <queryTableField id="13" name="Net_operating_cash_flows" tableColumnId="13"/>
      <queryTableField id="14" name="EBIT" tableColumnId="14"/>
      <queryTableField id="15" name="estimated_Selling_And_Administrative_Expenses" tableColumnId="15"/>
      <queryTableField id="16" name="estimated_cost_of_goods_sold" tableColumnId="16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8697EF25-29E4-429D-BF33-5F2C00E9240E}" autoFormatId="16" applyNumberFormats="0" applyBorderFormats="0" applyFontFormats="0" applyPatternFormats="0" applyAlignmentFormats="0" applyWidthHeightFormats="0">
  <queryTableRefresh nextId="24">
    <queryTableFields count="23">
      <queryTableField id="1" name="Year" tableColumnId="1"/>
      <queryTableField id="2" name="Profit_Before_Tax" tableColumnId="2"/>
      <queryTableField id="3" name="Depreciation_Included_In_Profit" tableColumnId="3"/>
      <queryTableField id="4" name="Share_Of_Losses_Of_Joint_Ventures_Accounted_For_Using_The_Equity_Method" tableColumnId="4"/>
      <queryTableField id="5" name="Gain_On_Reversal_Of_Impairment_Of_Loans_Granted_To_Joint_Venture" tableColumnId="5"/>
      <queryTableField id="6" name="Interest_On_Loans_Granted_To_Joint_Ventures" tableColumnId="6"/>
      <queryTableField id="7" name="Other_Interest" tableColumnId="7"/>
      <queryTableField id="8" name="Impairment_Losses_On_Non_Current_Assets" tableColumnId="8"/>
      <queryTableField id="9" name="Gains_On_Disposal_Of_Non_Current_Assets" tableColumnId="9"/>
      <queryTableField id="10" name="Gain_On_Disposal_Of_Subsidiaries" tableColumnId="10"/>
      <queryTableField id="11" name="Foreign_Exchange_Differences_From" tableColumnId="11"/>
      <queryTableField id="12" name="From_Investment_Activities_And_Valuation_Of_Cash_Holdings" tableColumnId="12"/>
      <queryTableField id="13" name="From_Financial_Activities" tableColumnId="13"/>
      <queryTableField id="14" name="Change_In_Provisions_For_Mine_Closure_Employee_Benefits_And_Other_Provisions" tableColumnId="14"/>
      <queryTableField id="15" name="Change_In_Other_Receivables_And_Liabilities_Not_Related_To_Working_Capital" tableColumnId="15"/>
      <queryTableField id="16" name="Change_In_Derivative_Assets_And_Liabilities" tableColumnId="16"/>
      <queryTableField id="17" name="Reclassification_Of_Other_Comprehensive_Income_To_Profit_Or_Loss_On_Realisation_Of_Hedging_Derivatives" tableColumnId="17"/>
      <queryTableField id="18" name="Other_Adjustments" tableColumnId="18"/>
      <queryTableField id="19" name="Total_Exclusions_Of_Revenues_And_Costs" tableColumnId="19"/>
      <queryTableField id="20" name="Income_Tax_Paid" tableColumnId="20"/>
      <queryTableField id="21" name="Change_In_Working_Capital_including" tableColumnId="21"/>
      <queryTableField id="22" name="Change_In_Trade_Liabilities_Transferred_To_Factoring" tableColumnId="22"/>
      <queryTableField id="23" name="Net_Cash_Flows_From_Operating_Activities" tableColumnId="23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CB6F6DCA-E5DA-4AB3-B433-0B2B6A34CFA3}" autoFormatId="16" applyNumberFormats="0" applyBorderFormats="0" applyFontFormats="0" applyPatternFormats="0" applyAlignmentFormats="0" applyWidthHeightFormats="0">
  <queryTableRefresh nextId="9">
    <queryTableFields count="8">
      <queryTableField id="1" name="Year" tableColumnId="1"/>
      <queryTableField id="2" name="Expenditures_Related_To_Mining_And_Metallurgical_Assets" tableColumnId="2"/>
      <queryTableField id="3" name="Expenditures_On_Other_Tangible_And_Intangible_Non_Current_Assets" tableColumnId="3"/>
      <queryTableField id="4" name="Acquisition_Of_Interests_In_Joint_Ventures" tableColumnId="4"/>
      <queryTableField id="5" name="Other_Payments" tableColumnId="5"/>
      <queryTableField id="6" name="Total_Payments" tableColumnId="6"/>
      <queryTableField id="7" name="Inflows" tableColumnId="7"/>
      <queryTableField id="8" name="Cash_Flows_From_Investing_Activities" tableColumnId="8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3389132-1529-43C9-BE54-876CC303D65F}" autoFormatId="16" applyNumberFormats="0" applyBorderFormats="0" applyFontFormats="0" applyPatternFormats="0" applyAlignmentFormats="0" applyWidthHeightFormats="0">
  <queryTableRefresh nextId="42">
    <queryTableFields count="10">
      <queryTableField id="11" name="Year" tableColumnId="11"/>
      <queryTableField id="29" name="Inflows_From_Borrowings" tableColumnId="1"/>
      <queryTableField id="30" name="Other_Inflows" tableColumnId="2"/>
      <queryTableField id="31" name="Total_Inflows" tableColumnId="3"/>
      <queryTableField id="32" name="Payments_From_Borrowings" tableColumnId="4"/>
      <queryTableField id="33" name="Dividends_Paid_To_Equity_Holders" tableColumnId="5"/>
      <queryTableField id="34" name="Interest_And_Other_Borrowing_Costs_Paid" tableColumnId="6"/>
      <queryTableField id="18" name="Other_Payments" tableColumnId="18"/>
      <queryTableField id="19" name="Total_Payments" tableColumnId="19"/>
      <queryTableField id="35" name="Net_Cash_Flows_From_Financing_Activities" tableColumnId="7"/>
    </queryTableFields>
  </queryTableRefresh>
</queryTable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Fragmentator_Year" xr10:uid="{7112C910-4312-469F-BDBB-741798574482}" sourceName="Year">
  <pivotTables>
    <pivotTable tabId="13" name="Tabela przestawna4"/>
  </pivotTables>
  <data>
    <tabular pivotCacheId="1472651082">
      <items count="7">
        <i x="0"/>
        <i x="1"/>
        <i x="2"/>
        <i x="3"/>
        <i x="4"/>
        <i x="5"/>
        <i x="6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Fragmentator_Year1" xr10:uid="{F823A6FB-4A20-477F-A2BE-5E0B7C0BBEE3}" sourceName="Year">
  <pivotTables>
    <pivotTable tabId="13" name="Tabela przestawna1"/>
  </pivotTables>
  <data>
    <tabular pivotCacheId="135316637">
      <items count="7">
        <i x="0"/>
        <i x="1"/>
        <i x="2"/>
        <i x="3"/>
        <i x="4"/>
        <i x="5"/>
        <i x="6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Year" xr10:uid="{33823A42-244D-44A9-9E48-7B0152135796}" cache="Fragmentator_Year" caption="Year" rowHeight="234950"/>
  <slicer name="Year 1" xr10:uid="{26277FBA-3F65-4DAE-BC62-1FB7ED9AA437}" cache="Fragmentator_Year1" caption="Year" rowHeight="241300"/>
</slicer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460A519-94F9-4E4D-85C9-B7B4F5CD3369}" name="Non_current_assets" displayName="Non_current_assets" ref="A1:L8" tableType="queryTable" totalsRowShown="0">
  <autoFilter ref="A1:L8" xr:uid="{4460A519-94F9-4E4D-85C9-B7B4F5CD3369}"/>
  <tableColumns count="12">
    <tableColumn id="1" xr3:uid="{E4323929-75FA-400C-A54A-95A34D4A18FB}" uniqueName="1" name="Year" queryTableFieldId="1" dataDxfId="44"/>
    <tableColumn id="2" xr3:uid="{24381410-44BF-4BC7-9C24-9927829AC61B}" uniqueName="2" name="Mining_and_Metallurgical_Tangible_fixed_Assets" queryTableFieldId="2"/>
    <tableColumn id="3" xr3:uid="{9D9EC092-622B-4174-9D3F-AE793EEF8673}" uniqueName="3" name="Mining_and_Metallurgical_Intangible_Assets" queryTableFieldId="3"/>
    <tableColumn id="4" xr3:uid="{C2148BEA-B385-44C2-A37A-694AE6DF4B24}" uniqueName="4" name="Mining_and_Metallurgical_Tangible_and_Intangible_Assets" queryTableFieldId="4"/>
    <tableColumn id="5" xr3:uid="{9507811D-0F28-4E03-9ACA-9015CDB6699C}" uniqueName="5" name="Other_Tangible_Fixed_Assets" queryTableFieldId="5"/>
    <tableColumn id="6" xr3:uid="{E33DEE23-F0FB-41E1-A91B-7501DA87DCDE}" uniqueName="6" name="Other_Intangible_Assets" queryTableFieldId="6"/>
    <tableColumn id="7" xr3:uid="{E54409E0-B6E3-499B-9FAB-D81EC5D9E648}" uniqueName="7" name="Other_Tangible_and_Intangible_Assets" queryTableFieldId="7"/>
    <tableColumn id="8" xr3:uid="{190E2BFC-99A7-44D8-BA95-9595128163C4}" uniqueName="8" name="Total_Commitment_to_Joint_Ventures" queryTableFieldId="8"/>
    <tableColumn id="9" xr3:uid="{DD7F24E3-B674-4B57-8204-AACF8FF555EF}" uniqueName="9" name="Total_Financial_Instruments" queryTableFieldId="9"/>
    <tableColumn id="10" xr3:uid="{7DA9E4DF-6BD0-42B0-BF3A-E1FFDCEEB0D3}" uniqueName="10" name="Deferred_Income_Tax_Assets" queryTableFieldId="10"/>
    <tableColumn id="11" xr3:uid="{87C1C750-CACD-4E9E-8A73-2793093FC8EF}" uniqueName="11" name="Other_Non_Financial_Assets" queryTableFieldId="11"/>
    <tableColumn id="12" xr3:uid="{E637F719-996B-4F6C-86A7-E5B73362919E}" uniqueName="12" name="Total_Non_Current_Assets" queryTableFieldId="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B4F0BD5-638D-4250-994B-BFF086EDB880}" name="Current_Assets" displayName="Current_Assets" ref="A1:M8" tableType="queryTable" totalsRowShown="0">
  <autoFilter ref="A1:M8" xr:uid="{EB4F0BD5-638D-4250-994B-BFF086EDB880}"/>
  <tableColumns count="13">
    <tableColumn id="1" xr3:uid="{B13E98DB-D727-4D64-A98E-678034F2FC22}" uniqueName="1" name="Year" queryTableFieldId="1" dataDxfId="43"/>
    <tableColumn id="2" xr3:uid="{FC052861-F109-4A9C-B331-9553F405F797}" uniqueName="2" name="Inventories" queryTableFieldId="2"/>
    <tableColumn id="3" xr3:uid="{04A08141-ABA5-42C1-8126-3CC7E49F25BE}" uniqueName="3" name="Trade_Receivables_Including" queryTableFieldId="3"/>
    <tableColumn id="4" xr3:uid="{92BD14E8-072A-402C-8BDA-27F2C6EFE8C0}" uniqueName="4" name="Trade_Receivables_Fair_Value_Through_Profit_or_Loss" queryTableFieldId="4"/>
    <tableColumn id="5" xr3:uid="{6711B24F-60BE-459D-BC0E-E4762B19645F}" uniqueName="5" name="Tax_Receivables" queryTableFieldId="5"/>
    <tableColumn id="6" xr3:uid="{FFC4F8A6-4C7B-45C4-A367-A0372587ED6B}" uniqueName="6" name="Derivative_Financial_Instruments" queryTableFieldId="6"/>
    <tableColumn id="7" xr3:uid="{89387D08-D6AE-4A13-925C-80BFFC67793F}" uniqueName="7" name="Commitments_to_Joint_Ventures_Loans_Granted" queryTableFieldId="7"/>
    <tableColumn id="8" xr3:uid="{096ED64A-5528-4B96-8CA8-26B57274BE9F}" uniqueName="8" name="Other_Financial_Assets" queryTableFieldId="8"/>
    <tableColumn id="9" xr3:uid="{C5B2F197-1ADB-4B0A-90B3-9E39A7901BB9}" uniqueName="9" name="Other_Non_Financial_Assets" queryTableFieldId="9"/>
    <tableColumn id="10" xr3:uid="{7C81AB69-4741-41AF-86B5-19C4C22DE795}" uniqueName="10" name="Cash_and_Cash_Equivalents" queryTableFieldId="10"/>
    <tableColumn id="11" xr3:uid="{CA407D40-BAA8-4E60-A885-A79D1AF06606}" uniqueName="11" name="Assets_Held_for_Sale_Disposal_Group" queryTableFieldId="11"/>
    <tableColumn id="12" xr3:uid="{3DC26465-3921-4D70-946D-DE75F3B23AD9}" uniqueName="12" name="Current_Assets" queryTableFieldId="12"/>
    <tableColumn id="13" xr3:uid="{DD9D9984-0F42-4E4D-A9D0-6B08CD33B20D}" uniqueName="13" name="TOTAL_ASSETS" queryTableFieldId="1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E99BD9B-1E8B-45EC-9768-4E8111AF6356}" name="Top40_Non_Current_Assets" displayName="Top40_Non_Current_Assets" ref="A1:H8" tableType="queryTable" totalsRowShown="0">
  <autoFilter ref="A1:H8" xr:uid="{BE99BD9B-1E8B-45EC-9768-4E8111AF6356}"/>
  <tableColumns count="8">
    <tableColumn id="1" xr3:uid="{8E8E117A-409D-4FAD-8B65-20589CD4888A}" uniqueName="1" name="Year" queryTableFieldId="1" dataDxfId="42"/>
    <tableColumn id="2" xr3:uid="{486F02B6-7295-4F2C-B5E5-613CC0B26EDD}" uniqueName="2" name="Property_plant_and_equipment" queryTableFieldId="2"/>
    <tableColumn id="3" xr3:uid="{10D36A93-0317-48F3-9D11-24B043C6E3C4}" uniqueName="3" name="Goodwill_and_other_intangibles" queryTableFieldId="3"/>
    <tableColumn id="4" xr3:uid="{7056EA92-BE6A-4A30-AD30-6559E27BFAE9}" uniqueName="4" name="Investment_in_assosiates_and_joint_ventures" queryTableFieldId="4"/>
    <tableColumn id="5" xr3:uid="{A9C202F8-320B-492C-BF72-D58F66B246BE}" uniqueName="5" name="Other_investments_and_loang_granted" queryTableFieldId="5"/>
    <tableColumn id="6" xr3:uid="{E8CBDB56-9434-49D0-9EDD-D6E1B19901BC}" uniqueName="6" name="Other" queryTableFieldId="6"/>
    <tableColumn id="7" xr3:uid="{FBFF883A-1601-4361-BE24-57059250A65D}" uniqueName="7" name="Total_non_current_assets" queryTableFieldId="7"/>
    <tableColumn id="8" xr3:uid="{83C1FBE7-9841-4115-A8F7-2D120B1B401B}" uniqueName="8" name="Total_assets" queryTableFieldId="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24A9A8-B915-4628-948F-A4069109FDFC}" name="Top40_Current_Assets" displayName="Top40_Current_Assets" ref="A1:F8" tableType="queryTable" totalsRowShown="0">
  <autoFilter ref="A1:F8" xr:uid="{A624A9A8-B915-4628-948F-A4069109FDFC}"/>
  <tableColumns count="6">
    <tableColumn id="1" xr3:uid="{1C1E0578-42D9-43CC-BE33-0F97D1C95986}" uniqueName="1" name="Year" queryTableFieldId="1" dataDxfId="41"/>
    <tableColumn id="2" xr3:uid="{D35DBA73-6238-4EAA-8DE6-12DC849C2DDA}" uniqueName="2" name="Cash" queryTableFieldId="2"/>
    <tableColumn id="3" xr3:uid="{8916CAF8-2220-4E88-BD9B-081342F9CF21}" uniqueName="3" name="Inventories" queryTableFieldId="3"/>
    <tableColumn id="4" xr3:uid="{151E2DFF-71EB-4F86-9E6C-464924FA8DC2}" uniqueName="4" name="Account_receivable" queryTableFieldId="4"/>
    <tableColumn id="5" xr3:uid="{0F7F34A5-1C4B-4DE4-A112-46C665B2A669}" uniqueName="5" name="Other" queryTableFieldId="5"/>
    <tableColumn id="6" xr3:uid="{DBAC7744-DBB5-4862-B45D-207CE1FEE7D5}" uniqueName="6" name="Total_current_assets" queryTableFieldId="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ED11DC1-8B16-4929-98B5-032175E8AFD7}" name="Equity" displayName="Equity" ref="A1:H8" tableType="queryTable" totalsRowShown="0">
  <autoFilter ref="A1:H8" xr:uid="{AED11DC1-8B16-4929-98B5-032175E8AFD7}"/>
  <tableColumns count="8">
    <tableColumn id="1" xr3:uid="{7EFB77DC-5F23-4F8D-BEFF-AADA32AAC3AD}" uniqueName="1" name="Year" queryTableFieldId="1" dataDxfId="40"/>
    <tableColumn id="2" xr3:uid="{8D8CBA23-2161-4D96-8AB2-BEF81E347EE2}" uniqueName="2" name="Share_Capital" queryTableFieldId="2"/>
    <tableColumn id="3" xr3:uid="{C1E52A8F-F969-41AE-AED8-61D1EFD6BB3C}" uniqueName="3" name="Capital_Reserve_from_Financial_Instruments_Valuation" queryTableFieldId="3"/>
    <tableColumn id="4" xr3:uid="{EC46CD4F-4317-4DCB-86F0-29AA959A3E98}" uniqueName="4" name="Accumulated_Other_Comprehensive_Income_Excluding_Financial_Instruments_Valuation" queryTableFieldId="4"/>
    <tableColumn id="5" xr3:uid="{6D6291AC-5A46-40B5-901E-E0873612A5D1}" uniqueName="5" name="Retained_Earnings" queryTableFieldId="5"/>
    <tableColumn id="6" xr3:uid="{10862D2E-CA4D-4551-B1D2-001B321F9D39}" uniqueName="6" name="Equity_Attributable_to_Owners_of_the_Parent" queryTableFieldId="6"/>
    <tableColumn id="7" xr3:uid="{4C6FF3FA-2869-473E-91CE-08735FF6B091}" uniqueName="7" name="Non_controlling_Interests_Equity" queryTableFieldId="7"/>
    <tableColumn id="8" xr3:uid="{A462CE9B-920B-4AFF-8725-FB816437D04E}" uniqueName="8" name="Equity" queryTableFieldId="8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874F7D9-33C9-4728-BCE9-25F3F1CE06FB}" name="Long_term_liabilities" displayName="Long_term_liabilities" ref="A1:J8" tableType="queryTable" totalsRowShown="0">
  <autoFilter ref="A1:J8" xr:uid="{C874F7D9-33C9-4728-BCE9-25F3F1CE06FB}"/>
  <tableColumns count="10">
    <tableColumn id="1" xr3:uid="{4AD53822-614E-482D-B4E0-D146C905BE31}" uniqueName="1" name="Year" queryTableFieldId="1" dataDxfId="39"/>
    <tableColumn id="2" xr3:uid="{197458C2-9739-4E5E-ABCA-4EA4A90FA3C4}" uniqueName="2" name="Liabilities_from_Loans_Leases_and_Debt_Securities" queryTableFieldId="2"/>
    <tableColumn id="3" xr3:uid="{1916F4BF-29C2-46BF-8E0B-80EF7E87645F}" uniqueName="3" name="Derivative_Financial_Instruments" queryTableFieldId="3"/>
    <tableColumn id="4" xr3:uid="{3424B574-9907-478E-B4CA-1813AC8FAC60}" uniqueName="4" name="Employee_Benefit_Liabilities" queryTableFieldId="4"/>
    <tableColumn id="5" xr3:uid="{C3297B95-3D41-47CE-88D8-8DF1155C52B8}" uniqueName="5" name="Provisions_for_Mine_Closure_and_Other_Technological_Facilities_Costs" queryTableFieldId="5"/>
    <tableColumn id="6" xr3:uid="{62E8D217-16F1-414D-AAD1-F4E778ABD27D}" uniqueName="6" name="Deferred_Income_Tax_Liabilities" queryTableFieldId="6"/>
    <tableColumn id="7" xr3:uid="{359D060B-8568-435C-8E00-C374E5E4FBD0}" uniqueName="7" name="Other_Liabilities" queryTableFieldId="7"/>
    <tableColumn id="8" xr3:uid="{4D4D050B-AC88-4534-9BF9-2D593E31F9AC}" uniqueName="8" name="Long_Term_Liabilities" queryTableFieldId="8"/>
    <tableColumn id="9" xr3:uid="{A6D45A96-14AE-464B-AB28-E52BDC73C121}" uniqueName="9" name="Long_and_Short_Term_Liabilities" queryTableFieldId="9"/>
    <tableColumn id="10" xr3:uid="{4CA18BEE-4E43-4EFC-9630-82EBBD94D521}" uniqueName="10" name="Total_Liabilities_and_Equity" queryTableFieldId="1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3DF01FC-9C96-4CD2-8446-013A5CB82FC9}" name="Short_term_liabilities" displayName="Short_term_liabilities" ref="A1:M8" tableType="queryTable" totalsRowShown="0">
  <autoFilter ref="A1:M8" xr:uid="{73DF01FC-9C96-4CD2-8446-013A5CB82FC9}"/>
  <tableColumns count="13">
    <tableColumn id="1" xr3:uid="{391F28C6-CD0F-4F3D-A55F-9D0026ADEBA0}" uniqueName="1" name="Year" queryTableFieldId="1" dataDxfId="38"/>
    <tableColumn id="2" xr3:uid="{8B869908-A9FB-4408-8EB9-FF523E546F18}" uniqueName="2" name="Liabilities_From_Loans_Leases_and_Debt_Securities" queryTableFieldId="2"/>
    <tableColumn id="3" xr3:uid="{9A21FB58-18C4-42B6-AE07-8F65C86FC429}" uniqueName="3" name="Derivative_Financial_Instruments" queryTableFieldId="3"/>
    <tableColumn id="4" xr3:uid="{E7AECAF5-DB3C-4F5E-B72A-071DC038A3EC}" uniqueName="4" name="Liabilities_To_Suppliers_and_Similar" queryTableFieldId="4"/>
    <tableColumn id="5" xr3:uid="{9AC974E3-29EE-4BD9-89A0-F477CE937BD9}" uniqueName="5" name="Employee_Benefit_Liabilities" queryTableFieldId="5"/>
    <tableColumn id="6" xr3:uid="{34515021-42A6-4089-900A-272A4A47F076}" uniqueName="6" name="Tax_Liabilities" queryTableFieldId="6"/>
    <tableColumn id="7" xr3:uid="{AD0A6C43-20F2-4A2B-859C-B1AE413DCD6D}" uniqueName="7" name="Provisions_For_Liabilities_and_Other_Charges" queryTableFieldId="7"/>
    <tableColumn id="8" xr3:uid="{DF1AE57F-4D53-4FBB-B7DB-BC79C10CFD2C}" uniqueName="8" name="Other_Liabilities" queryTableFieldId="8"/>
    <tableColumn id="9" xr3:uid="{08AB3B51-DDE1-4187-AA16-F48E4FA9C566}" uniqueName="9" name="Liabilities_Associated_With_Assets_Held_For_Sale" queryTableFieldId="9"/>
    <tableColumn id="10" xr3:uid="{8D5724AC-D7AB-4CAF-8758-BCB295DAB611}" uniqueName="10" name="Liabilities_Related_To_Disposal_Groups" queryTableFieldId="10"/>
    <tableColumn id="11" xr3:uid="{645CC6E4-9F61-43F9-BE2F-EDC3686E18AF}" uniqueName="11" name="Short_Term_Liabilities" queryTableFieldId="11"/>
    <tableColumn id="12" xr3:uid="{FBE35BC5-C227-4EF8-BE28-0B8228318A7F}" uniqueName="12" name="Long_and_Short_Term_Liabilities" queryTableFieldId="12"/>
    <tableColumn id="13" xr3:uid="{D4A0648F-692C-4DE6-AF70-83323381B354}" uniqueName="13" name="Total_Liabilities_and_Equity" queryTableFieldId="13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9339B4C3-A802-46D1-B60D-6780F2E124BF}" name="Top40_Long_liabilities_and_Equity" displayName="Top40_Long_liabilities_and_Equity" ref="A1:G8" tableType="queryTable" totalsRowShown="0">
  <autoFilter ref="A1:G8" xr:uid="{9339B4C3-A802-46D1-B60D-6780F2E124BF}"/>
  <tableColumns count="7">
    <tableColumn id="1" xr3:uid="{2EBCBC67-9FC1-43CD-A765-6F7A40629B9E}" uniqueName="1" name="Year" queryTableFieldId="1" dataDxfId="37"/>
    <tableColumn id="2" xr3:uid="{4F6BB2E2-9A47-4FF3-A1E9-150C0404B898}" uniqueName="2" name="Borrowings" queryTableFieldId="2"/>
    <tableColumn id="3" xr3:uid="{CE954A27-603D-4588-82E1-183C49AFF770}" uniqueName="3" name="Other" queryTableFieldId="3"/>
    <tableColumn id="4" xr3:uid="{A2A31421-B902-4F8E-AAFE-A9F0AD93D0F3}" uniqueName="4" name="Total_non_current_liabilities" queryTableFieldId="4"/>
    <tableColumn id="5" xr3:uid="{1C5D8271-3E91-4CCE-85B4-DE4C88FF8149}" uniqueName="5" name="Total_liabilities" queryTableFieldId="5"/>
    <tableColumn id="6" xr3:uid="{A3842303-DD6A-4668-8576-98559EB73DD0}" uniqueName="6" name="Equity" queryTableFieldId="6"/>
    <tableColumn id="7" xr3:uid="{51BA35E6-C857-477A-A9F2-8E59ABED2752}" uniqueName="7" name="Equity_and_Liabilities" queryTableFieldId="7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C0CDA9B-E091-4BC3-9ADB-0928DBCD967D}" name="Top40_Short_Liabilities" displayName="Top40_Short_Liabilities" ref="A1:E8" tableType="queryTable" totalsRowShown="0">
  <autoFilter ref="A1:E8" xr:uid="{DC0CDA9B-E091-4BC3-9ADB-0928DBCD967D}"/>
  <tableColumns count="5">
    <tableColumn id="1" xr3:uid="{F08599E8-32CB-4FAB-8CB7-1E2DBA2124F3}" uniqueName="1" name="Year" queryTableFieldId="1" dataDxfId="36"/>
    <tableColumn id="2" xr3:uid="{AC715B71-DBC7-46AD-B276-7493FD34842B}" uniqueName="2" name="Accounts_payable" queryTableFieldId="2"/>
    <tableColumn id="3" xr3:uid="{D40DD79B-E27E-4F92-902F-35E4252AC043}" uniqueName="3" name="Borrowings" queryTableFieldId="3"/>
    <tableColumn id="4" xr3:uid="{83900B55-6089-43A1-9105-8A6BA2310421}" uniqueName="4" name="Other" queryTableFieldId="4"/>
    <tableColumn id="5" xr3:uid="{5B73D96A-DFB1-44DF-A550-27E526AA03DA}" uniqueName="5" name="Total_current_liabilities" queryTableFieldId="5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25111AF-FA23-433F-BB38-4DDD5F9955B8}" name="P_L" displayName="P_L" ref="A1:N8" tableType="queryTable" totalsRowShown="0">
  <autoFilter ref="A1:N8" xr:uid="{825111AF-FA23-433F-BB38-4DDD5F9955B8}"/>
  <tableColumns count="14">
    <tableColumn id="1" xr3:uid="{2BF09410-02BF-46D5-A7A1-D27C043F5729}" uniqueName="1" name="Year" queryTableFieldId="1" dataDxfId="35"/>
    <tableColumn id="2" xr3:uid="{AF10BA86-FEEF-40FC-9EC3-2939966EFEA8}" uniqueName="2" name="Revenue_From_Contracts_With_Customers" queryTableFieldId="2"/>
    <tableColumn id="3" xr3:uid="{D22B8BCA-B291-43C4-AF1A-7823E72E81C2}" uniqueName="3" name="Cost_of_Goods_Sold" queryTableFieldId="3"/>
    <tableColumn id="4" xr3:uid="{2F7F4215-3772-4637-B009-FC58D229D049}" uniqueName="4" name="Gross_Profit_From_Sales" queryTableFieldId="4"/>
    <tableColumn id="5" xr3:uid="{A3DB0E3D-CCB8-4EA4-AC7E-90D36BF801FA}" uniqueName="5" name="Selling_And_Administrative_Expenses" queryTableFieldId="5"/>
    <tableColumn id="6" xr3:uid="{135516F5-EF53-43D4-BD1B-BB10C67F2B91}" uniqueName="6" name="Net_Profit_From_Sales" queryTableFieldId="6"/>
    <tableColumn id="7" xr3:uid="{EE0E09FF-BEA0-4E73-9206-05156A9E419C}" uniqueName="7" name="Results_From_Joint_Ventures" queryTableFieldId="7"/>
    <tableColumn id="8" xr3:uid="{0210897A-FFDC-413F-9B1D-F43723F736C3}" uniqueName="8" name="Other_Operating_Revenues" queryTableFieldId="8"/>
    <tableColumn id="9" xr3:uid="{411F3686-A6AF-47BC-A5C7-51A973C38E1D}" uniqueName="9" name="Other_Operating_Expenses" queryTableFieldId="9"/>
    <tableColumn id="10" xr3:uid="{451E5352-F274-45C5-9AB1-4AF069303488}" uniqueName="10" name="Financial_Revenues" queryTableFieldId="10"/>
    <tableColumn id="11" xr3:uid="{D4ACBB63-4B37-4628-A56B-6DB2D8D377F9}" uniqueName="11" name="Financial_Expenses" queryTableFieldId="11"/>
    <tableColumn id="12" xr3:uid="{0234740A-310B-4181-B8DB-E005107C1A9B}" uniqueName="12" name="Profit_Before_Tax" queryTableFieldId="12"/>
    <tableColumn id="13" xr3:uid="{8F12E8C0-4AF0-4A9D-A552-4791B16DEA31}" uniqueName="13" name="Income_Tax" queryTableFieldId="13"/>
    <tableColumn id="14" xr3:uid="{4900FC6B-DD37-45AA-A770-93674786E19E}" uniqueName="14" name="Net_Profit" queryTableFieldId="14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29648326-8F57-4359-9AA1-B060C2C80ED3}" name="Top40_P_L_CF" displayName="Top40_P_L_CF" ref="A1:P8" tableType="queryTable" totalsRowShown="0">
  <autoFilter ref="A1:P8" xr:uid="{29648326-8F57-4359-9AA1-B060C2C80ED3}"/>
  <tableColumns count="16">
    <tableColumn id="1" xr3:uid="{DB06143D-CF4A-4786-A7B3-4390C1C62C66}" uniqueName="1" name="Year" queryTableFieldId="1" dataDxfId="34"/>
    <tableColumn id="2" xr3:uid="{93F805E0-F46A-4ECB-8024-99BD979E8B14}" uniqueName="2" name="Revenue" queryTableFieldId="2"/>
    <tableColumn id="3" xr3:uid="{B5821703-AFB7-43C2-86DA-98F1AC28ADA2}" uniqueName="3" name="Trading_revenue" queryTableFieldId="3"/>
    <tableColumn id="4" xr3:uid="{7166E7B6-2C39-4184-819B-B60B056E9219}" uniqueName="4" name="Operating_expenses" queryTableFieldId="4"/>
    <tableColumn id="5" xr3:uid="{A502A897-18A6-49FB-8564-08F9667A4ADC}" uniqueName="5" name="Other_operating_expenses" queryTableFieldId="5"/>
    <tableColumn id="6" xr3:uid="{CD9CE6D3-073B-48C2-879B-D269B6FAA3B1}" uniqueName="6" name="EBITDA" queryTableFieldId="6"/>
    <tableColumn id="7" xr3:uid="{5DA75C8C-37E6-473A-A1DB-26DADD70670E}" uniqueName="7" name="Impaiment_charges" queryTableFieldId="7"/>
    <tableColumn id="8" xr3:uid="{3ED9FB2C-676C-42A7-B70D-62FD8FBA2D82}" uniqueName="8" name="Deprecation_and_amortisation" queryTableFieldId="8"/>
    <tableColumn id="9" xr3:uid="{ED8B2D61-B0DC-424D-99BD-3F17E531D8D4}" uniqueName="9" name="Net_finance_cost" queryTableFieldId="9"/>
    <tableColumn id="10" xr3:uid="{D8FA449F-3637-41EE-944E-92BB4CDED0F1}" uniqueName="10" name="PBT" queryTableFieldId="10"/>
    <tableColumn id="11" xr3:uid="{15DB1219-AACC-4D75-B885-42CFD382456F}" uniqueName="11" name="Income_tax_expense" queryTableFieldId="11"/>
    <tableColumn id="12" xr3:uid="{565E8128-C365-4905-A49A-FF2C2D07F73E}" uniqueName="12" name="Net_profit" queryTableFieldId="12"/>
    <tableColumn id="13" xr3:uid="{B7038021-8693-4E41-90C2-D055BE50B7D6}" uniqueName="13" name="Net_operating_cash_flows" queryTableFieldId="13"/>
    <tableColumn id="14" xr3:uid="{8221A63E-9726-4FE4-97AD-4524D1757CC9}" uniqueName="14" name="EBIT" queryTableFieldId="14"/>
    <tableColumn id="15" xr3:uid="{4EFB5B2F-CFD9-46E6-8574-689248C987DA}" uniqueName="15" name="estimated_Selling_And_Administrative_Expenses" queryTableFieldId="15"/>
    <tableColumn id="16" xr3:uid="{DB425DBA-A81A-4CEC-AAFC-644CAD9AA53D}" uniqueName="16" name="estimated_cost_of_goods_sold" queryTableFieldId="16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6193D4D-3853-43F7-AE15-CE99C1DD8532}" name="cash_flow_operating" displayName="cash_flow_operating" ref="A1:W8" tableType="queryTable" totalsRowShown="0">
  <autoFilter ref="A1:W8" xr:uid="{06193D4D-3853-43F7-AE15-CE99C1DD8532}"/>
  <tableColumns count="23">
    <tableColumn id="1" xr3:uid="{26793670-0C57-4E7D-8E63-BD03AB78F4C0}" uniqueName="1" name="Year" queryTableFieldId="1" dataDxfId="33"/>
    <tableColumn id="2" xr3:uid="{D41D3B18-B73B-4F50-8ECF-9796951571F0}" uniqueName="2" name="Profit_Before_Tax" queryTableFieldId="2" dataDxfId="32"/>
    <tableColumn id="3" xr3:uid="{21C900A2-957D-4BD9-A706-8AD4DDCCB1BC}" uniqueName="3" name="Depreciation_Included_In_Profit" queryTableFieldId="3" dataDxfId="31"/>
    <tableColumn id="4" xr3:uid="{3305D97B-F2B3-4808-837F-25D4315E26C5}" uniqueName="4" name="Share_Of_Losses_Of_Joint_Ventures_Accounted_For_Using_The_Equity_Method" queryTableFieldId="4" dataDxfId="30"/>
    <tableColumn id="5" xr3:uid="{48C51DE1-85D4-4083-9172-3290B6149E0E}" uniqueName="5" name="Gain_On_Reversal_Of_Impairment_Of_Loans_Granted_To_Joint_Venture" queryTableFieldId="5" dataDxfId="29"/>
    <tableColumn id="6" xr3:uid="{78F85DCE-BFCF-46FA-83D6-CF7CD0599BCF}" uniqueName="6" name="Interest_On_Loans_Granted_To_Joint_Ventures" queryTableFieldId="6" dataDxfId="28"/>
    <tableColumn id="7" xr3:uid="{DDA5A285-588E-4E79-A458-F7ED4E1C79D8}" uniqueName="7" name="Other_Interest" queryTableFieldId="7" dataDxfId="27"/>
    <tableColumn id="8" xr3:uid="{0DD6658C-A075-4140-BA13-C726BDABCC52}" uniqueName="8" name="Impairment_Losses_On_Non_Current_Assets" queryTableFieldId="8" dataDxfId="26"/>
    <tableColumn id="9" xr3:uid="{A9BC2CA9-602C-4553-8A5F-6B685F6C7978}" uniqueName="9" name="Gains_On_Disposal_Of_Non_Current_Assets" queryTableFieldId="9" dataDxfId="25"/>
    <tableColumn id="10" xr3:uid="{F786A828-FBCD-449F-82CB-CEE4575F9DBB}" uniqueName="10" name="Gain_On_Disposal_Of_Subsidiaries" queryTableFieldId="10" dataDxfId="24"/>
    <tableColumn id="11" xr3:uid="{449B0B33-B256-430D-9969-32DFCCE26FC3}" uniqueName="11" name="Foreign_Exchange_Differences_From" queryTableFieldId="11" dataDxfId="23"/>
    <tableColumn id="12" xr3:uid="{5354BCF2-5B63-4FFB-B81C-3555A7B8F571}" uniqueName="12" name="From_Investment_Activities_And_Valuation_Of_Cash_Holdings" queryTableFieldId="12" dataDxfId="22"/>
    <tableColumn id="13" xr3:uid="{F38C0E44-CD70-4719-AE53-D1F413BB582F}" uniqueName="13" name="From_Financial_Activities" queryTableFieldId="13" dataDxfId="21"/>
    <tableColumn id="14" xr3:uid="{FBDA45C7-4C21-4E8B-BDB6-235BFB879C06}" uniqueName="14" name="Change_In_Provisions_For_Mine_Closure_Employee_Benefits_And_Other_Provisions" queryTableFieldId="14" dataDxfId="20"/>
    <tableColumn id="15" xr3:uid="{8078B1FE-03E9-4886-83A1-88D67AA0F37D}" uniqueName="15" name="Change_In_Other_Receivables_And_Liabilities_Not_Related_To_Working_Capital" queryTableFieldId="15" dataDxfId="19"/>
    <tableColumn id="16" xr3:uid="{C834C005-24E8-43F1-9182-EC23070B613E}" uniqueName="16" name="Change_In_Derivative_Assets_And_Liabilities" queryTableFieldId="16" dataDxfId="18"/>
    <tableColumn id="17" xr3:uid="{136688A3-1C99-476A-B8F0-C208AF41865D}" uniqueName="17" name="Reclassification_Of_Other_Comprehensive_Income_To_Profit_Or_Loss_On_Realisation_Of_Hedging_Derivatives" queryTableFieldId="17" dataDxfId="17"/>
    <tableColumn id="18" xr3:uid="{6EF3F00C-0235-450E-8F00-F68403A2FBD4}" uniqueName="18" name="Other_Adjustments" queryTableFieldId="18" dataDxfId="16"/>
    <tableColumn id="19" xr3:uid="{AF17ADE2-E08D-4DDD-A4AE-73E00231A3DF}" uniqueName="19" name="Total_Exclusions_Of_Revenues_And_Costs" queryTableFieldId="19" dataDxfId="15"/>
    <tableColumn id="20" xr3:uid="{6EE54BA1-C2F3-4275-8E4E-56326D47013A}" uniqueName="20" name="Income_Tax_Paid" queryTableFieldId="20" dataDxfId="14"/>
    <tableColumn id="21" xr3:uid="{C42B9DE6-41D5-45C2-A707-4621A1B92547}" uniqueName="21" name="Change_In_Working_Capital_including" queryTableFieldId="21" dataDxfId="13"/>
    <tableColumn id="22" xr3:uid="{9C46EDE9-32B5-434A-ABAC-7E87EAE2A3F8}" uniqueName="22" name="Change_In_Trade_Liabilities_Transferred_To_Factoring" queryTableFieldId="22" dataDxfId="12"/>
    <tableColumn id="23" xr3:uid="{3BE393C1-FD95-4392-9735-09732EEA9D5B}" uniqueName="23" name="Net_Cash_Flows_From_Operating_Activities" queryTableFieldId="23" dataDxfId="11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D25732C-86BB-461B-A526-62BA6AEE21AB}" name="cash_flow_invest" displayName="cash_flow_invest" ref="A1:H8" tableType="queryTable" totalsRowShown="0">
  <autoFilter ref="A1:H8" xr:uid="{BD25732C-86BB-461B-A526-62BA6AEE21AB}"/>
  <tableColumns count="8">
    <tableColumn id="1" xr3:uid="{83EE7560-A116-4B55-B3D0-CF5C1C4C3C63}" uniqueName="1" name="Year" queryTableFieldId="1" dataDxfId="10"/>
    <tableColumn id="2" xr3:uid="{7F0D2525-FF36-44C6-89C5-90D9F06F22A6}" uniqueName="2" name="Expenditures_Related_To_Mining_And_Metallurgical_Assets" queryTableFieldId="2" dataDxfId="9"/>
    <tableColumn id="3" xr3:uid="{E154E36F-6D93-4B9A-8423-F8960F64B89C}" uniqueName="3" name="Expenditures_On_Other_Tangible_And_Intangible_Non_Current_Assets" queryTableFieldId="3" dataDxfId="8"/>
    <tableColumn id="4" xr3:uid="{A2E7A270-9E40-4E5A-A529-133F94CF470E}" uniqueName="4" name="Acquisition_Of_Interests_In_Joint_Ventures" queryTableFieldId="4" dataDxfId="7"/>
    <tableColumn id="5" xr3:uid="{9C011161-9582-4554-95CC-80E20FAD88F3}" uniqueName="5" name="Other_Payments" queryTableFieldId="5" dataDxfId="6"/>
    <tableColumn id="6" xr3:uid="{E84B2E7D-FF62-4229-9B5F-74D0F57038A4}" uniqueName="6" name="Total_Payments" queryTableFieldId="6" dataDxfId="5"/>
    <tableColumn id="7" xr3:uid="{5F4C634C-7CBA-4231-A3CB-0EBA86C80A6D}" uniqueName="7" name="Inflows" queryTableFieldId="7" dataDxfId="4"/>
    <tableColumn id="8" xr3:uid="{A9A74CC9-BAEB-4591-94CE-90D0F20E6A76}" uniqueName="8" name="Cash_Flows_From_Investing_Activities" queryTableFieldId="8" dataDxfId="3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549A56-6E0B-414E-BE40-EFD3E8BFA9DF}" name="cash_flow_financing" displayName="cash_flow_financing" ref="A1:J8" tableType="queryTable" totalsRowShown="0">
  <autoFilter ref="A1:J8" xr:uid="{B5549A56-6E0B-414E-BE40-EFD3E8BFA9DF}"/>
  <tableColumns count="10">
    <tableColumn id="11" xr3:uid="{A0A3F165-2D6D-4E30-B324-5F17FA97D668}" uniqueName="11" name="Year" queryTableFieldId="11" dataDxfId="2"/>
    <tableColumn id="1" xr3:uid="{9332F747-8A83-451E-9B3E-98102CA11A01}" uniqueName="1" name="Inflows_From_Borrowings" queryTableFieldId="29"/>
    <tableColumn id="2" xr3:uid="{92E874AC-844E-4160-895E-46CD46D26DFF}" uniqueName="2" name="Other_Inflows" queryTableFieldId="30"/>
    <tableColumn id="3" xr3:uid="{3312DCBC-ADB2-403E-B6D5-A88A83FA0EBA}" uniqueName="3" name="Total_Inflows" queryTableFieldId="31"/>
    <tableColumn id="4" xr3:uid="{BEB5C7EB-3923-4A77-8598-C52659304D9A}" uniqueName="4" name="Payments_From_Borrowings" queryTableFieldId="32"/>
    <tableColumn id="5" xr3:uid="{74A8F6B4-BC4D-4A07-A68D-078D9CA5CE6A}" uniqueName="5" name="Dividends_Paid_To_Equity_Holders" queryTableFieldId="33"/>
    <tableColumn id="6" xr3:uid="{DFBC361E-A252-452E-96CE-8A9EA00915D3}" uniqueName="6" name="Interest_And_Other_Borrowing_Costs_Paid" queryTableFieldId="34"/>
    <tableColumn id="18" xr3:uid="{5AE27B26-3847-4A02-825F-E278552040E0}" uniqueName="18" name="Other_Payments" queryTableFieldId="18" dataDxfId="1"/>
    <tableColumn id="19" xr3:uid="{DC60EAD3-567D-43BC-A926-F1ABD032771C}" uniqueName="19" name="Total_Payments" queryTableFieldId="19" dataDxfId="0"/>
    <tableColumn id="7" xr3:uid="{0EA493B4-CFFD-4F42-AA0B-2FFAB65A5D78}" uniqueName="7" name="Net_Cash_Flows_From_Financing_Activities" queryTableFieldId="3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4D306-D03D-4D6B-8318-C2438090577D}">
  <sheetPr>
    <tabColor theme="2" tint="-0.499984740745262"/>
  </sheetPr>
  <dimension ref="A29:AO31"/>
  <sheetViews>
    <sheetView tabSelected="1" topLeftCell="G10" zoomScale="85" zoomScaleNormal="85" workbookViewId="0">
      <selection activeCell="U31" sqref="U31:AC31"/>
    </sheetView>
  </sheetViews>
  <sheetFormatPr defaultColWidth="8.85546875" defaultRowHeight="15" x14ac:dyDescent="0.25"/>
  <cols>
    <col min="1" max="2" width="7.28515625" style="54" customWidth="1"/>
    <col min="3" max="17" width="8.85546875" style="4"/>
    <col min="18" max="18" width="8.85546875" style="59"/>
    <col min="19" max="29" width="8.85546875" style="4"/>
    <col min="30" max="30" width="8.85546875" style="59"/>
    <col min="31" max="16384" width="8.85546875" style="4"/>
  </cols>
  <sheetData>
    <row r="29" spans="1:41" s="57" customFormat="1" x14ac:dyDescent="0.25">
      <c r="A29" s="54"/>
      <c r="B29" s="54"/>
      <c r="R29" s="58"/>
      <c r="AD29" s="58"/>
    </row>
    <row r="30" spans="1:41" hidden="1" x14ac:dyDescent="0.25"/>
    <row r="31" spans="1:41" ht="36.75" customHeight="1" x14ac:dyDescent="0.25">
      <c r="U31" s="61" t="s">
        <v>224</v>
      </c>
      <c r="V31" s="62"/>
      <c r="W31" s="62"/>
      <c r="X31" s="62"/>
      <c r="Y31" s="62"/>
      <c r="Z31" s="62"/>
      <c r="AA31" s="62"/>
      <c r="AB31" s="62"/>
      <c r="AC31" s="63"/>
      <c r="AG31" s="61" t="s">
        <v>145</v>
      </c>
      <c r="AH31" s="62"/>
      <c r="AI31" s="62"/>
      <c r="AJ31" s="62"/>
      <c r="AK31" s="62"/>
      <c r="AL31" s="62"/>
      <c r="AM31" s="62"/>
      <c r="AN31" s="62"/>
      <c r="AO31" s="63"/>
    </row>
  </sheetData>
  <mergeCells count="2">
    <mergeCell ref="U31:AC31"/>
    <mergeCell ref="AG31:AO31"/>
  </mergeCell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8086F28-57FB-494D-AB70-9A0498DB2365}">
          <x14:formula1>
            <xm:f>Ratios!$AB$26:$AB$30</xm:f>
          </x14:formula1>
          <xm:sqref>AG31</xm:sqref>
        </x14:dataValidation>
        <x14:dataValidation type="list" allowBlank="1" showInputMessage="1" showErrorMessage="1" xr:uid="{002DE020-B3AE-4E90-8914-188F6F2DEF57}">
          <x14:formula1>
            <xm:f>Ratios!$AV$26:$AV$30</xm:f>
          </x14:formula1>
          <xm:sqref>U31:AC31</xm:sqref>
        </x14:dataValidation>
      </x14:dataValidations>
    </ext>
    <ext xmlns:x14="http://schemas.microsoft.com/office/spreadsheetml/2009/9/main" uri="{A8765BA9-456A-4dab-B4F3-ACF838C121DE}">
      <x14:slicerList>
        <x14:slicer r:id="rId2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01EA4-CE44-4BB4-A7A5-45EA2480E499}">
  <sheetPr>
    <tabColor theme="2" tint="-0.499984740745262"/>
  </sheetPr>
  <dimension ref="D1:BB44"/>
  <sheetViews>
    <sheetView zoomScale="70" zoomScaleNormal="70" workbookViewId="0"/>
  </sheetViews>
  <sheetFormatPr defaultColWidth="8.85546875" defaultRowHeight="15" x14ac:dyDescent="0.25"/>
  <cols>
    <col min="1" max="2" width="1.28515625" style="2" customWidth="1"/>
    <col min="3" max="3" width="3" style="2" customWidth="1"/>
    <col min="4" max="4" width="18.28515625" style="2" bestFit="1" customWidth="1"/>
    <col min="5" max="5" width="17.42578125" style="2" bestFit="1" customWidth="1"/>
    <col min="6" max="6" width="18.28515625" style="2" bestFit="1" customWidth="1"/>
    <col min="7" max="7" width="10.5703125" style="2" bestFit="1" customWidth="1"/>
    <col min="8" max="8" width="11.140625" style="2" bestFit="1" customWidth="1"/>
    <col min="9" max="9" width="10.7109375" style="2" bestFit="1" customWidth="1"/>
    <col min="10" max="10" width="11.42578125" style="2" bestFit="1" customWidth="1"/>
    <col min="11" max="11" width="11" style="2" bestFit="1" customWidth="1"/>
    <col min="12" max="12" width="11.140625" style="2" bestFit="1" customWidth="1"/>
    <col min="13" max="13" width="8.85546875" style="2"/>
    <col min="14" max="14" width="10.7109375" style="2" bestFit="1" customWidth="1"/>
    <col min="15" max="15" width="11" style="2" bestFit="1" customWidth="1"/>
    <col min="16" max="16" width="10.7109375" style="2" bestFit="1" customWidth="1"/>
    <col min="17" max="17" width="17.42578125" style="2" customWidth="1"/>
    <col min="18" max="18" width="10.5703125" style="2" bestFit="1" customWidth="1"/>
    <col min="19" max="19" width="10.7109375" style="2" bestFit="1" customWidth="1"/>
    <col min="20" max="20" width="10.5703125" style="2" bestFit="1" customWidth="1"/>
    <col min="21" max="21" width="17.28515625" style="2" bestFit="1" customWidth="1"/>
    <col min="22" max="22" width="17.28515625" style="2" customWidth="1"/>
    <col min="23" max="23" width="13" style="2" bestFit="1" customWidth="1"/>
    <col min="24" max="24" width="11.42578125" style="2" bestFit="1" customWidth="1"/>
    <col min="25" max="25" width="15.140625" style="2" customWidth="1"/>
    <col min="26" max="26" width="8.85546875" style="2"/>
    <col min="27" max="27" width="14.42578125" style="2" customWidth="1"/>
    <col min="28" max="29" width="10.42578125" style="2" bestFit="1" customWidth="1"/>
    <col min="30" max="32" width="8.85546875" style="2"/>
    <col min="33" max="33" width="8.5703125" style="2" bestFit="1" customWidth="1"/>
    <col min="34" max="34" width="21.7109375" style="2" bestFit="1" customWidth="1"/>
    <col min="35" max="35" width="21.140625" style="2" bestFit="1" customWidth="1"/>
    <col min="36" max="36" width="26.85546875" style="2" bestFit="1" customWidth="1"/>
    <col min="37" max="37" width="26.42578125" style="2" bestFit="1" customWidth="1"/>
    <col min="38" max="38" width="25.140625" style="2" bestFit="1" customWidth="1"/>
    <col min="39" max="39" width="24.7109375" style="2" bestFit="1" customWidth="1"/>
    <col min="40" max="40" width="29.28515625" style="2" bestFit="1" customWidth="1"/>
    <col min="41" max="42" width="28.85546875" style="2" bestFit="1" customWidth="1"/>
    <col min="43" max="51" width="16" style="2" customWidth="1"/>
    <col min="52" max="52" width="29.28515625" style="2" bestFit="1" customWidth="1"/>
    <col min="53" max="16384" width="8.85546875" style="2"/>
  </cols>
  <sheetData>
    <row r="1" spans="4:54" ht="6" customHeight="1" thickBot="1" x14ac:dyDescent="0.3"/>
    <row r="2" spans="4:54" ht="17.45" customHeight="1" x14ac:dyDescent="0.25">
      <c r="M2" s="71" t="s">
        <v>211</v>
      </c>
      <c r="N2" s="72"/>
      <c r="O2" s="72"/>
      <c r="P2" s="72"/>
      <c r="Q2" s="72"/>
      <c r="R2" s="72"/>
      <c r="S2" s="72"/>
      <c r="T2" s="72"/>
      <c r="U2" s="73"/>
      <c r="V2" s="18"/>
      <c r="W2" s="72" t="s">
        <v>229</v>
      </c>
      <c r="X2" s="72"/>
      <c r="Y2" s="72"/>
      <c r="Z2" s="72"/>
      <c r="AA2" s="72"/>
      <c r="AB2" s="72"/>
      <c r="AC2" s="72"/>
      <c r="AD2" s="72"/>
      <c r="AE2" s="72"/>
      <c r="AF2" s="25"/>
      <c r="AG2" s="71" t="s">
        <v>212</v>
      </c>
      <c r="AH2" s="72"/>
      <c r="AI2" s="72"/>
      <c r="AJ2" s="72"/>
      <c r="AK2" s="72"/>
      <c r="AL2" s="72"/>
      <c r="AM2" s="72"/>
      <c r="AN2" s="72"/>
      <c r="AO2" s="73"/>
      <c r="AP2" s="68" t="s">
        <v>228</v>
      </c>
      <c r="AQ2" s="69"/>
      <c r="AR2" s="69"/>
      <c r="AS2" s="69"/>
      <c r="AT2" s="69"/>
      <c r="AU2" s="69"/>
      <c r="AV2" s="69"/>
      <c r="AW2" s="69"/>
      <c r="AX2" s="69"/>
      <c r="AY2" s="69"/>
      <c r="AZ2" s="70"/>
      <c r="BA2" s="23"/>
    </row>
    <row r="3" spans="4:54" x14ac:dyDescent="0.25">
      <c r="D3" s="65" t="s">
        <v>230</v>
      </c>
      <c r="E3" s="65"/>
      <c r="F3" s="65"/>
      <c r="G3" s="65"/>
      <c r="H3" s="65"/>
      <c r="I3" s="65"/>
      <c r="J3" s="65"/>
      <c r="K3" s="65"/>
      <c r="M3" s="64" t="s">
        <v>100</v>
      </c>
      <c r="N3" s="65"/>
      <c r="O3" s="65"/>
      <c r="P3" s="65"/>
      <c r="Q3" s="66"/>
      <c r="R3" s="74" t="s">
        <v>101</v>
      </c>
      <c r="S3" s="65"/>
      <c r="T3" s="65"/>
      <c r="U3" s="67"/>
      <c r="V3" s="19"/>
      <c r="W3" s="65" t="s">
        <v>100</v>
      </c>
      <c r="X3" s="65"/>
      <c r="Y3" s="65"/>
      <c r="Z3" s="65"/>
      <c r="AA3" s="65"/>
      <c r="AB3" s="74" t="s">
        <v>101</v>
      </c>
      <c r="AC3" s="65"/>
      <c r="AD3" s="65"/>
      <c r="AE3" s="65"/>
      <c r="AF3" s="67"/>
      <c r="AG3" s="64" t="s">
        <v>100</v>
      </c>
      <c r="AH3" s="65"/>
      <c r="AI3" s="65"/>
      <c r="AJ3" s="65"/>
      <c r="AK3" s="66"/>
      <c r="AL3" s="65" t="s">
        <v>101</v>
      </c>
      <c r="AM3" s="65"/>
      <c r="AN3" s="65"/>
      <c r="AO3" s="67"/>
      <c r="AP3" s="64" t="s">
        <v>100</v>
      </c>
      <c r="AQ3" s="65"/>
      <c r="AR3" s="65"/>
      <c r="AS3" s="65"/>
      <c r="AT3" s="65"/>
      <c r="AU3" s="66"/>
      <c r="AV3" s="65" t="s">
        <v>101</v>
      </c>
      <c r="AW3" s="65"/>
      <c r="AX3" s="65"/>
      <c r="AY3" s="65"/>
      <c r="AZ3" s="67"/>
      <c r="BA3" s="23"/>
    </row>
    <row r="4" spans="4:54" x14ac:dyDescent="0.25">
      <c r="D4" s="5"/>
      <c r="E4" s="5"/>
      <c r="F4" s="5"/>
      <c r="G4" s="5"/>
      <c r="H4" s="5"/>
      <c r="I4" s="5"/>
      <c r="J4" s="5"/>
      <c r="K4" s="5"/>
      <c r="M4" s="19"/>
      <c r="N4" s="5"/>
      <c r="O4" s="5"/>
      <c r="P4" s="5"/>
      <c r="Q4" s="5"/>
      <c r="R4" s="9"/>
      <c r="S4" s="5"/>
      <c r="T4" s="5"/>
      <c r="U4" s="20"/>
      <c r="V4" s="19"/>
      <c r="W4" s="5"/>
      <c r="X4" s="5"/>
      <c r="Y4" s="5"/>
      <c r="Z4" s="5"/>
      <c r="AA4" s="27"/>
      <c r="AB4" s="5"/>
      <c r="AC4" s="5"/>
      <c r="AD4" s="5"/>
      <c r="AE4" s="5"/>
      <c r="AF4" s="51"/>
      <c r="AG4" s="19"/>
      <c r="AH4" s="5"/>
      <c r="AI4" s="5"/>
      <c r="AJ4" s="5"/>
      <c r="AK4" s="27"/>
      <c r="AL4" s="5"/>
      <c r="AM4" s="5"/>
      <c r="AN4" s="5"/>
      <c r="AO4" s="20"/>
      <c r="AP4" s="64"/>
      <c r="AQ4" s="65"/>
      <c r="AR4" s="65"/>
      <c r="AS4" s="65"/>
      <c r="AT4" s="65"/>
      <c r="AU4" s="66"/>
      <c r="AV4" s="4"/>
      <c r="AW4" s="4"/>
      <c r="AX4" s="4"/>
      <c r="AY4" s="4"/>
      <c r="AZ4" s="51"/>
      <c r="BA4" s="23"/>
    </row>
    <row r="5" spans="4:54" x14ac:dyDescent="0.25">
      <c r="D5" s="8"/>
      <c r="E5" s="8"/>
      <c r="F5" s="8" t="s">
        <v>204</v>
      </c>
      <c r="G5" s="8" t="s">
        <v>95</v>
      </c>
      <c r="H5" s="8" t="s">
        <v>96</v>
      </c>
      <c r="I5" s="8" t="s">
        <v>97</v>
      </c>
      <c r="J5" s="8" t="s">
        <v>98</v>
      </c>
      <c r="K5" s="8" t="s">
        <v>99</v>
      </c>
      <c r="M5" s="21" t="s">
        <v>0</v>
      </c>
      <c r="N5" s="8" t="s">
        <v>205</v>
      </c>
      <c r="O5" s="8" t="s">
        <v>206</v>
      </c>
      <c r="P5" s="8" t="s">
        <v>207</v>
      </c>
      <c r="Q5" s="8" t="s">
        <v>208</v>
      </c>
      <c r="R5" s="10" t="s">
        <v>209</v>
      </c>
      <c r="S5" s="8" t="s">
        <v>134</v>
      </c>
      <c r="T5" s="8" t="s">
        <v>140</v>
      </c>
      <c r="U5" s="22" t="s">
        <v>141</v>
      </c>
      <c r="V5" s="21" t="s">
        <v>0</v>
      </c>
      <c r="W5" s="8" t="s">
        <v>146</v>
      </c>
      <c r="X5" s="8" t="s">
        <v>148</v>
      </c>
      <c r="Y5" s="8" t="s">
        <v>150</v>
      </c>
      <c r="Z5" s="8" t="s">
        <v>154</v>
      </c>
      <c r="AA5" s="8" t="s">
        <v>152</v>
      </c>
      <c r="AB5" s="8" t="s">
        <v>147</v>
      </c>
      <c r="AC5" s="8" t="s">
        <v>149</v>
      </c>
      <c r="AD5" s="8" t="s">
        <v>151</v>
      </c>
      <c r="AE5" s="8" t="s">
        <v>155</v>
      </c>
      <c r="AF5" s="22" t="s">
        <v>153</v>
      </c>
      <c r="AG5" s="21" t="s">
        <v>0</v>
      </c>
      <c r="AH5" s="8" t="s">
        <v>197</v>
      </c>
      <c r="AI5" s="8" t="s">
        <v>199</v>
      </c>
      <c r="AJ5" s="8" t="s">
        <v>201</v>
      </c>
      <c r="AK5" s="52" t="s">
        <v>203</v>
      </c>
      <c r="AL5" s="8" t="s">
        <v>198</v>
      </c>
      <c r="AM5" s="8" t="s">
        <v>200</v>
      </c>
      <c r="AN5" s="8" t="s">
        <v>202</v>
      </c>
      <c r="AO5" s="22" t="s">
        <v>210</v>
      </c>
      <c r="AP5" s="21" t="s">
        <v>0</v>
      </c>
      <c r="AQ5" s="8" t="s">
        <v>215</v>
      </c>
      <c r="AR5" s="8" t="s">
        <v>217</v>
      </c>
      <c r="AS5" s="8" t="s">
        <v>220</v>
      </c>
      <c r="AT5" s="8" t="s">
        <v>227</v>
      </c>
      <c r="AU5" s="52" t="s">
        <v>225</v>
      </c>
      <c r="AV5" s="8" t="s">
        <v>216</v>
      </c>
      <c r="AW5" s="8" t="s">
        <v>218</v>
      </c>
      <c r="AX5" s="8" t="s">
        <v>221</v>
      </c>
      <c r="AY5" s="8" t="s">
        <v>223</v>
      </c>
      <c r="AZ5" s="22" t="s">
        <v>226</v>
      </c>
      <c r="BA5" s="23"/>
    </row>
    <row r="6" spans="4:54" x14ac:dyDescent="0.25">
      <c r="D6" s="2" cm="1">
        <f t="array" ref="D6:D12">P_L[Year]</f>
        <v>2017</v>
      </c>
      <c r="E6" s="2" cm="1">
        <f t="array" ref="E6:E12">P_L[Revenue_From_Contracts_With_Customers]</f>
        <v>20358</v>
      </c>
      <c r="F6" s="6">
        <f>E6</f>
        <v>20358</v>
      </c>
      <c r="J6" s="6">
        <f>F6</f>
        <v>20358</v>
      </c>
      <c r="K6" s="6">
        <f>F6</f>
        <v>20358</v>
      </c>
      <c r="M6" s="23" cm="1">
        <f t="array" ref="M6:M12">P_L[Year]</f>
        <v>2017</v>
      </c>
      <c r="N6" s="12" cm="1">
        <f t="array" ref="N6:N12">P_L[Net_Profit]/Equity[Equity]</f>
        <v>8.5746415518695523E-2</v>
      </c>
      <c r="O6" s="12" cm="1">
        <f t="array" ref="O6:O12">P_L[Net_Profit]/Current_Assets[TOTAL_ASSETS]</f>
        <v>4.4692573706113355E-2</v>
      </c>
      <c r="P6" s="12" cm="1">
        <f t="array" ref="P6:P12">P_L[Gross_Profit_From_Sales]/P_L[Revenue_From_Contracts_With_Customers]</f>
        <v>0.25316828765104626</v>
      </c>
      <c r="Q6" s="12" cm="1">
        <f t="array" ref="Q6:Q12">(P_L[Profit_Before_Tax]-P_L[Financial_Expenses]-P_L[Financial_Revenues])/(P_L[Revenue_From_Contracts_With_Customers]+P_L[Other_Operating_Revenues]+P_L[Financial_Revenues])</f>
        <v>5.7687970772630916E-2</v>
      </c>
      <c r="R6" s="11" cm="1">
        <f t="array" ref="R6:R12">Top40_P_L_CF[Net_profit]/Top40_Long_liabilities_and_Equity[Equity]</f>
        <v>0.11948529411764706</v>
      </c>
      <c r="S6" s="12" cm="1">
        <f t="array" ref="S6:S12">Top40_P_L_CF[Net_profit]/Top40_Non_Current_Assets[Total_assets]</f>
        <v>5.8558558558558557E-2</v>
      </c>
      <c r="T6" s="12" cm="1">
        <f t="array" ref="T6:T12">Top40_P_L_CF[Net_profit]/Top40_P_L_CF[Revenue]</f>
        <v>0.14348785871964681</v>
      </c>
      <c r="U6" s="24" cm="1">
        <f t="array" ref="U6:U12">Top40_P_L_CF[EBIT]/(Top40_P_L_CF[Revenue]+Top40_P_L_CF[Trading_revenue])</f>
        <v>0.17563291139240506</v>
      </c>
      <c r="V6" s="23" cm="1">
        <f t="array" ref="V6:V12">P_L[Year]</f>
        <v>2017</v>
      </c>
      <c r="W6" s="17" cm="1">
        <f t="array" ref="W6:W12">Current_Assets[Current_Assets]/Short_term_liabilities[Short_Term_Liabilities]</f>
        <v>1.3934786590950723</v>
      </c>
      <c r="X6" s="17" cm="1">
        <f t="array" ref="X6:X12">Current_Assets[Cash_and_Cash_Equivalents]/Short_term_liabilities[Short_Term_Liabilities]</f>
        <v>0.10734566770470783</v>
      </c>
      <c r="Y6" s="17" cm="1">
        <f t="array" ref="Y6:Y12">cash_flow_operating[Net_Cash_Flows_From_Operating_Activities]/P_L[Revenue_From_Contracts_With_Customers]</f>
        <v>0.15001473622163278</v>
      </c>
      <c r="Z6" s="17" cm="1">
        <f t="array" ref="Z6:Z12">cash_flow_operating[Net_Cash_Flows_From_Operating_Activities]/Current_Assets[Current_Assets]</f>
        <v>0.40147232811883793</v>
      </c>
      <c r="AA6" s="17" cm="1">
        <f t="array" ref="AA6:AA12">cash_flow_operating[Net_Cash_Flows_From_Operating_Activities]/Long_term_liabilities[Long_Term_Liabilities]</f>
        <v>0.28075013789299502</v>
      </c>
      <c r="AB6" s="16" cm="1">
        <f t="array" ref="AB6:AB12">Top40_Current_Assets[Total_current_assets]/Top40_Short_Liabilities[Total_current_liabilities]</f>
        <v>1.4759358288770053</v>
      </c>
      <c r="AC6" s="17" cm="1">
        <f t="array" ref="AC6:AC12">Top40_Current_Assets[Cash]/Top40_Short_Liabilities[Total_current_liabilities]</f>
        <v>0.52941176470588236</v>
      </c>
      <c r="AD6" s="17" cm="1">
        <f t="array" ref="AD6:AD12">Top40_P_L_CF[Net_operating_cash_flows]/Top40_P_L_CF[Revenue]</f>
        <v>0.26490066225165565</v>
      </c>
      <c r="AE6" s="17" cm="1">
        <f t="array" ref="AE6:AE12">Top40_P_L_CF[Net_operating_cash_flows]/Top40_Current_Assets[Total_current_assets]</f>
        <v>0.43478260869565216</v>
      </c>
      <c r="AF6" s="26" cm="1">
        <f t="array" ref="AF6:AF12">Top40_P_L_CF[Net_operating_cash_flows]/Top40_Long_liabilities_and_Equity[Total_non_current_liabilities]</f>
        <v>0.31662269129287601</v>
      </c>
      <c r="AG6" s="23" cm="1">
        <f t="array" ref="AG6:AG12">Long_term_liabilities[Year]</f>
        <v>2017</v>
      </c>
      <c r="AH6" s="17" cm="1">
        <f t="array" ref="AH6:AH12">Long_term_liabilities[Long_and_Short_Term_Liabilities]/Current_Assets[TOTAL_ASSETS]</f>
        <v>0.47878201746673699</v>
      </c>
      <c r="AI6" s="17" cm="1">
        <f t="array" ref="AI6:AI12">Long_term_liabilities[Long_Term_Liabilities]/Equity[Equity]</f>
        <v>0.61163902164745576</v>
      </c>
      <c r="AJ6" s="17" cm="1">
        <f t="array" ref="AJ6:AJ12">Long_term_liabilities[Long_and_Short_Term_Liabilities]/Equity[Equity]</f>
        <v>0.9185830756255271</v>
      </c>
      <c r="AK6" s="53" cm="1">
        <f t="array" ref="AK6:AK12">Long_term_liabilities[Long_and_Short_Term_Liabilities]/Current_Assets[Current_Assets]</f>
        <v>2.1476271854870514</v>
      </c>
      <c r="AL6" s="17" cm="1">
        <f t="array" ref="AL6:AL12">Top40_Long_liabilities_and_Equity[Total_liabilities]/Top40_Non_Current_Assets[Total_assets]</f>
        <v>0.50990990990990992</v>
      </c>
      <c r="AM6" s="17" cm="1">
        <f t="array" ref="AM6:AM12">Top40_Long_liabilities_and_Equity[Total_non_current_liabilities]/Top40_Long_liabilities_and_Equity[Equity]</f>
        <v>0.6966911764705882</v>
      </c>
      <c r="AN6" s="17" cm="1">
        <f t="array" ref="AN6:AN12">Top40_Long_liabilities_and_Equity[Total_liabilities]/Top40_Long_liabilities_and_Equity[Equity]</f>
        <v>1.0404411764705883</v>
      </c>
      <c r="AO6" s="26" cm="1">
        <f t="array" ref="AO6:AO12">Top40_Long_liabilities_and_Equity[Total_liabilities]/Top40_Current_Assets[Total_current_assets]</f>
        <v>2.0507246376811592</v>
      </c>
      <c r="AP6" s="23" cm="1">
        <f t="array" ref="AP6:AP12">Current_Assets[Year]</f>
        <v>2017</v>
      </c>
      <c r="AQ6" s="17" cm="1">
        <f t="array" ref="AQ6:AQ12">P_L[Revenue_From_Contracts_With_Customers]/Current_Assets[TOTAL_ASSETS]</f>
        <v>0.5966238790223316</v>
      </c>
      <c r="AR6" s="17" cm="1">
        <f t="array" ref="AR6:AR12">P_L[Revenue_From_Contracts_With_Customers]/(Non_current_assets[Total_Non_Current_Assets])</f>
        <v>0.76779181595323398</v>
      </c>
      <c r="AS6" s="17" cm="1">
        <f t="array" ref="AS6:AS12">P_L[Revenue_From_Contracts_With_Customers]/Current_Assets[Current_Assets]</f>
        <v>2.6762192717234128</v>
      </c>
      <c r="AT6" s="17" cm="1">
        <f t="array" ref="AT6:AT12">P_L[Revenue_From_Contracts_With_Customers]/Current_Assets[Trade_Receivables_Including]</f>
        <v>13.375821287779237</v>
      </c>
      <c r="AU6" s="53" cm="1">
        <f t="array" ref="AU6:AU12">P_L[Revenue_From_Contracts_With_Customers]/Current_Assets[Inventories]</f>
        <v>4.4625164401578257</v>
      </c>
      <c r="AV6" s="17" cm="1">
        <f t="array" ref="AV6:AV12">Top40_P_L_CF[Revenue]/Top40_Non_Current_Assets[Total_assets]</f>
        <v>0.4081081081081081</v>
      </c>
      <c r="AW6" s="17" cm="1">
        <f t="array" ref="AW6:AW12">Top40_P_L_CF[Revenue]/Top40_Non_Current_Assets[Total_non_current_assets]</f>
        <v>0.54316546762589923</v>
      </c>
      <c r="AX6" s="17" cm="1">
        <f t="array" ref="AX6:AX12">Top40_P_L_CF[Revenue]/Top40_Current_Assets[Total_current_assets]</f>
        <v>1.6413043478260869</v>
      </c>
      <c r="AY6" s="17" cm="1">
        <f t="array" ref="AY6:AY12">Top40_P_L_CF[Revenue]/Top40_Current_Assets[Account_receivable]</f>
        <v>7.55</v>
      </c>
      <c r="AZ6" s="26" cm="1">
        <f t="array" ref="AZ6:AZ12">Top40_P_L_CF[Revenue]/Top40_Current_Assets[Inventories]</f>
        <v>5.7341772151898738</v>
      </c>
      <c r="BA6" s="55"/>
      <c r="BB6" s="17"/>
    </row>
    <row r="7" spans="4:54" x14ac:dyDescent="0.25">
      <c r="D7" s="2">
        <v>2018</v>
      </c>
      <c r="E7" s="2">
        <v>20526</v>
      </c>
      <c r="F7" s="6"/>
      <c r="G7" s="2">
        <f>E7-E6</f>
        <v>168</v>
      </c>
      <c r="H7" s="6">
        <f>SUM($F$6:G7)</f>
        <v>20526</v>
      </c>
      <c r="I7" s="6">
        <f>F6</f>
        <v>20358</v>
      </c>
      <c r="J7" s="6">
        <f>MAX(H7:I7)</f>
        <v>20526</v>
      </c>
      <c r="K7" s="6">
        <f>G7</f>
        <v>168</v>
      </c>
      <c r="M7" s="23">
        <v>2018</v>
      </c>
      <c r="N7" s="12">
        <v>8.6241872561768532E-2</v>
      </c>
      <c r="O7" s="12">
        <v>4.4525606251846282E-2</v>
      </c>
      <c r="P7" s="12">
        <v>0.19346195069667738</v>
      </c>
      <c r="Q7" s="12">
        <v>0.14959899865560242</v>
      </c>
      <c r="R7" s="11">
        <v>0.12222222222222222</v>
      </c>
      <c r="S7" s="12">
        <v>6.1111111111111109E-2</v>
      </c>
      <c r="T7" s="12">
        <v>0.13496932515337423</v>
      </c>
      <c r="U7" s="24">
        <v>0.17276720351390923</v>
      </c>
      <c r="V7" s="23">
        <v>2018</v>
      </c>
      <c r="W7" s="17">
        <v>1.3404944586530265</v>
      </c>
      <c r="X7" s="17">
        <v>0.16317135549872122</v>
      </c>
      <c r="Y7" s="17">
        <v>0.18639773945240184</v>
      </c>
      <c r="Z7" s="17">
        <v>0.4866446196896464</v>
      </c>
      <c r="AA7" s="17">
        <v>0.3149748909195686</v>
      </c>
      <c r="AB7" s="16">
        <v>1.6193181818181819</v>
      </c>
      <c r="AC7" s="17">
        <v>0.57386363636363635</v>
      </c>
      <c r="AD7" s="17">
        <v>0.27402862985685073</v>
      </c>
      <c r="AE7" s="17">
        <v>0.47017543859649125</v>
      </c>
      <c r="AF7" s="26">
        <v>0.36813186813186816</v>
      </c>
      <c r="AG7" s="23">
        <v>2018</v>
      </c>
      <c r="AH7" s="17">
        <v>0.48371243655503932</v>
      </c>
      <c r="AI7" s="17">
        <v>0.63183355006501951</v>
      </c>
      <c r="AJ7" s="17">
        <v>0.93690507152145641</v>
      </c>
      <c r="AK7" s="53">
        <v>2.2910200966675145</v>
      </c>
      <c r="AL7" s="17">
        <v>0.5</v>
      </c>
      <c r="AM7" s="17">
        <v>0.67407407407407405</v>
      </c>
      <c r="AN7" s="17">
        <v>1</v>
      </c>
      <c r="AO7" s="26">
        <v>1.8947368421052631</v>
      </c>
      <c r="AP7" s="23">
        <v>2018</v>
      </c>
      <c r="AQ7" s="17">
        <v>0.55122593119746488</v>
      </c>
      <c r="AR7" s="17">
        <v>0.6987574468085106</v>
      </c>
      <c r="AS7" s="17">
        <v>2.6107860595268382</v>
      </c>
      <c r="AT7" s="17">
        <v>25.689612015018774</v>
      </c>
      <c r="AU7" s="53">
        <v>4.1192052980132452</v>
      </c>
      <c r="AV7" s="17">
        <v>0.45277777777777778</v>
      </c>
      <c r="AW7" s="17">
        <v>0.61509433962264148</v>
      </c>
      <c r="AX7" s="17">
        <v>1.7157894736842105</v>
      </c>
      <c r="AY7" s="17">
        <v>8.8909090909090907</v>
      </c>
      <c r="AZ7" s="26">
        <v>6.3506493506493502</v>
      </c>
      <c r="BA7" s="55"/>
      <c r="BB7" s="17"/>
    </row>
    <row r="8" spans="4:54" x14ac:dyDescent="0.25">
      <c r="D8" s="2">
        <v>2019</v>
      </c>
      <c r="E8" s="2">
        <v>22723</v>
      </c>
      <c r="F8" s="6"/>
      <c r="G8" s="2">
        <f t="shared" ref="G8:G12" si="0">E8-E7</f>
        <v>2197</v>
      </c>
      <c r="H8" s="6">
        <f>SUM($F$6:G8)</f>
        <v>22723</v>
      </c>
      <c r="I8" s="6">
        <f>SUM($F$6:G7)</f>
        <v>20526</v>
      </c>
      <c r="J8" s="6">
        <f t="shared" ref="J8:J12" si="1">MAX(H8:I8)</f>
        <v>22723</v>
      </c>
      <c r="K8" s="6">
        <f t="shared" ref="K8:K12" si="2">G8</f>
        <v>2197</v>
      </c>
      <c r="M8" s="23">
        <v>2019</v>
      </c>
      <c r="N8" s="12">
        <v>7.0339570339570334E-2</v>
      </c>
      <c r="O8" s="12">
        <v>3.6057753305082596E-2</v>
      </c>
      <c r="P8" s="12">
        <v>0.17409673018527483</v>
      </c>
      <c r="Q8" s="12">
        <v>0.11243105642766228</v>
      </c>
      <c r="R8" s="11">
        <v>0.10834813499111901</v>
      </c>
      <c r="S8" s="12">
        <v>5.3555750658472345E-2</v>
      </c>
      <c r="T8" s="12">
        <v>0.11619047619047619</v>
      </c>
      <c r="U8" s="24">
        <v>0.17052023121387283</v>
      </c>
      <c r="V8" s="23">
        <v>2019</v>
      </c>
      <c r="W8" s="17">
        <v>1.2823061630218688</v>
      </c>
      <c r="X8" s="17">
        <v>0.16832339297548046</v>
      </c>
      <c r="Y8" s="17">
        <v>0.22215376490780267</v>
      </c>
      <c r="Z8" s="17">
        <v>0.65219638242894051</v>
      </c>
      <c r="AA8" s="17">
        <v>0.38326626679826892</v>
      </c>
      <c r="AB8" s="16">
        <v>1.4170854271356783</v>
      </c>
      <c r="AC8" s="17">
        <v>0.44221105527638194</v>
      </c>
      <c r="AD8" s="17">
        <v>0.24761904761904763</v>
      </c>
      <c r="AE8" s="17">
        <v>0.46099290780141844</v>
      </c>
      <c r="AF8" s="26">
        <v>0.34482758620689657</v>
      </c>
      <c r="AG8" s="23">
        <v>2019</v>
      </c>
      <c r="AH8" s="17">
        <v>0.48737598010606714</v>
      </c>
      <c r="AI8" s="17">
        <v>0.65196515196515192</v>
      </c>
      <c r="AJ8" s="17">
        <v>0.95074745074745071</v>
      </c>
      <c r="AK8" s="53">
        <v>2.4815245478036174</v>
      </c>
      <c r="AL8" s="17">
        <v>0.50570676031606676</v>
      </c>
      <c r="AM8" s="17">
        <v>0.66962699822380112</v>
      </c>
      <c r="AN8" s="17">
        <v>1.0230905861456483</v>
      </c>
      <c r="AO8" s="26">
        <v>2.0425531914893615</v>
      </c>
      <c r="AP8" s="23">
        <v>2019</v>
      </c>
      <c r="AQ8" s="17">
        <v>0.57659417899464593</v>
      </c>
      <c r="AR8" s="17">
        <v>0.71751555148568003</v>
      </c>
      <c r="AS8" s="17">
        <v>2.9357881136950903</v>
      </c>
      <c r="AT8" s="17">
        <v>33.027616279069768</v>
      </c>
      <c r="AU8" s="53">
        <v>4.7928707023834631</v>
      </c>
      <c r="AV8" s="17">
        <v>0.46093064091308167</v>
      </c>
      <c r="AW8" s="17">
        <v>0.61260210035005835</v>
      </c>
      <c r="AX8" s="17">
        <v>1.8617021276595744</v>
      </c>
      <c r="AY8" s="17">
        <v>10.9375</v>
      </c>
      <c r="AZ8" s="26">
        <v>6.3253012048192767</v>
      </c>
      <c r="BA8" s="55"/>
      <c r="BB8" s="17"/>
    </row>
    <row r="9" spans="4:54" x14ac:dyDescent="0.25">
      <c r="D9" s="2">
        <v>2020</v>
      </c>
      <c r="E9" s="2">
        <v>23632</v>
      </c>
      <c r="F9" s="6"/>
      <c r="G9" s="2">
        <f t="shared" si="0"/>
        <v>909</v>
      </c>
      <c r="H9" s="6">
        <f>SUM($F$6:G9)</f>
        <v>23632</v>
      </c>
      <c r="I9" s="6">
        <f>SUM($F$6:G8)</f>
        <v>22723</v>
      </c>
      <c r="J9" s="6">
        <f t="shared" si="1"/>
        <v>23632</v>
      </c>
      <c r="K9" s="6">
        <f t="shared" si="2"/>
        <v>909</v>
      </c>
      <c r="M9" s="23">
        <v>2020</v>
      </c>
      <c r="N9" s="12">
        <v>8.5242635548598261E-2</v>
      </c>
      <c r="O9" s="12">
        <v>4.2005610098176716E-2</v>
      </c>
      <c r="P9" s="12">
        <v>0.19680941096817875</v>
      </c>
      <c r="Q9" s="12">
        <v>0.11320294392713373</v>
      </c>
      <c r="R9" s="11">
        <v>0.12347826086956522</v>
      </c>
      <c r="S9" s="12">
        <v>6.1049011177987965E-2</v>
      </c>
      <c r="T9" s="12">
        <v>0.13027522935779817</v>
      </c>
      <c r="U9" s="24">
        <v>0.18873668188736681</v>
      </c>
      <c r="V9" s="23">
        <v>2020</v>
      </c>
      <c r="W9" s="17">
        <v>1.1044643986341216</v>
      </c>
      <c r="X9" s="17">
        <v>0.32275199190590614</v>
      </c>
      <c r="Y9" s="17">
        <v>0.23933649289099526</v>
      </c>
      <c r="Z9" s="17">
        <v>0.64765830756899123</v>
      </c>
      <c r="AA9" s="17">
        <v>0.41009280742459397</v>
      </c>
      <c r="AB9" s="16">
        <v>1.5989583333333333</v>
      </c>
      <c r="AC9" s="17">
        <v>0.640625</v>
      </c>
      <c r="AD9" s="17">
        <v>0.26055045871559634</v>
      </c>
      <c r="AE9" s="17">
        <v>0.46254071661237783</v>
      </c>
      <c r="AF9" s="26">
        <v>0.35858585858585856</v>
      </c>
      <c r="AG9" s="23">
        <v>2020</v>
      </c>
      <c r="AH9" s="17">
        <v>0.50722300140252452</v>
      </c>
      <c r="AI9" s="17">
        <v>0.6542384137374887</v>
      </c>
      <c r="AJ9" s="17">
        <v>1.0293154973672975</v>
      </c>
      <c r="AK9" s="53">
        <v>2.484713156990725</v>
      </c>
      <c r="AL9" s="17">
        <v>0.50558899398108337</v>
      </c>
      <c r="AM9" s="17">
        <v>0.68869565217391304</v>
      </c>
      <c r="AN9" s="17">
        <v>1.0226086956521738</v>
      </c>
      <c r="AO9" s="26">
        <v>1.9153094462540716</v>
      </c>
      <c r="AP9" s="23">
        <v>2020</v>
      </c>
      <c r="AQ9" s="17">
        <v>0.55240766713417488</v>
      </c>
      <c r="AR9" s="17">
        <v>0.69409933327459106</v>
      </c>
      <c r="AS9" s="17">
        <v>2.7060574831100426</v>
      </c>
      <c r="AT9" s="17">
        <v>28.335731414868107</v>
      </c>
      <c r="AU9" s="53">
        <v>5.2998430141287285</v>
      </c>
      <c r="AV9" s="17">
        <v>0.46861564918314702</v>
      </c>
      <c r="AW9" s="17">
        <v>0.63668224299065423</v>
      </c>
      <c r="AX9" s="17">
        <v>1.775244299674267</v>
      </c>
      <c r="AY9" s="17">
        <v>13.292682926829269</v>
      </c>
      <c r="AZ9" s="26">
        <v>6.264367816091954</v>
      </c>
      <c r="BA9" s="55"/>
      <c r="BB9" s="17"/>
    </row>
    <row r="10" spans="4:54" x14ac:dyDescent="0.25">
      <c r="D10" s="2">
        <v>2021</v>
      </c>
      <c r="E10" s="2">
        <v>29803</v>
      </c>
      <c r="F10" s="6"/>
      <c r="G10" s="2">
        <f t="shared" si="0"/>
        <v>6171</v>
      </c>
      <c r="H10" s="6">
        <f>SUM($F$6:G10)</f>
        <v>29803</v>
      </c>
      <c r="I10" s="6">
        <f>SUM($F$6:G9)</f>
        <v>23632</v>
      </c>
      <c r="J10" s="6">
        <f t="shared" si="1"/>
        <v>29803</v>
      </c>
      <c r="K10" s="6">
        <f t="shared" si="2"/>
        <v>6171</v>
      </c>
      <c r="M10" s="23">
        <v>2021</v>
      </c>
      <c r="N10" s="12">
        <v>0.22680374382784288</v>
      </c>
      <c r="O10" s="12">
        <v>0.12815707831011722</v>
      </c>
      <c r="P10" s="12">
        <v>0.21051571989397042</v>
      </c>
      <c r="Q10" s="12">
        <v>0.2622510275055327</v>
      </c>
      <c r="R10" s="11">
        <v>0.25853658536585367</v>
      </c>
      <c r="S10" s="12">
        <v>0.12874493927125505</v>
      </c>
      <c r="T10" s="12">
        <v>0.2211404728789986</v>
      </c>
      <c r="U10" s="24">
        <v>0.25945945945945947</v>
      </c>
      <c r="V10" s="23">
        <v>2021</v>
      </c>
      <c r="W10" s="17">
        <v>1.1913399035437198</v>
      </c>
      <c r="X10" s="17">
        <v>0.19752568672677709</v>
      </c>
      <c r="Y10" s="17">
        <v>0.14313995235378987</v>
      </c>
      <c r="Z10" s="17">
        <v>0.37542902402534539</v>
      </c>
      <c r="AA10" s="17">
        <v>0.37582591842128449</v>
      </c>
      <c r="AB10" s="16">
        <v>1.5811965811965811</v>
      </c>
      <c r="AC10" s="17">
        <v>0.66666666666666663</v>
      </c>
      <c r="AD10" s="17">
        <v>0.31293463143254518</v>
      </c>
      <c r="AE10" s="17">
        <v>0.60810810810810811</v>
      </c>
      <c r="AF10" s="26">
        <v>0.58290155440414504</v>
      </c>
      <c r="AG10" s="23">
        <v>2021</v>
      </c>
      <c r="AH10" s="17">
        <v>0.43494284464988442</v>
      </c>
      <c r="AI10" s="17">
        <v>0.41826958508364653</v>
      </c>
      <c r="AJ10" s="17">
        <v>0.76973247844351089</v>
      </c>
      <c r="AK10" s="53">
        <v>1.8383349467570185</v>
      </c>
      <c r="AL10" s="17">
        <v>0.50202429149797567</v>
      </c>
      <c r="AM10" s="17">
        <v>0.62764227642276427</v>
      </c>
      <c r="AN10" s="17">
        <v>1.0081300813008129</v>
      </c>
      <c r="AO10" s="26">
        <v>1.6756756756756757</v>
      </c>
      <c r="AP10" s="23">
        <v>2021</v>
      </c>
      <c r="AQ10" s="17">
        <v>0.6205467757719616</v>
      </c>
      <c r="AR10" s="17">
        <v>0.81286820859698883</v>
      </c>
      <c r="AS10" s="17">
        <v>2.622810877409135</v>
      </c>
      <c r="AT10" s="17">
        <v>29.537165510406343</v>
      </c>
      <c r="AU10" s="53">
        <v>4.7030140445005522</v>
      </c>
      <c r="AV10" s="17">
        <v>0.58218623481781373</v>
      </c>
      <c r="AW10" s="17">
        <v>0.83121387283236992</v>
      </c>
      <c r="AX10" s="17">
        <v>1.9432432432432432</v>
      </c>
      <c r="AY10" s="17">
        <v>15.977777777777778</v>
      </c>
      <c r="AZ10" s="26">
        <v>7.3367346938775508</v>
      </c>
      <c r="BA10" s="55"/>
      <c r="BB10" s="17"/>
    </row>
    <row r="11" spans="4:54" x14ac:dyDescent="0.25">
      <c r="D11" s="2">
        <v>2022</v>
      </c>
      <c r="E11" s="2">
        <v>33847</v>
      </c>
      <c r="F11" s="6"/>
      <c r="G11" s="2">
        <f t="shared" si="0"/>
        <v>4044</v>
      </c>
      <c r="H11" s="6">
        <f>SUM($F$6:G11)</f>
        <v>33847</v>
      </c>
      <c r="I11" s="6">
        <f>SUM($F$6:G10)</f>
        <v>29803</v>
      </c>
      <c r="J11" s="6">
        <f t="shared" si="1"/>
        <v>33847</v>
      </c>
      <c r="K11" s="6">
        <f t="shared" si="2"/>
        <v>4044</v>
      </c>
      <c r="M11" s="23">
        <v>2022</v>
      </c>
      <c r="N11" s="12">
        <v>0.14850992347414921</v>
      </c>
      <c r="O11" s="12">
        <v>8.9327146171693739E-2</v>
      </c>
      <c r="P11" s="12">
        <v>0.1863089786391704</v>
      </c>
      <c r="Q11" s="12">
        <v>0.18845467722154086</v>
      </c>
      <c r="R11" s="11">
        <v>0.22835820895522388</v>
      </c>
      <c r="S11" s="12">
        <v>0.11897356143079316</v>
      </c>
      <c r="T11" s="12">
        <v>0.21518987341772153</v>
      </c>
      <c r="U11" s="24">
        <v>0.23860021208907742</v>
      </c>
      <c r="V11" s="23">
        <v>2022</v>
      </c>
      <c r="W11" s="17">
        <v>1.4224278715296679</v>
      </c>
      <c r="X11" s="17">
        <v>0.130647795318454</v>
      </c>
      <c r="Y11" s="17">
        <v>7.2798180045498859E-2</v>
      </c>
      <c r="Z11" s="17">
        <v>0.18859548411787216</v>
      </c>
      <c r="AA11" s="17">
        <v>0.2034178155700487</v>
      </c>
      <c r="AB11" s="16">
        <v>1.6218487394957983</v>
      </c>
      <c r="AC11" s="17">
        <v>0.59243697478991597</v>
      </c>
      <c r="AD11" s="17">
        <v>0.25316455696202533</v>
      </c>
      <c r="AE11" s="17">
        <v>0.46632124352331605</v>
      </c>
      <c r="AF11" s="26">
        <v>0.47619047619047616</v>
      </c>
      <c r="AG11" s="23">
        <v>2022</v>
      </c>
      <c r="AH11" s="17">
        <v>0.39851059052466131</v>
      </c>
      <c r="AI11" s="17">
        <v>0.37681204504448451</v>
      </c>
      <c r="AJ11" s="17">
        <v>0.66253966278852738</v>
      </c>
      <c r="AK11" s="53">
        <v>1.630156907768848</v>
      </c>
      <c r="AL11" s="17">
        <v>0.47900466562986005</v>
      </c>
      <c r="AM11" s="17">
        <v>0.56417910447761199</v>
      </c>
      <c r="AN11" s="17">
        <v>0.91940298507462681</v>
      </c>
      <c r="AO11" s="26">
        <v>1.5958549222797926</v>
      </c>
      <c r="AP11" s="23">
        <v>2022</v>
      </c>
      <c r="AQ11" s="17">
        <v>0.63331711698226179</v>
      </c>
      <c r="AR11" s="17">
        <v>0.8382327447435548</v>
      </c>
      <c r="AS11" s="17">
        <v>2.5906620742441637</v>
      </c>
      <c r="AT11" s="17">
        <v>28.757009345794394</v>
      </c>
      <c r="AU11" s="53">
        <v>3.8021792855538084</v>
      </c>
      <c r="AV11" s="17">
        <v>0.5528771384136858</v>
      </c>
      <c r="AW11" s="17">
        <v>0.79</v>
      </c>
      <c r="AX11" s="17">
        <v>1.8419689119170986</v>
      </c>
      <c r="AY11" s="17">
        <v>13.415094339622641</v>
      </c>
      <c r="AZ11" s="26">
        <v>7.2551020408163263</v>
      </c>
      <c r="BA11" s="55"/>
      <c r="BB11" s="17"/>
    </row>
    <row r="12" spans="4:54" x14ac:dyDescent="0.25">
      <c r="D12" s="2">
        <v>2023</v>
      </c>
      <c r="E12" s="2">
        <v>33467</v>
      </c>
      <c r="F12" s="6"/>
      <c r="G12" s="2">
        <f t="shared" si="0"/>
        <v>-380</v>
      </c>
      <c r="H12" s="6">
        <f>SUM($F$6:G12)</f>
        <v>33467</v>
      </c>
      <c r="I12" s="6">
        <f>SUM($F$6:G11)</f>
        <v>33847</v>
      </c>
      <c r="J12" s="6">
        <f t="shared" si="1"/>
        <v>33847</v>
      </c>
      <c r="K12" s="6">
        <f t="shared" si="2"/>
        <v>-380</v>
      </c>
      <c r="M12" s="23">
        <v>2023</v>
      </c>
      <c r="N12" s="12">
        <v>-0.12892071253929444</v>
      </c>
      <c r="O12" s="12">
        <v>-7.1833096549442421E-2</v>
      </c>
      <c r="P12" s="12">
        <v>1.6732901066722441E-2</v>
      </c>
      <c r="Q12" s="12">
        <v>-0.10770156438026474</v>
      </c>
      <c r="R12" s="11">
        <v>0.13595166163141995</v>
      </c>
      <c r="S12" s="12">
        <v>6.9875776397515521E-2</v>
      </c>
      <c r="T12" s="12">
        <v>0.13493253373313344</v>
      </c>
      <c r="U12" s="24">
        <v>0.18698224852071005</v>
      </c>
      <c r="V12" s="23">
        <v>2023</v>
      </c>
      <c r="W12" s="17">
        <v>1.1536541275716623</v>
      </c>
      <c r="X12" s="17">
        <v>0.14883360592235517</v>
      </c>
      <c r="Y12" s="17">
        <v>0.18080497206203125</v>
      </c>
      <c r="Z12" s="17">
        <v>0.451499776152813</v>
      </c>
      <c r="AA12" s="17">
        <v>0.54337284482758619</v>
      </c>
      <c r="AB12" s="16">
        <v>1.5689655172413792</v>
      </c>
      <c r="AC12" s="17">
        <v>0.61206896551724133</v>
      </c>
      <c r="AD12" s="17">
        <v>0.19790104947526238</v>
      </c>
      <c r="AE12" s="17">
        <v>0.36263736263736263</v>
      </c>
      <c r="AF12" s="26">
        <v>0.3350253807106599</v>
      </c>
      <c r="AG12" s="23">
        <v>2023</v>
      </c>
      <c r="AH12" s="17">
        <v>0.44281182492263976</v>
      </c>
      <c r="AI12" s="17">
        <v>0.38896262661543834</v>
      </c>
      <c r="AJ12" s="17">
        <v>0.7947258120852253</v>
      </c>
      <c r="AK12" s="53">
        <v>1.6977316818385315</v>
      </c>
      <c r="AL12" s="17">
        <v>0.4860248447204969</v>
      </c>
      <c r="AM12" s="17">
        <v>0.595166163141994</v>
      </c>
      <c r="AN12" s="17">
        <v>0.94561933534743203</v>
      </c>
      <c r="AO12" s="26">
        <v>1.7197802197802199</v>
      </c>
      <c r="AP12" s="23">
        <v>2023</v>
      </c>
      <c r="AQ12" s="17">
        <v>0.65132436798162818</v>
      </c>
      <c r="AR12" s="17">
        <v>0.88115110186672285</v>
      </c>
      <c r="AS12" s="17">
        <v>2.4971646022981644</v>
      </c>
      <c r="AT12" s="17">
        <v>35.908798283261802</v>
      </c>
      <c r="AU12" s="53">
        <v>3.9723442136498517</v>
      </c>
      <c r="AV12" s="17">
        <v>0.5178571428571429</v>
      </c>
      <c r="AW12" s="17">
        <v>0.72186147186147187</v>
      </c>
      <c r="AX12" s="17">
        <v>1.8324175824175823</v>
      </c>
      <c r="AY12" s="17">
        <v>9.2638888888888893</v>
      </c>
      <c r="AZ12" s="26">
        <v>6.4134615384615383</v>
      </c>
      <c r="BA12" s="55"/>
      <c r="BB12" s="17"/>
    </row>
    <row r="13" spans="4:54" x14ac:dyDescent="0.25">
      <c r="D13" s="3">
        <f>D12</f>
        <v>2023</v>
      </c>
      <c r="E13" s="3"/>
      <c r="F13" s="7">
        <f>E12</f>
        <v>33467</v>
      </c>
      <c r="G13" s="3"/>
      <c r="H13" s="3"/>
      <c r="I13" s="3"/>
      <c r="J13" s="7">
        <f>F13</f>
        <v>33467</v>
      </c>
      <c r="K13" s="7">
        <f>F13</f>
        <v>33467</v>
      </c>
    </row>
    <row r="14" spans="4:54" x14ac:dyDescent="0.25">
      <c r="D14" s="48">
        <v>2024</v>
      </c>
      <c r="E14" s="6">
        <f>Forecast!S14</f>
        <v>36772.142857142855</v>
      </c>
      <c r="F14" s="6"/>
      <c r="G14" s="6">
        <f>E14-E12</f>
        <v>3305.1428571428551</v>
      </c>
      <c r="H14" s="6">
        <f>SUM($F$6:G12)+G14</f>
        <v>36772.142857142855</v>
      </c>
      <c r="I14" s="6">
        <f>SUM(F6:G12)</f>
        <v>33467</v>
      </c>
      <c r="J14" s="6">
        <f>E14</f>
        <v>36772.142857142855</v>
      </c>
      <c r="K14" s="6">
        <f>G14</f>
        <v>3305.1428571428551</v>
      </c>
      <c r="AV14" s="17"/>
      <c r="AW14" s="17"/>
      <c r="AX14" s="17"/>
      <c r="AY14" s="17"/>
      <c r="AZ14" s="17"/>
      <c r="BA14" s="17"/>
      <c r="BB14" s="17"/>
    </row>
    <row r="15" spans="4:54" x14ac:dyDescent="0.25">
      <c r="D15" s="48">
        <v>2025</v>
      </c>
      <c r="E15" s="6">
        <f>Forecast!S15</f>
        <v>39381.03571428571</v>
      </c>
      <c r="F15" s="6"/>
      <c r="G15" s="6">
        <f>E15-E14</f>
        <v>2608.8928571428551</v>
      </c>
      <c r="H15" s="6">
        <f>SUM($F$6:G12)+G15+G14</f>
        <v>39381.03571428571</v>
      </c>
      <c r="I15" s="6">
        <f>I14+G14</f>
        <v>36772.142857142855</v>
      </c>
      <c r="J15" s="6">
        <f>E15</f>
        <v>39381.03571428571</v>
      </c>
      <c r="K15" s="6">
        <f>G15</f>
        <v>2608.8928571428551</v>
      </c>
      <c r="P15" s="2" t="s">
        <v>231</v>
      </c>
    </row>
    <row r="16" spans="4:54" x14ac:dyDescent="0.25">
      <c r="D16" s="48">
        <v>2025</v>
      </c>
      <c r="E16" s="6">
        <f>E15</f>
        <v>39381.03571428571</v>
      </c>
      <c r="F16" s="6">
        <f>E16</f>
        <v>39381.03571428571</v>
      </c>
      <c r="J16" s="6">
        <f>F16</f>
        <v>39381.03571428571</v>
      </c>
      <c r="K16" s="6">
        <f>J16</f>
        <v>39381.03571428571</v>
      </c>
      <c r="N16" s="8"/>
      <c r="O16" s="8"/>
      <c r="P16" s="8" t="s">
        <v>94</v>
      </c>
      <c r="Q16" s="8" t="s">
        <v>95</v>
      </c>
      <c r="R16" s="8" t="s">
        <v>96</v>
      </c>
      <c r="S16" s="8" t="s">
        <v>97</v>
      </c>
      <c r="T16" s="8" t="s">
        <v>98</v>
      </c>
      <c r="U16" s="8" t="s">
        <v>99</v>
      </c>
    </row>
    <row r="17" spans="4:52" x14ac:dyDescent="0.25">
      <c r="N17" s="2" cm="1">
        <f t="array" ref="N17:N23">P_L[Year]</f>
        <v>2017</v>
      </c>
      <c r="O17" s="2" cm="1">
        <f t="array" ref="O17:O23">ABS(P_L[Cost_of_Goods_Sold]+P_L[Selling_And_Administrative_Expenses])</f>
        <v>16547</v>
      </c>
      <c r="P17" s="6">
        <f>O17</f>
        <v>16547</v>
      </c>
      <c r="T17" s="6">
        <f>P17</f>
        <v>16547</v>
      </c>
      <c r="U17" s="6">
        <f>P17</f>
        <v>16547</v>
      </c>
      <c r="V17" s="21" t="s">
        <v>0</v>
      </c>
      <c r="W17" s="56" t="s">
        <v>100</v>
      </c>
      <c r="X17" s="56" t="s">
        <v>157</v>
      </c>
      <c r="Y17" s="8"/>
      <c r="Z17" s="8"/>
      <c r="AA17" s="8"/>
      <c r="AB17" s="8"/>
      <c r="AC17" s="8"/>
      <c r="AD17" s="8"/>
      <c r="AE17" s="8"/>
      <c r="AF17" s="22"/>
      <c r="AG17" s="13" t="s">
        <v>0</v>
      </c>
      <c r="AH17" t="s">
        <v>197</v>
      </c>
      <c r="AI17" t="s">
        <v>198</v>
      </c>
      <c r="AJ17" t="s">
        <v>199</v>
      </c>
      <c r="AK17" t="s">
        <v>200</v>
      </c>
      <c r="AL17" t="s">
        <v>201</v>
      </c>
      <c r="AM17" t="s">
        <v>202</v>
      </c>
      <c r="AN17" t="s">
        <v>203</v>
      </c>
      <c r="AO17" t="s">
        <v>210</v>
      </c>
      <c r="AP17" s="21" t="s">
        <v>0</v>
      </c>
      <c r="AQ17" s="56" t="s">
        <v>100</v>
      </c>
      <c r="AR17" s="56" t="s">
        <v>157</v>
      </c>
      <c r="AS17" s="8"/>
      <c r="AT17" s="8"/>
      <c r="AU17" s="8"/>
      <c r="AV17" s="8"/>
      <c r="AW17" s="8"/>
      <c r="AX17" s="8"/>
      <c r="AY17" s="8"/>
      <c r="AZ17" s="22"/>
    </row>
    <row r="18" spans="4:52" x14ac:dyDescent="0.25">
      <c r="N18" s="2">
        <v>2018</v>
      </c>
      <c r="O18" s="2">
        <v>17935</v>
      </c>
      <c r="P18" s="6"/>
      <c r="Q18" s="2">
        <f>O18-O17</f>
        <v>1388</v>
      </c>
      <c r="R18" s="6">
        <f>SUM($P$17:Q18)</f>
        <v>17935</v>
      </c>
      <c r="S18" s="6">
        <f>P17</f>
        <v>16547</v>
      </c>
      <c r="T18" s="6">
        <f>MAX(R18:S18)</f>
        <v>17935</v>
      </c>
      <c r="U18" s="6">
        <f>Q18</f>
        <v>1388</v>
      </c>
      <c r="V18" s="23" cm="1">
        <f t="array" ref="V18:V24">P_L[Year]</f>
        <v>2017</v>
      </c>
      <c r="W18" s="17">
        <f>INDEX($W$6:$AF$12,MATCH(V18,$V$6:$V$12,0),MATCH(Liquidity_Ratio&amp;" KGHM",Ratios!$W$5:$AF$5,0))</f>
        <v>0.28075013789299502</v>
      </c>
      <c r="X18" s="17">
        <f>INDEX($W$6:$AF$12,MATCH(V18,$V$6:$V$12,0),MATCH(Liquidity_Ratio&amp;" Top40",Ratios!$W$5:$AF$5,0))</f>
        <v>0.31662269129287601</v>
      </c>
      <c r="Y18" s="17"/>
      <c r="Z18" s="17"/>
      <c r="AA18" s="17"/>
      <c r="AB18" s="17"/>
      <c r="AC18" s="17"/>
      <c r="AD18" s="17"/>
      <c r="AE18" s="17"/>
      <c r="AF18" s="26"/>
      <c r="AG18" s="14" t="s">
        <v>9</v>
      </c>
      <c r="AH18" s="43">
        <v>0.44281182492263976</v>
      </c>
      <c r="AI18" s="43">
        <v>0.4860248447204969</v>
      </c>
      <c r="AJ18" s="43">
        <v>0.38896262661543834</v>
      </c>
      <c r="AK18" s="43">
        <v>0.595166163141994</v>
      </c>
      <c r="AL18" s="43">
        <v>0.7947258120852253</v>
      </c>
      <c r="AM18" s="43">
        <v>0.94561933534743203</v>
      </c>
      <c r="AN18" s="43">
        <v>1.6977316818385315</v>
      </c>
      <c r="AO18" s="43">
        <v>1.7197802197802199</v>
      </c>
      <c r="AP18" s="23" cm="1">
        <f t="array" ref="AP18:AP24">P_L[Year]</f>
        <v>2017</v>
      </c>
      <c r="AQ18" s="17">
        <f>INDEX($AQ$6:$AZ$12,MATCH(AP18,$AP$6:$AP$12,0),MATCH(Activity_Ratios&amp;" KGHM",Ratios!$AQ$5:$AZ$5,0))</f>
        <v>4.4625164401578257</v>
      </c>
      <c r="AR18" s="17">
        <f>INDEX($AQ$6:$AZ$12,MATCH(AP18,$AP$6:$AP$12,0),MATCH(Activity_Ratios&amp;" Top40",Ratios!$AQ$5:$AZ$5,0))</f>
        <v>5.7341772151898738</v>
      </c>
      <c r="AS18" s="17"/>
      <c r="AT18" s="17"/>
      <c r="AU18" s="17"/>
      <c r="AV18" s="17"/>
      <c r="AW18" s="17"/>
      <c r="AX18" s="17"/>
      <c r="AY18" s="17"/>
      <c r="AZ18" s="26"/>
    </row>
    <row r="19" spans="4:52" x14ac:dyDescent="0.25">
      <c r="N19" s="2">
        <v>2019</v>
      </c>
      <c r="O19" s="2">
        <v>20268</v>
      </c>
      <c r="P19" s="6"/>
      <c r="Q19" s="2">
        <f t="shared" ref="Q19:Q23" si="3">O19-O18</f>
        <v>2333</v>
      </c>
      <c r="R19" s="6">
        <f>SUM($P$17:Q19)</f>
        <v>20268</v>
      </c>
      <c r="S19" s="6">
        <f>SUM($P$17:Q18)</f>
        <v>17935</v>
      </c>
      <c r="T19" s="6">
        <f t="shared" ref="T19:T23" si="4">MAX(R19:S19)</f>
        <v>20268</v>
      </c>
      <c r="U19" s="6">
        <f t="shared" ref="U19:U23" si="5">Q19</f>
        <v>2333</v>
      </c>
      <c r="V19" s="23">
        <v>2018</v>
      </c>
      <c r="W19" s="17">
        <f>INDEX($W$6:$AF$12,MATCH(V19,$V$6:$V$12,0),MATCH(Liquidity_Ratio&amp;" KGHM",Ratios!$W$5:$AF$5,0))</f>
        <v>0.3149748909195686</v>
      </c>
      <c r="X19" s="17">
        <f>INDEX($W$6:$AF$12,MATCH(V19,$V$6:$V$12,0),MATCH(Liquidity_Ratio&amp;" Top40",Ratios!$W$5:$AF$5,0))</f>
        <v>0.36813186813186816</v>
      </c>
      <c r="Y19" s="17"/>
      <c r="Z19" s="17"/>
      <c r="AA19" s="17"/>
      <c r="AB19" s="17"/>
      <c r="AC19" s="17"/>
      <c r="AD19" s="17"/>
      <c r="AE19" s="17"/>
      <c r="AF19" s="26"/>
      <c r="AG19"/>
      <c r="AH19"/>
      <c r="AI19"/>
      <c r="AJ19"/>
      <c r="AK19"/>
      <c r="AL19"/>
      <c r="AM19"/>
      <c r="AN19"/>
      <c r="AO19"/>
      <c r="AP19" s="23">
        <v>2018</v>
      </c>
      <c r="AQ19" s="17">
        <f>INDEX($AQ$6:$AZ$12,MATCH(AP19,$AP$6:$AP$12,0),MATCH(Activity_Ratios&amp;" KGHM",Ratios!$AQ$5:$AZ$5,0))</f>
        <v>4.1192052980132452</v>
      </c>
      <c r="AR19" s="17">
        <f>INDEX($AQ$6:$AZ$12,MATCH(AP19,$AP$6:$AP$12,0),MATCH(Activity_Ratios&amp;" Top40",Ratios!$AQ$5:$AZ$5,0))</f>
        <v>6.3506493506493502</v>
      </c>
      <c r="AS19" s="17"/>
      <c r="AT19" s="17"/>
      <c r="AU19" s="17"/>
      <c r="AV19" s="17"/>
      <c r="AW19" s="17"/>
      <c r="AX19" s="17"/>
      <c r="AY19" s="17"/>
      <c r="AZ19" s="26"/>
    </row>
    <row r="20" spans="4:52" x14ac:dyDescent="0.25">
      <c r="D20" s="13" t="s">
        <v>133</v>
      </c>
      <c r="E20" t="s">
        <v>141</v>
      </c>
      <c r="F20" t="s">
        <v>136</v>
      </c>
      <c r="G20" t="s">
        <v>140</v>
      </c>
      <c r="H20" t="s">
        <v>137</v>
      </c>
      <c r="I20" t="s">
        <v>134</v>
      </c>
      <c r="J20" t="s">
        <v>138</v>
      </c>
      <c r="K20" t="s">
        <v>135</v>
      </c>
      <c r="L20" t="s">
        <v>139</v>
      </c>
      <c r="N20" s="2">
        <v>2020</v>
      </c>
      <c r="O20" s="2">
        <v>20471</v>
      </c>
      <c r="P20" s="6"/>
      <c r="Q20" s="2">
        <f t="shared" si="3"/>
        <v>203</v>
      </c>
      <c r="R20" s="6">
        <f>SUM($P$17:Q20)</f>
        <v>20471</v>
      </c>
      <c r="S20" s="6">
        <f>SUM($P$17:Q19)</f>
        <v>20268</v>
      </c>
      <c r="T20" s="6">
        <f t="shared" si="4"/>
        <v>20471</v>
      </c>
      <c r="U20" s="6">
        <f t="shared" si="5"/>
        <v>203</v>
      </c>
      <c r="V20" s="23">
        <v>2019</v>
      </c>
      <c r="W20" s="17">
        <f>INDEX($W$6:$AF$12,MATCH(V20,$V$6:$V$12,0),MATCH(Liquidity_Ratio&amp;" KGHM",Ratios!$W$5:$AF$5,0))</f>
        <v>0.38326626679826892</v>
      </c>
      <c r="X20" s="17">
        <f>INDEX($W$6:$AF$12,MATCH(V20,$V$6:$V$12,0),MATCH(Liquidity_Ratio&amp;" Top40",Ratios!$W$5:$AF$5,0))</f>
        <v>0.34482758620689657</v>
      </c>
      <c r="Y20" s="17"/>
      <c r="Z20" s="17"/>
      <c r="AA20" s="17"/>
      <c r="AB20" s="17"/>
      <c r="AC20" s="17"/>
      <c r="AD20" s="17"/>
      <c r="AE20" s="17"/>
      <c r="AF20" s="26"/>
      <c r="AG20"/>
      <c r="AH20"/>
      <c r="AI20"/>
      <c r="AJ20"/>
      <c r="AK20"/>
      <c r="AL20"/>
      <c r="AM20"/>
      <c r="AN20"/>
      <c r="AO20"/>
      <c r="AP20" s="23">
        <v>2019</v>
      </c>
      <c r="AQ20" s="17">
        <f>INDEX($AQ$6:$AZ$12,MATCH(AP20,$AP$6:$AP$12,0),MATCH(Activity_Ratios&amp;" KGHM",Ratios!$AQ$5:$AZ$5,0))</f>
        <v>4.7928707023834631</v>
      </c>
      <c r="AR20" s="17">
        <f>INDEX($AQ$6:$AZ$12,MATCH(AP20,$AP$6:$AP$12,0),MATCH(Activity_Ratios&amp;" Top40",Ratios!$AQ$5:$AZ$5,0))</f>
        <v>6.3253012048192767</v>
      </c>
      <c r="AS20" s="17"/>
      <c r="AT20" s="17"/>
      <c r="AU20" s="17"/>
      <c r="AV20" s="17"/>
      <c r="AW20" s="17"/>
      <c r="AX20" s="17"/>
      <c r="AY20" s="17"/>
      <c r="AZ20" s="26"/>
    </row>
    <row r="21" spans="4:52" x14ac:dyDescent="0.25">
      <c r="D21" s="14" t="s">
        <v>9</v>
      </c>
      <c r="E21" s="15">
        <v>0.18698224852071005</v>
      </c>
      <c r="F21" s="15">
        <v>-0.10770156438026474</v>
      </c>
      <c r="G21" s="15">
        <v>0.13493253373313344</v>
      </c>
      <c r="H21" s="15">
        <v>1.6732901066722441E-2</v>
      </c>
      <c r="I21" s="15">
        <v>6.9875776397515521E-2</v>
      </c>
      <c r="J21" s="15">
        <v>-7.1833096549442421E-2</v>
      </c>
      <c r="K21" s="15">
        <v>0.13595166163141995</v>
      </c>
      <c r="L21" s="15">
        <v>-0.12892071253929444</v>
      </c>
      <c r="N21" s="2">
        <v>2021</v>
      </c>
      <c r="O21" s="2">
        <v>25093</v>
      </c>
      <c r="P21" s="6"/>
      <c r="Q21" s="2">
        <f t="shared" si="3"/>
        <v>4622</v>
      </c>
      <c r="R21" s="6">
        <f>SUM($P$17:Q21)</f>
        <v>25093</v>
      </c>
      <c r="S21" s="6">
        <f>SUM($P$17:Q20)</f>
        <v>20471</v>
      </c>
      <c r="T21" s="6">
        <f t="shared" si="4"/>
        <v>25093</v>
      </c>
      <c r="U21" s="6">
        <f t="shared" si="5"/>
        <v>4622</v>
      </c>
      <c r="V21" s="23">
        <v>2020</v>
      </c>
      <c r="W21" s="17">
        <f>INDEX($W$6:$AF$12,MATCH(V21,$V$6:$V$12,0),MATCH(Liquidity_Ratio&amp;" KGHM",Ratios!$W$5:$AF$5,0))</f>
        <v>0.41009280742459397</v>
      </c>
      <c r="X21" s="17">
        <f>INDEX($W$6:$AF$12,MATCH(V21,$V$6:$V$12,0),MATCH(Liquidity_Ratio&amp;" Top40",Ratios!$W$5:$AF$5,0))</f>
        <v>0.35858585858585856</v>
      </c>
      <c r="Y21" s="17"/>
      <c r="Z21" s="17"/>
      <c r="AA21" s="17"/>
      <c r="AB21" s="17"/>
      <c r="AC21" s="17"/>
      <c r="AD21" s="17"/>
      <c r="AE21" s="17"/>
      <c r="AF21" s="26"/>
      <c r="AG21"/>
      <c r="AH21"/>
      <c r="AI21"/>
      <c r="AJ21"/>
      <c r="AK21"/>
      <c r="AL21"/>
      <c r="AM21"/>
      <c r="AN21"/>
      <c r="AO21"/>
      <c r="AP21" s="23">
        <v>2020</v>
      </c>
      <c r="AQ21" s="17">
        <f>INDEX($AQ$6:$AZ$12,MATCH(AP21,$AP$6:$AP$12,0),MATCH(Activity_Ratios&amp;" KGHM",Ratios!$AQ$5:$AZ$5,0))</f>
        <v>5.2998430141287285</v>
      </c>
      <c r="AR21" s="17">
        <f>INDEX($AQ$6:$AZ$12,MATCH(AP21,$AP$6:$AP$12,0),MATCH(Activity_Ratios&amp;" Top40",Ratios!$AQ$5:$AZ$5,0))</f>
        <v>6.264367816091954</v>
      </c>
      <c r="AS21" s="17"/>
      <c r="AT21" s="17"/>
      <c r="AU21" s="17"/>
      <c r="AV21" s="17"/>
      <c r="AW21" s="17"/>
      <c r="AX21" s="17"/>
      <c r="AY21" s="17"/>
      <c r="AZ21" s="26"/>
    </row>
    <row r="22" spans="4:52" x14ac:dyDescent="0.25">
      <c r="D22"/>
      <c r="E22"/>
      <c r="F22"/>
      <c r="G22"/>
      <c r="H22"/>
      <c r="I22"/>
      <c r="J22"/>
      <c r="K22"/>
      <c r="L22"/>
      <c r="N22" s="2">
        <v>2022</v>
      </c>
      <c r="O22" s="2">
        <v>29503</v>
      </c>
      <c r="P22" s="6"/>
      <c r="Q22" s="2">
        <f t="shared" si="3"/>
        <v>4410</v>
      </c>
      <c r="R22" s="6">
        <f>SUM($P$17:Q22)</f>
        <v>29503</v>
      </c>
      <c r="S22" s="6">
        <f>SUM($P$17:Q21)</f>
        <v>25093</v>
      </c>
      <c r="T22" s="6">
        <f t="shared" si="4"/>
        <v>29503</v>
      </c>
      <c r="U22" s="6">
        <f t="shared" si="5"/>
        <v>4410</v>
      </c>
      <c r="V22" s="23">
        <v>2021</v>
      </c>
      <c r="W22" s="17">
        <f>INDEX($W$6:$AF$12,MATCH(V22,$V$6:$V$12,0),MATCH(Liquidity_Ratio&amp;" KGHM",Ratios!$W$5:$AF$5,0))</f>
        <v>0.37582591842128449</v>
      </c>
      <c r="X22" s="17">
        <f>INDEX($W$6:$AF$12,MATCH(V22,$V$6:$V$12,0),MATCH(Liquidity_Ratio&amp;" Top40",Ratios!$W$5:$AF$5,0))</f>
        <v>0.58290155440414504</v>
      </c>
      <c r="Y22" s="17"/>
      <c r="Z22" s="17"/>
      <c r="AA22" s="17"/>
      <c r="AB22" s="17"/>
      <c r="AC22" s="17"/>
      <c r="AD22" s="17"/>
      <c r="AE22" s="17"/>
      <c r="AF22" s="26"/>
      <c r="AG22"/>
      <c r="AH22"/>
      <c r="AI22"/>
      <c r="AJ22"/>
      <c r="AK22"/>
      <c r="AL22"/>
      <c r="AM22"/>
      <c r="AN22"/>
      <c r="AO22"/>
      <c r="AP22" s="23">
        <v>2021</v>
      </c>
      <c r="AQ22" s="17">
        <f>INDEX($AQ$6:$AZ$12,MATCH(AP22,$AP$6:$AP$12,0),MATCH(Activity_Ratios&amp;" KGHM",Ratios!$AQ$5:$AZ$5,0))</f>
        <v>4.7030140445005522</v>
      </c>
      <c r="AR22" s="17">
        <f>INDEX($AQ$6:$AZ$12,MATCH(AP22,$AP$6:$AP$12,0),MATCH(Activity_Ratios&amp;" Top40",Ratios!$AQ$5:$AZ$5,0))</f>
        <v>7.3367346938775508</v>
      </c>
      <c r="AS22" s="17"/>
      <c r="AT22" s="17"/>
      <c r="AU22" s="17"/>
      <c r="AV22" s="17"/>
      <c r="AW22" s="17"/>
      <c r="AX22" s="17"/>
      <c r="AY22" s="17"/>
      <c r="AZ22" s="26"/>
    </row>
    <row r="23" spans="4:52" x14ac:dyDescent="0.25">
      <c r="D23"/>
      <c r="E23"/>
      <c r="F23"/>
      <c r="G23"/>
      <c r="H23"/>
      <c r="I23"/>
      <c r="J23"/>
      <c r="K23"/>
      <c r="L23"/>
      <c r="N23" s="2">
        <v>2023</v>
      </c>
      <c r="O23" s="2">
        <v>35107</v>
      </c>
      <c r="P23" s="6"/>
      <c r="Q23" s="2">
        <f t="shared" si="3"/>
        <v>5604</v>
      </c>
      <c r="R23" s="6">
        <f>SUM($P$17:Q23)</f>
        <v>35107</v>
      </c>
      <c r="S23" s="6">
        <f>SUM($P$17:Q22)</f>
        <v>29503</v>
      </c>
      <c r="T23" s="6">
        <f t="shared" si="4"/>
        <v>35107</v>
      </c>
      <c r="U23" s="6">
        <f t="shared" si="5"/>
        <v>5604</v>
      </c>
      <c r="V23" s="23">
        <v>2022</v>
      </c>
      <c r="W23" s="17">
        <f>INDEX($W$6:$AF$12,MATCH(V23,$V$6:$V$12,0),MATCH(Liquidity_Ratio&amp;" KGHM",Ratios!$W$5:$AF$5,0))</f>
        <v>0.2034178155700487</v>
      </c>
      <c r="X23" s="17">
        <f>INDEX($W$6:$AF$12,MATCH(V23,$V$6:$V$12,0),MATCH(Liquidity_Ratio&amp;" Top40",Ratios!$W$5:$AF$5,0))</f>
        <v>0.47619047619047616</v>
      </c>
      <c r="Y23" s="17"/>
      <c r="Z23" s="17"/>
      <c r="AA23" s="17"/>
      <c r="AB23" s="17"/>
      <c r="AC23" s="17"/>
      <c r="AD23" s="17"/>
      <c r="AE23" s="17"/>
      <c r="AF23" s="26"/>
      <c r="AG23"/>
      <c r="AH23"/>
      <c r="AI23"/>
      <c r="AJ23"/>
      <c r="AK23"/>
      <c r="AL23"/>
      <c r="AM23"/>
      <c r="AN23"/>
      <c r="AO23"/>
      <c r="AP23" s="23">
        <v>2022</v>
      </c>
      <c r="AQ23" s="17">
        <f>INDEX($AQ$6:$AZ$12,MATCH(AP23,$AP$6:$AP$12,0),MATCH(Activity_Ratios&amp;" KGHM",Ratios!$AQ$5:$AZ$5,0))</f>
        <v>3.8021792855538084</v>
      </c>
      <c r="AR23" s="17">
        <f>INDEX($AQ$6:$AZ$12,MATCH(AP23,$AP$6:$AP$12,0),MATCH(Activity_Ratios&amp;" Top40",Ratios!$AQ$5:$AZ$5,0))</f>
        <v>7.2551020408163263</v>
      </c>
      <c r="AS23" s="17"/>
      <c r="AT23" s="17"/>
      <c r="AU23" s="17"/>
      <c r="AV23" s="17"/>
      <c r="AW23" s="17"/>
      <c r="AX23" s="17"/>
      <c r="AY23" s="17"/>
      <c r="AZ23" s="26"/>
    </row>
    <row r="24" spans="4:52" x14ac:dyDescent="0.25">
      <c r="D24"/>
      <c r="E24"/>
      <c r="F24"/>
      <c r="G24"/>
      <c r="H24"/>
      <c r="I24"/>
      <c r="J24"/>
      <c r="K24"/>
      <c r="L24"/>
      <c r="N24" s="60">
        <v>2023</v>
      </c>
      <c r="O24" s="3"/>
      <c r="P24" s="7">
        <f>O23</f>
        <v>35107</v>
      </c>
      <c r="Q24" s="3"/>
      <c r="R24" s="3"/>
      <c r="S24" s="3"/>
      <c r="T24" s="7">
        <f>P24</f>
        <v>35107</v>
      </c>
      <c r="U24" s="7">
        <f>P24</f>
        <v>35107</v>
      </c>
      <c r="V24" s="23">
        <v>2023</v>
      </c>
      <c r="W24" s="17">
        <f>INDEX($W$6:$AF$12,MATCH(V24,$V$6:$V$12,0),MATCH(Liquidity_Ratio&amp;" KGHM",Ratios!$W$5:$AF$5,0))</f>
        <v>0.54337284482758619</v>
      </c>
      <c r="X24" s="17">
        <f>INDEX($W$6:$AF$12,MATCH(V24,$V$6:$V$12,0),MATCH(Liquidity_Ratio&amp;" Top40",Ratios!$W$5:$AF$5,0))</f>
        <v>0.3350253807106599</v>
      </c>
      <c r="Y24" s="17"/>
      <c r="Z24" s="17"/>
      <c r="AA24" s="17"/>
      <c r="AB24" s="17"/>
      <c r="AC24" s="17"/>
      <c r="AD24" s="17"/>
      <c r="AE24" s="17"/>
      <c r="AF24" s="26"/>
      <c r="AG24"/>
      <c r="AH24"/>
      <c r="AI24"/>
      <c r="AJ24"/>
      <c r="AK24"/>
      <c r="AL24"/>
      <c r="AM24"/>
      <c r="AN24"/>
      <c r="AO24"/>
      <c r="AP24" s="23">
        <v>2023</v>
      </c>
      <c r="AQ24" s="17">
        <f>INDEX($AQ$6:$AZ$12,MATCH(AP24,$AP$6:$AP$12,0),MATCH(Activity_Ratios&amp;" KGHM",Ratios!$AQ$5:$AZ$5,0))</f>
        <v>3.9723442136498517</v>
      </c>
      <c r="AR24" s="17">
        <f>INDEX($AQ$6:$AZ$12,MATCH(AP24,$AP$6:$AP$12,0),MATCH(Activity_Ratios&amp;" Top40",Ratios!$AQ$5:$AZ$5,0))</f>
        <v>6.4134615384615383</v>
      </c>
      <c r="AS24" s="17"/>
      <c r="AT24" s="17"/>
      <c r="AU24" s="17"/>
      <c r="AV24" s="17"/>
      <c r="AW24" s="17"/>
      <c r="AX24" s="17"/>
      <c r="AY24" s="17"/>
      <c r="AZ24" s="26"/>
    </row>
    <row r="25" spans="4:52" x14ac:dyDescent="0.25">
      <c r="D25"/>
      <c r="E25"/>
      <c r="F25"/>
      <c r="G25"/>
      <c r="H25"/>
      <c r="I25"/>
      <c r="J25"/>
      <c r="K25"/>
      <c r="L25"/>
      <c r="N25" s="6">
        <v>2024</v>
      </c>
      <c r="O25" s="6">
        <f>Forecast!S28</f>
        <v>35509.28571428571</v>
      </c>
      <c r="P25" s="6"/>
      <c r="Q25" s="6">
        <f>O25-O23</f>
        <v>402.28571428571013</v>
      </c>
      <c r="R25" s="6">
        <f>SUM(P17:Q23)+Q25</f>
        <v>35509.28571428571</v>
      </c>
      <c r="S25" s="6">
        <f>SUM($P$17:Q23)</f>
        <v>35107</v>
      </c>
      <c r="T25" s="6">
        <f>O25</f>
        <v>35509.28571428571</v>
      </c>
      <c r="U25" s="6">
        <f>Q25</f>
        <v>402.28571428571013</v>
      </c>
    </row>
    <row r="26" spans="4:52" x14ac:dyDescent="0.25">
      <c r="D26"/>
      <c r="E26"/>
      <c r="F26"/>
      <c r="G26"/>
      <c r="H26"/>
      <c r="I26"/>
      <c r="J26"/>
      <c r="K26"/>
      <c r="L26"/>
      <c r="N26" s="48">
        <v>2025</v>
      </c>
      <c r="O26" s="6">
        <f>Forecast!S29</f>
        <v>38496.46428571429</v>
      </c>
      <c r="Q26" s="6">
        <f>O26-O25</f>
        <v>2987.1785714285797</v>
      </c>
      <c r="R26" s="6">
        <f>SUM(P17:Q23)+Q25+Q26</f>
        <v>38496.46428571429</v>
      </c>
      <c r="S26" s="6">
        <f>SUM(P17:Q23)+Q25</f>
        <v>35509.28571428571</v>
      </c>
      <c r="T26" s="6">
        <f>O26</f>
        <v>38496.46428571429</v>
      </c>
      <c r="U26" s="6">
        <f>Q26</f>
        <v>2987.1785714285797</v>
      </c>
      <c r="AB26" s="2" t="s">
        <v>142</v>
      </c>
      <c r="AV26" s="2" t="s">
        <v>213</v>
      </c>
    </row>
    <row r="27" spans="4:52" x14ac:dyDescent="0.25">
      <c r="D27"/>
      <c r="E27"/>
      <c r="F27"/>
      <c r="G27"/>
      <c r="H27"/>
      <c r="I27"/>
      <c r="J27"/>
      <c r="K27"/>
      <c r="L27"/>
      <c r="N27" s="48">
        <v>2025</v>
      </c>
      <c r="O27" s="6">
        <f>Forecast!S29</f>
        <v>38496.46428571429</v>
      </c>
      <c r="P27" s="6">
        <f>O27</f>
        <v>38496.46428571429</v>
      </c>
      <c r="T27" s="6">
        <f>O27</f>
        <v>38496.46428571429</v>
      </c>
      <c r="U27" s="6">
        <f>T27</f>
        <v>38496.46428571429</v>
      </c>
      <c r="AB27" s="2" t="s">
        <v>143</v>
      </c>
      <c r="AV27" s="2" t="s">
        <v>214</v>
      </c>
    </row>
    <row r="28" spans="4:52" x14ac:dyDescent="0.25">
      <c r="AB28" s="2" t="s">
        <v>144</v>
      </c>
      <c r="AV28" s="2" t="s">
        <v>219</v>
      </c>
    </row>
    <row r="29" spans="4:52" x14ac:dyDescent="0.25">
      <c r="AB29" s="2" t="s">
        <v>156</v>
      </c>
      <c r="AV29" s="2" t="s">
        <v>222</v>
      </c>
    </row>
    <row r="30" spans="4:52" x14ac:dyDescent="0.25">
      <c r="AB30" s="2" t="s">
        <v>145</v>
      </c>
      <c r="AV30" s="2" t="s">
        <v>224</v>
      </c>
    </row>
    <row r="36" spans="22:42" x14ac:dyDescent="0.25">
      <c r="V36" s="17"/>
      <c r="W36" s="17"/>
      <c r="X36" s="17"/>
      <c r="AH36"/>
      <c r="AI36"/>
      <c r="AJ36"/>
      <c r="AK36"/>
      <c r="AL36"/>
      <c r="AM36"/>
      <c r="AN36"/>
      <c r="AO36"/>
      <c r="AP36"/>
    </row>
    <row r="37" spans="22:42" x14ac:dyDescent="0.25">
      <c r="V37" s="17"/>
      <c r="W37" s="17"/>
      <c r="X37" s="17"/>
    </row>
    <row r="38" spans="22:42" x14ac:dyDescent="0.25">
      <c r="V38" s="17"/>
      <c r="W38" s="17"/>
      <c r="X38" s="17"/>
    </row>
    <row r="39" spans="22:42" x14ac:dyDescent="0.25">
      <c r="V39" s="17"/>
      <c r="W39" s="17"/>
      <c r="X39" s="17"/>
    </row>
    <row r="40" spans="22:42" x14ac:dyDescent="0.25">
      <c r="V40" s="17"/>
      <c r="W40" s="17"/>
      <c r="X40" s="17"/>
    </row>
    <row r="41" spans="22:42" x14ac:dyDescent="0.25">
      <c r="V41" s="17"/>
      <c r="W41" s="17"/>
      <c r="X41" s="17"/>
    </row>
    <row r="42" spans="22:42" x14ac:dyDescent="0.25">
      <c r="V42" s="17"/>
      <c r="W42" s="17"/>
      <c r="X42" s="17"/>
    </row>
    <row r="43" spans="22:42" x14ac:dyDescent="0.25">
      <c r="V43" s="17"/>
    </row>
    <row r="44" spans="22:42" x14ac:dyDescent="0.25">
      <c r="V44" s="17"/>
    </row>
  </sheetData>
  <mergeCells count="14">
    <mergeCell ref="AP3:AU3"/>
    <mergeCell ref="AP4:AU4"/>
    <mergeCell ref="AV3:AZ3"/>
    <mergeCell ref="AP2:AZ2"/>
    <mergeCell ref="D3:K3"/>
    <mergeCell ref="M2:U2"/>
    <mergeCell ref="M3:Q3"/>
    <mergeCell ref="AG3:AK3"/>
    <mergeCell ref="AL3:AO3"/>
    <mergeCell ref="AG2:AO2"/>
    <mergeCell ref="AB3:AF3"/>
    <mergeCell ref="W2:AE2"/>
    <mergeCell ref="W3:AA3"/>
    <mergeCell ref="R3:U3"/>
  </mergeCell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1CBBC-525C-42E2-A768-3BC40B35F840}">
  <sheetPr>
    <tabColor theme="2" tint="-0.499984740745262"/>
  </sheetPr>
  <dimension ref="A1:U37"/>
  <sheetViews>
    <sheetView workbookViewId="0">
      <selection activeCell="N37" sqref="N37"/>
    </sheetView>
  </sheetViews>
  <sheetFormatPr defaultRowHeight="15" x14ac:dyDescent="0.25"/>
  <cols>
    <col min="1" max="1" width="25.85546875" bestFit="1" customWidth="1"/>
    <col min="2" max="2" width="14.140625" bestFit="1" customWidth="1"/>
    <col min="5" max="5" width="20" customWidth="1"/>
    <col min="7" max="7" width="12" bestFit="1" customWidth="1"/>
    <col min="8" max="8" width="12.140625" bestFit="1" customWidth="1"/>
    <col min="11" max="11" width="12" bestFit="1" customWidth="1"/>
    <col min="19" max="19" width="16" bestFit="1" customWidth="1"/>
  </cols>
  <sheetData>
    <row r="1" spans="1:21" x14ac:dyDescent="0.25">
      <c r="A1" t="s">
        <v>159</v>
      </c>
      <c r="N1" s="75" t="s">
        <v>100</v>
      </c>
      <c r="O1" s="76"/>
    </row>
    <row r="2" spans="1:21" ht="18.75" thickBot="1" x14ac:dyDescent="0.4">
      <c r="J2" s="31" t="s">
        <v>183</v>
      </c>
      <c r="K2">
        <f>B17</f>
        <v>15901.000000000002</v>
      </c>
      <c r="N2" s="36" t="s">
        <v>0</v>
      </c>
      <c r="O2" s="37" t="s">
        <v>158</v>
      </c>
      <c r="Q2" s="39" t="s">
        <v>187</v>
      </c>
      <c r="R2" s="39" t="s">
        <v>188</v>
      </c>
      <c r="S2" s="39" t="s">
        <v>189</v>
      </c>
      <c r="T2" s="47" t="s">
        <v>190</v>
      </c>
    </row>
    <row r="3" spans="1:21" ht="18" x14ac:dyDescent="0.35">
      <c r="A3" s="30" t="s">
        <v>160</v>
      </c>
      <c r="B3" s="30"/>
      <c r="J3" s="31" t="s">
        <v>184</v>
      </c>
      <c r="K3">
        <f>B18</f>
        <v>2608.8928571428564</v>
      </c>
      <c r="N3" s="34">
        <v>2017</v>
      </c>
      <c r="O3" s="35">
        <v>20358</v>
      </c>
      <c r="Q3">
        <f>N3</f>
        <v>2017</v>
      </c>
      <c r="R3">
        <v>1</v>
      </c>
      <c r="S3" s="41">
        <f>O3</f>
        <v>20358</v>
      </c>
      <c r="T3" s="40">
        <f>$K$2+$K$3*R3</f>
        <v>18509.892857142859</v>
      </c>
    </row>
    <row r="4" spans="1:21" x14ac:dyDescent="0.25">
      <c r="A4" t="s">
        <v>161</v>
      </c>
      <c r="B4">
        <v>0.9545797205344364</v>
      </c>
      <c r="N4" s="34">
        <v>2018</v>
      </c>
      <c r="O4" s="35">
        <v>20526</v>
      </c>
      <c r="Q4">
        <f t="shared" ref="Q4:Q9" si="0">N4</f>
        <v>2018</v>
      </c>
      <c r="R4">
        <v>2</v>
      </c>
      <c r="S4" s="41">
        <f t="shared" ref="S4:S9" si="1">O4</f>
        <v>20526</v>
      </c>
      <c r="T4" s="40">
        <f t="shared" ref="T4:T9" si="2">$K$2+$K$3*R4</f>
        <v>21118.785714285714</v>
      </c>
    </row>
    <row r="5" spans="1:21" ht="17.25" x14ac:dyDescent="0.25">
      <c r="A5" t="s">
        <v>162</v>
      </c>
      <c r="B5" s="49">
        <v>0.91122244285560261</v>
      </c>
      <c r="J5" s="32" t="s">
        <v>185</v>
      </c>
      <c r="K5">
        <f>B5</f>
        <v>0.91122244285560261</v>
      </c>
      <c r="N5" s="34">
        <v>2019</v>
      </c>
      <c r="O5" s="35">
        <v>22723</v>
      </c>
      <c r="Q5">
        <f t="shared" si="0"/>
        <v>2019</v>
      </c>
      <c r="R5">
        <v>3</v>
      </c>
      <c r="S5" s="41">
        <f t="shared" si="1"/>
        <v>22723</v>
      </c>
      <c r="T5" s="40">
        <f t="shared" si="2"/>
        <v>23727.678571428572</v>
      </c>
    </row>
    <row r="6" spans="1:21" x14ac:dyDescent="0.25">
      <c r="A6" t="s">
        <v>163</v>
      </c>
      <c r="B6">
        <v>0.89346693142672318</v>
      </c>
      <c r="N6" s="34">
        <v>2020</v>
      </c>
      <c r="O6" s="35">
        <v>23632</v>
      </c>
      <c r="Q6">
        <f t="shared" si="0"/>
        <v>2020</v>
      </c>
      <c r="R6">
        <v>4</v>
      </c>
      <c r="S6" s="41">
        <f t="shared" si="1"/>
        <v>23632</v>
      </c>
      <c r="T6" s="40">
        <f t="shared" si="2"/>
        <v>26336.571428571428</v>
      </c>
    </row>
    <row r="7" spans="1:21" ht="18" x14ac:dyDescent="0.25">
      <c r="A7" t="s">
        <v>164</v>
      </c>
      <c r="B7">
        <v>1927.0352042895913</v>
      </c>
      <c r="J7" s="33" t="s">
        <v>186</v>
      </c>
      <c r="K7">
        <f>B7</f>
        <v>1927.0352042895913</v>
      </c>
      <c r="N7" s="34">
        <v>2021</v>
      </c>
      <c r="O7" s="35">
        <v>29803</v>
      </c>
      <c r="Q7">
        <f t="shared" si="0"/>
        <v>2021</v>
      </c>
      <c r="R7">
        <v>5</v>
      </c>
      <c r="S7" s="41">
        <f t="shared" si="1"/>
        <v>29803</v>
      </c>
      <c r="T7" s="40">
        <f t="shared" si="2"/>
        <v>28945.464285714283</v>
      </c>
    </row>
    <row r="8" spans="1:21" ht="15.75" thickBot="1" x14ac:dyDescent="0.3">
      <c r="A8" s="28" t="s">
        <v>165</v>
      </c>
      <c r="B8" s="28">
        <v>7</v>
      </c>
      <c r="N8" s="34">
        <v>2022</v>
      </c>
      <c r="O8" s="35">
        <v>33847</v>
      </c>
      <c r="Q8">
        <f t="shared" si="0"/>
        <v>2022</v>
      </c>
      <c r="R8">
        <v>6</v>
      </c>
      <c r="S8" s="41">
        <f t="shared" si="1"/>
        <v>33847</v>
      </c>
      <c r="T8" s="40">
        <f t="shared" si="2"/>
        <v>31554.357142857138</v>
      </c>
    </row>
    <row r="9" spans="1:21" x14ac:dyDescent="0.25">
      <c r="N9" s="36">
        <v>2023</v>
      </c>
      <c r="O9" s="37">
        <v>33467</v>
      </c>
      <c r="Q9" s="39">
        <f t="shared" si="0"/>
        <v>2023</v>
      </c>
      <c r="R9" s="39">
        <v>7</v>
      </c>
      <c r="S9" s="42">
        <f t="shared" si="1"/>
        <v>33467</v>
      </c>
      <c r="T9" s="44">
        <f t="shared" si="2"/>
        <v>34163.25</v>
      </c>
    </row>
    <row r="10" spans="1:21" ht="15.75" thickBot="1" x14ac:dyDescent="0.3">
      <c r="A10" t="s">
        <v>166</v>
      </c>
      <c r="Q10" s="31"/>
      <c r="T10" s="31"/>
    </row>
    <row r="11" spans="1:21" x14ac:dyDescent="0.25">
      <c r="A11" s="29"/>
      <c r="B11" s="29" t="s">
        <v>171</v>
      </c>
      <c r="C11" s="29" t="s">
        <v>172</v>
      </c>
      <c r="D11" s="29" t="s">
        <v>173</v>
      </c>
      <c r="E11" s="29" t="s">
        <v>174</v>
      </c>
      <c r="F11" s="29" t="s">
        <v>175</v>
      </c>
      <c r="Q11" s="38"/>
      <c r="T11" s="31"/>
      <c r="U11" s="43"/>
    </row>
    <row r="12" spans="1:21" x14ac:dyDescent="0.25">
      <c r="A12" t="s">
        <v>167</v>
      </c>
      <c r="B12">
        <v>1</v>
      </c>
      <c r="C12">
        <v>190577014.32142857</v>
      </c>
      <c r="D12">
        <v>190577014.32142857</v>
      </c>
      <c r="E12">
        <v>51.320540470239159</v>
      </c>
      <c r="F12">
        <v>8.2400197108211835E-4</v>
      </c>
    </row>
    <row r="13" spans="1:21" ht="18.75" x14ac:dyDescent="0.25">
      <c r="A13" t="s">
        <v>168</v>
      </c>
      <c r="B13">
        <v>5</v>
      </c>
      <c r="C13">
        <v>18567323.392857134</v>
      </c>
      <c r="D13">
        <v>3713464.6785714268</v>
      </c>
      <c r="Q13" s="39" t="s">
        <v>187</v>
      </c>
      <c r="R13" s="39" t="s">
        <v>188</v>
      </c>
      <c r="S13" s="45" t="s">
        <v>192</v>
      </c>
      <c r="T13" s="46" t="s">
        <v>193</v>
      </c>
      <c r="U13" s="39" t="s">
        <v>194</v>
      </c>
    </row>
    <row r="14" spans="1:21" ht="15.75" thickBot="1" x14ac:dyDescent="0.3">
      <c r="A14" s="28" t="s">
        <v>169</v>
      </c>
      <c r="B14" s="28">
        <v>6</v>
      </c>
      <c r="C14" s="28">
        <v>209144337.7142857</v>
      </c>
      <c r="D14" s="28"/>
      <c r="E14" s="28"/>
      <c r="F14" s="28"/>
      <c r="Q14">
        <v>2024</v>
      </c>
      <c r="R14">
        <f>R9+1</f>
        <v>8</v>
      </c>
      <c r="S14" s="41">
        <f>$K$2+$K$3*R14</f>
        <v>36772.142857142855</v>
      </c>
      <c r="T14" s="41">
        <f>FORECAST(R14,S3:S9,R3:R9)</f>
        <v>36772.142857142855</v>
      </c>
      <c r="U14" t="b">
        <f>S14=T14</f>
        <v>1</v>
      </c>
    </row>
    <row r="15" spans="1:21" ht="15.75" thickBot="1" x14ac:dyDescent="0.3">
      <c r="Q15" s="39">
        <v>2025</v>
      </c>
      <c r="R15" s="39">
        <f>R14+1</f>
        <v>9</v>
      </c>
      <c r="S15" s="42">
        <f>$K$2+$K$3*R15</f>
        <v>39381.03571428571</v>
      </c>
      <c r="T15" s="42">
        <f>FORECAST(R15,S3:S9,R3:R9)</f>
        <v>39381.035714285717</v>
      </c>
      <c r="U15" s="39" t="b">
        <f>S15=T15</f>
        <v>1</v>
      </c>
    </row>
    <row r="16" spans="1:21" x14ac:dyDescent="0.25">
      <c r="A16" s="29"/>
      <c r="B16" s="29" t="s">
        <v>176</v>
      </c>
      <c r="C16" s="29" t="s">
        <v>164</v>
      </c>
      <c r="D16" s="29" t="s">
        <v>177</v>
      </c>
      <c r="E16" s="29" t="s">
        <v>178</v>
      </c>
      <c r="F16" s="29" t="s">
        <v>179</v>
      </c>
      <c r="G16" s="29" t="s">
        <v>180</v>
      </c>
      <c r="H16" s="29" t="s">
        <v>181</v>
      </c>
      <c r="I16" s="29" t="s">
        <v>182</v>
      </c>
    </row>
    <row r="17" spans="1:21" x14ac:dyDescent="0.25">
      <c r="A17" t="s">
        <v>170</v>
      </c>
      <c r="B17">
        <v>15901.000000000002</v>
      </c>
      <c r="C17">
        <v>1628.6420019169839</v>
      </c>
      <c r="D17">
        <v>9.7633488398824415</v>
      </c>
      <c r="E17" s="49">
        <v>1.9173157340396317E-4</v>
      </c>
      <c r="F17">
        <v>11714.442453117837</v>
      </c>
      <c r="G17">
        <v>20087.557546882166</v>
      </c>
      <c r="H17">
        <v>11714.442453117837</v>
      </c>
      <c r="I17">
        <v>20087.557546882166</v>
      </c>
      <c r="N17" s="75" t="s">
        <v>195</v>
      </c>
      <c r="O17" s="76"/>
    </row>
    <row r="18" spans="1:21" ht="15.75" thickBot="1" x14ac:dyDescent="0.3">
      <c r="A18" s="28" t="s">
        <v>191</v>
      </c>
      <c r="B18" s="28">
        <v>2608.8928571428564</v>
      </c>
      <c r="C18" s="28">
        <v>364.17542272977192</v>
      </c>
      <c r="D18" s="28">
        <v>7.1638355976557095</v>
      </c>
      <c r="E18" s="50">
        <v>8.24001971082119E-4</v>
      </c>
      <c r="F18" s="28">
        <v>1672.7501304885282</v>
      </c>
      <c r="G18" s="28">
        <v>3545.0355837971847</v>
      </c>
      <c r="H18" s="28">
        <v>1672.7501304885282</v>
      </c>
      <c r="I18" s="28">
        <v>3545.0355837971847</v>
      </c>
      <c r="N18" s="36" t="s">
        <v>0</v>
      </c>
      <c r="O18" s="37" t="s">
        <v>196</v>
      </c>
      <c r="Q18" s="39" t="s">
        <v>187</v>
      </c>
      <c r="R18" s="39" t="s">
        <v>188</v>
      </c>
      <c r="S18" s="39" t="s">
        <v>196</v>
      </c>
      <c r="T18" s="47" t="s">
        <v>190</v>
      </c>
    </row>
    <row r="19" spans="1:21" x14ac:dyDescent="0.25">
      <c r="N19" s="34">
        <v>2017</v>
      </c>
      <c r="O19" s="35">
        <v>16547</v>
      </c>
      <c r="Q19">
        <f>N19</f>
        <v>2017</v>
      </c>
      <c r="R19">
        <v>1</v>
      </c>
      <c r="S19" s="41">
        <f>O19</f>
        <v>16547</v>
      </c>
    </row>
    <row r="20" spans="1:21" x14ac:dyDescent="0.25">
      <c r="A20" t="s">
        <v>159</v>
      </c>
      <c r="N20" s="34">
        <v>2018</v>
      </c>
      <c r="O20" s="35">
        <v>17935</v>
      </c>
      <c r="Q20">
        <f t="shared" ref="Q20:Q25" si="3">N20</f>
        <v>2018</v>
      </c>
      <c r="R20">
        <v>2</v>
      </c>
      <c r="S20" s="41">
        <f t="shared" ref="S20:S25" si="4">O20</f>
        <v>17935</v>
      </c>
    </row>
    <row r="21" spans="1:21" ht="18.75" thickBot="1" x14ac:dyDescent="0.4">
      <c r="J21" s="31" t="s">
        <v>183</v>
      </c>
      <c r="K21">
        <f>B36</f>
        <v>11611.857142857141</v>
      </c>
      <c r="N21" s="34">
        <v>2019</v>
      </c>
      <c r="O21" s="35">
        <v>20268</v>
      </c>
      <c r="Q21">
        <f t="shared" si="3"/>
        <v>2019</v>
      </c>
      <c r="R21">
        <v>3</v>
      </c>
      <c r="S21" s="41">
        <f t="shared" si="4"/>
        <v>20268</v>
      </c>
    </row>
    <row r="22" spans="1:21" ht="18" x14ac:dyDescent="0.35">
      <c r="A22" s="30" t="s">
        <v>160</v>
      </c>
      <c r="B22" s="30"/>
      <c r="J22" s="31" t="s">
        <v>184</v>
      </c>
      <c r="K22">
        <f>B37</f>
        <v>2987.1785714285716</v>
      </c>
      <c r="N22" s="34">
        <v>2020</v>
      </c>
      <c r="O22" s="35">
        <v>20471</v>
      </c>
      <c r="Q22">
        <f t="shared" si="3"/>
        <v>2020</v>
      </c>
      <c r="R22">
        <v>4</v>
      </c>
      <c r="S22" s="41">
        <f t="shared" si="4"/>
        <v>20471</v>
      </c>
    </row>
    <row r="23" spans="1:21" x14ac:dyDescent="0.25">
      <c r="A23" t="s">
        <v>161</v>
      </c>
      <c r="B23">
        <v>0.95805961037111165</v>
      </c>
      <c r="N23" s="34">
        <v>2021</v>
      </c>
      <c r="O23" s="35">
        <v>25093</v>
      </c>
      <c r="Q23">
        <f t="shared" si="3"/>
        <v>2021</v>
      </c>
      <c r="R23">
        <v>5</v>
      </c>
      <c r="S23" s="41">
        <f t="shared" si="4"/>
        <v>25093</v>
      </c>
    </row>
    <row r="24" spans="1:21" ht="17.25" x14ac:dyDescent="0.25">
      <c r="A24" t="s">
        <v>162</v>
      </c>
      <c r="B24" s="49">
        <v>0.91787821702444616</v>
      </c>
      <c r="J24" s="32" t="s">
        <v>185</v>
      </c>
      <c r="K24">
        <f>B24</f>
        <v>0.91787821702444616</v>
      </c>
      <c r="N24" s="34">
        <v>2022</v>
      </c>
      <c r="O24" s="35">
        <v>29503</v>
      </c>
      <c r="Q24">
        <f t="shared" si="3"/>
        <v>2022</v>
      </c>
      <c r="R24">
        <v>6</v>
      </c>
      <c r="S24" s="41">
        <f t="shared" si="4"/>
        <v>29503</v>
      </c>
    </row>
    <row r="25" spans="1:21" x14ac:dyDescent="0.25">
      <c r="A25" t="s">
        <v>163</v>
      </c>
      <c r="B25">
        <v>0.90145386042933529</v>
      </c>
      <c r="N25" s="36">
        <v>2023</v>
      </c>
      <c r="O25" s="37">
        <v>35107</v>
      </c>
      <c r="Q25" s="39">
        <f t="shared" si="3"/>
        <v>2023</v>
      </c>
      <c r="R25" s="39">
        <v>7</v>
      </c>
      <c r="S25" s="42">
        <f t="shared" si="4"/>
        <v>35107</v>
      </c>
    </row>
    <row r="26" spans="1:21" ht="18" x14ac:dyDescent="0.25">
      <c r="A26" t="s">
        <v>164</v>
      </c>
      <c r="B26">
        <v>2114.4228915441004</v>
      </c>
      <c r="J26" s="33" t="s">
        <v>186</v>
      </c>
      <c r="K26">
        <f>B26</f>
        <v>2114.4228915441004</v>
      </c>
    </row>
    <row r="27" spans="1:21" ht="19.5" thickBot="1" x14ac:dyDescent="0.3">
      <c r="A27" s="28" t="s">
        <v>165</v>
      </c>
      <c r="B27" s="28">
        <v>7</v>
      </c>
      <c r="Q27" s="39" t="s">
        <v>187</v>
      </c>
      <c r="R27" s="39" t="s">
        <v>188</v>
      </c>
      <c r="S27" s="45" t="s">
        <v>192</v>
      </c>
      <c r="T27" s="46" t="s">
        <v>193</v>
      </c>
      <c r="U27" s="39" t="s">
        <v>194</v>
      </c>
    </row>
    <row r="28" spans="1:21" x14ac:dyDescent="0.25">
      <c r="Q28">
        <v>2024</v>
      </c>
      <c r="R28">
        <f>R25+1</f>
        <v>8</v>
      </c>
      <c r="S28" s="41">
        <f>$K$21+R28*$K$22</f>
        <v>35509.28571428571</v>
      </c>
      <c r="T28" s="41">
        <f>FORECAST(R28,S19:S25,R19:R25)</f>
        <v>35509.28571428571</v>
      </c>
      <c r="U28" t="b">
        <f>S28=T28</f>
        <v>1</v>
      </c>
    </row>
    <row r="29" spans="1:21" ht="15.75" thickBot="1" x14ac:dyDescent="0.3">
      <c r="A29" t="s">
        <v>166</v>
      </c>
      <c r="Q29" s="39">
        <v>2025</v>
      </c>
      <c r="R29" s="39">
        <f>R28+1</f>
        <v>9</v>
      </c>
      <c r="S29" s="42">
        <f>$K$21+R29*$K$22</f>
        <v>38496.46428571429</v>
      </c>
      <c r="T29" s="42">
        <f>FORECAST(R29,S19:S25,R19:R25)</f>
        <v>38496.46428571429</v>
      </c>
      <c r="U29" s="39" t="b">
        <f>S29=T29</f>
        <v>1</v>
      </c>
    </row>
    <row r="30" spans="1:21" x14ac:dyDescent="0.25">
      <c r="A30" s="29"/>
      <c r="B30" s="29" t="s">
        <v>171</v>
      </c>
      <c r="C30" s="29" t="s">
        <v>172</v>
      </c>
      <c r="D30" s="29" t="s">
        <v>173</v>
      </c>
      <c r="E30" s="29" t="s">
        <v>174</v>
      </c>
      <c r="F30" s="29" t="s">
        <v>175</v>
      </c>
    </row>
    <row r="31" spans="1:21" x14ac:dyDescent="0.25">
      <c r="A31" t="s">
        <v>167</v>
      </c>
      <c r="B31">
        <v>1</v>
      </c>
      <c r="C31">
        <v>249850602.89285716</v>
      </c>
      <c r="D31">
        <v>249850602.89285716</v>
      </c>
      <c r="E31">
        <v>55.885185621072175</v>
      </c>
      <c r="F31">
        <v>6.7640492835833251E-4</v>
      </c>
    </row>
    <row r="32" spans="1:21" x14ac:dyDescent="0.25">
      <c r="A32" t="s">
        <v>168</v>
      </c>
      <c r="B32">
        <v>5</v>
      </c>
      <c r="C32">
        <v>22353920.821428571</v>
      </c>
      <c r="D32">
        <v>4470784.1642857138</v>
      </c>
    </row>
    <row r="33" spans="1:9" ht="15.75" thickBot="1" x14ac:dyDescent="0.3">
      <c r="A33" s="28" t="s">
        <v>169</v>
      </c>
      <c r="B33" s="28">
        <v>6</v>
      </c>
      <c r="C33" s="28">
        <v>272204523.71428573</v>
      </c>
      <c r="D33" s="28"/>
      <c r="E33" s="28"/>
      <c r="F33" s="28"/>
    </row>
    <row r="34" spans="1:9" ht="15.75" thickBot="1" x14ac:dyDescent="0.3"/>
    <row r="35" spans="1:9" x14ac:dyDescent="0.25">
      <c r="A35" s="29"/>
      <c r="B35" s="29" t="s">
        <v>176</v>
      </c>
      <c r="C35" s="29" t="s">
        <v>164</v>
      </c>
      <c r="D35" s="29" t="s">
        <v>177</v>
      </c>
      <c r="E35" s="29" t="s">
        <v>178</v>
      </c>
      <c r="F35" s="29" t="s">
        <v>179</v>
      </c>
      <c r="G35" s="29" t="s">
        <v>180</v>
      </c>
      <c r="H35" s="29" t="s">
        <v>181</v>
      </c>
      <c r="I35" s="29" t="s">
        <v>182</v>
      </c>
    </row>
    <row r="36" spans="1:9" x14ac:dyDescent="0.25">
      <c r="A36" t="s">
        <v>170</v>
      </c>
      <c r="B36">
        <v>11611.857142857141</v>
      </c>
      <c r="C36">
        <v>1787.0135030838687</v>
      </c>
      <c r="D36">
        <v>6.4979123676561104</v>
      </c>
      <c r="E36" s="49">
        <v>1.2885328357186581E-3</v>
      </c>
      <c r="F36">
        <v>7018.1926917929286</v>
      </c>
      <c r="G36">
        <v>16205.521593921354</v>
      </c>
      <c r="H36">
        <v>7018.1926917929286</v>
      </c>
      <c r="I36">
        <v>16205.521593921354</v>
      </c>
    </row>
    <row r="37" spans="1:9" ht="15.75" thickBot="1" x14ac:dyDescent="0.3">
      <c r="A37" s="28" t="s">
        <v>191</v>
      </c>
      <c r="B37" s="28">
        <v>2987.1785714285716</v>
      </c>
      <c r="C37" s="28">
        <v>399.58836696055613</v>
      </c>
      <c r="D37" s="28">
        <v>7.4756394790728224</v>
      </c>
      <c r="E37" s="50">
        <v>6.7640492835833251E-4</v>
      </c>
      <c r="F37" s="28">
        <v>1960.0039735881878</v>
      </c>
      <c r="G37" s="28">
        <v>4014.3531692689553</v>
      </c>
      <c r="H37" s="28">
        <v>1960.0039735881878</v>
      </c>
      <c r="I37" s="28">
        <v>4014.3531692689553</v>
      </c>
    </row>
  </sheetData>
  <mergeCells count="2">
    <mergeCell ref="N1:O1"/>
    <mergeCell ref="N17:O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353EA-E829-443D-8D8F-3B5DF53002B7}">
  <sheetPr>
    <tabColor rgb="FFFF0000"/>
  </sheetPr>
  <dimension ref="A1:L8"/>
  <sheetViews>
    <sheetView workbookViewId="0">
      <selection activeCell="F1" sqref="F1"/>
    </sheetView>
  </sheetViews>
  <sheetFormatPr defaultRowHeight="15" x14ac:dyDescent="0.25"/>
  <cols>
    <col min="1" max="1" width="7.28515625" bestFit="1" customWidth="1"/>
    <col min="2" max="2" width="48.7109375" bestFit="1" customWidth="1"/>
    <col min="3" max="3" width="44.42578125" bestFit="1" customWidth="1"/>
    <col min="4" max="4" width="57.7109375" bestFit="1" customWidth="1"/>
    <col min="5" max="5" width="30.140625" bestFit="1" customWidth="1"/>
    <col min="6" max="6" width="25.5703125" bestFit="1" customWidth="1"/>
    <col min="7" max="7" width="38.85546875" bestFit="1" customWidth="1"/>
    <col min="8" max="8" width="38.5703125" bestFit="1" customWidth="1"/>
    <col min="9" max="9" width="28.85546875" bestFit="1" customWidth="1"/>
    <col min="10" max="10" width="30.140625" bestFit="1" customWidth="1"/>
    <col min="11" max="11" width="29.28515625" bestFit="1" customWidth="1"/>
    <col min="12" max="12" width="27.28515625" bestFit="1" customWidth="1"/>
  </cols>
  <sheetData>
    <row r="1" spans="1:12" x14ac:dyDescent="0.25">
      <c r="A1" t="s">
        <v>0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44</v>
      </c>
      <c r="L1" t="s">
        <v>73</v>
      </c>
    </row>
    <row r="2" spans="1:12" x14ac:dyDescent="0.25">
      <c r="A2">
        <v>2017</v>
      </c>
      <c r="B2">
        <v>16296</v>
      </c>
      <c r="C2">
        <v>1447</v>
      </c>
      <c r="D2">
        <v>17743</v>
      </c>
      <c r="E2">
        <v>2679</v>
      </c>
      <c r="F2">
        <v>209</v>
      </c>
      <c r="G2">
        <v>2888</v>
      </c>
      <c r="H2">
        <v>3897</v>
      </c>
      <c r="I2">
        <v>1486</v>
      </c>
      <c r="J2">
        <v>389</v>
      </c>
      <c r="K2">
        <v>112</v>
      </c>
      <c r="L2">
        <v>26515</v>
      </c>
    </row>
    <row r="3" spans="1:12" x14ac:dyDescent="0.25">
      <c r="A3">
        <v>2018</v>
      </c>
      <c r="B3">
        <v>17507</v>
      </c>
      <c r="C3">
        <v>1657</v>
      </c>
      <c r="D3">
        <v>19164</v>
      </c>
      <c r="E3">
        <v>2789</v>
      </c>
      <c r="F3">
        <v>224</v>
      </c>
      <c r="G3">
        <v>3013</v>
      </c>
      <c r="H3">
        <v>5203</v>
      </c>
      <c r="I3">
        <v>1577</v>
      </c>
      <c r="J3">
        <v>309</v>
      </c>
      <c r="K3">
        <v>109</v>
      </c>
      <c r="L3">
        <v>29375</v>
      </c>
    </row>
    <row r="4" spans="1:12" x14ac:dyDescent="0.25">
      <c r="A4">
        <v>2019</v>
      </c>
      <c r="B4">
        <v>19498</v>
      </c>
      <c r="C4">
        <v>1966</v>
      </c>
      <c r="D4">
        <v>21464</v>
      </c>
      <c r="E4">
        <v>2829</v>
      </c>
      <c r="F4">
        <v>155</v>
      </c>
      <c r="G4">
        <v>2984</v>
      </c>
      <c r="H4">
        <v>5694</v>
      </c>
      <c r="I4">
        <v>1228</v>
      </c>
      <c r="J4">
        <v>157</v>
      </c>
      <c r="K4">
        <v>142</v>
      </c>
      <c r="L4">
        <v>31669</v>
      </c>
    </row>
    <row r="5" spans="1:12" x14ac:dyDescent="0.25">
      <c r="A5">
        <v>2020</v>
      </c>
      <c r="B5">
        <v>20576</v>
      </c>
      <c r="C5">
        <v>2024</v>
      </c>
      <c r="D5">
        <v>22600</v>
      </c>
      <c r="E5">
        <v>2857</v>
      </c>
      <c r="F5">
        <v>141</v>
      </c>
      <c r="G5">
        <v>2998</v>
      </c>
      <c r="H5">
        <v>6069</v>
      </c>
      <c r="I5">
        <v>2026</v>
      </c>
      <c r="J5">
        <v>193</v>
      </c>
      <c r="K5">
        <v>161</v>
      </c>
      <c r="L5">
        <v>34047</v>
      </c>
    </row>
    <row r="6" spans="1:12" x14ac:dyDescent="0.25">
      <c r="A6">
        <v>2021</v>
      </c>
      <c r="B6">
        <v>21564</v>
      </c>
      <c r="C6">
        <v>2316</v>
      </c>
      <c r="D6">
        <v>23880</v>
      </c>
      <c r="E6">
        <v>2593</v>
      </c>
      <c r="F6">
        <v>250</v>
      </c>
      <c r="G6">
        <v>2843</v>
      </c>
      <c r="H6">
        <v>7867</v>
      </c>
      <c r="I6">
        <v>1728</v>
      </c>
      <c r="J6">
        <v>185</v>
      </c>
      <c r="K6">
        <v>161</v>
      </c>
      <c r="L6">
        <v>36664</v>
      </c>
    </row>
    <row r="7" spans="1:12" x14ac:dyDescent="0.25">
      <c r="A7">
        <v>2022</v>
      </c>
      <c r="B7">
        <v>22894</v>
      </c>
      <c r="C7">
        <v>2772</v>
      </c>
      <c r="D7">
        <v>25666</v>
      </c>
      <c r="E7">
        <v>2746</v>
      </c>
      <c r="F7">
        <v>218</v>
      </c>
      <c r="G7">
        <v>2964</v>
      </c>
      <c r="H7">
        <v>9603</v>
      </c>
      <c r="I7">
        <v>1789</v>
      </c>
      <c r="J7">
        <v>137</v>
      </c>
      <c r="K7">
        <v>220</v>
      </c>
      <c r="L7">
        <v>40379</v>
      </c>
    </row>
    <row r="8" spans="1:12" x14ac:dyDescent="0.25">
      <c r="A8">
        <v>2023</v>
      </c>
      <c r="B8">
        <v>20798</v>
      </c>
      <c r="C8">
        <v>2697</v>
      </c>
      <c r="D8">
        <v>23495</v>
      </c>
      <c r="E8">
        <v>2941</v>
      </c>
      <c r="F8">
        <v>313</v>
      </c>
      <c r="G8">
        <v>3254</v>
      </c>
      <c r="H8">
        <v>9096</v>
      </c>
      <c r="I8">
        <v>1613</v>
      </c>
      <c r="J8">
        <v>137</v>
      </c>
      <c r="K8">
        <v>386</v>
      </c>
      <c r="L8">
        <v>37981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9C4A6-1FD0-458A-8887-C06FD05EA3CC}">
  <sheetPr>
    <tabColor rgb="FFFF0000"/>
  </sheetPr>
  <dimension ref="A1:M8"/>
  <sheetViews>
    <sheetView workbookViewId="0">
      <selection activeCell="C8" sqref="C8"/>
    </sheetView>
  </sheetViews>
  <sheetFormatPr defaultRowHeight="15" x14ac:dyDescent="0.25"/>
  <cols>
    <col min="1" max="1" width="7.28515625" bestFit="1" customWidth="1"/>
    <col min="2" max="2" width="13.42578125" bestFit="1" customWidth="1"/>
    <col min="3" max="3" width="29.5703125" bestFit="1" customWidth="1"/>
    <col min="4" max="4" width="53.5703125" bestFit="1" customWidth="1"/>
    <col min="5" max="5" width="18" bestFit="1" customWidth="1"/>
    <col min="6" max="6" width="33.7109375" bestFit="1" customWidth="1"/>
    <col min="7" max="7" width="48.7109375" bestFit="1" customWidth="1"/>
    <col min="8" max="8" width="24.42578125" bestFit="1" customWidth="1"/>
    <col min="9" max="9" width="29.28515625" bestFit="1" customWidth="1"/>
    <col min="10" max="10" width="28.7109375" bestFit="1" customWidth="1"/>
    <col min="11" max="11" width="38.28515625" bestFit="1" customWidth="1"/>
    <col min="12" max="12" width="16.85546875" bestFit="1" customWidth="1"/>
    <col min="13" max="13" width="16.28515625" bestFit="1" customWidth="1"/>
  </cols>
  <sheetData>
    <row r="1" spans="1:13" x14ac:dyDescent="0.25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</row>
    <row r="2" spans="1:13" x14ac:dyDescent="0.25">
      <c r="A2">
        <v>2017</v>
      </c>
      <c r="B2">
        <v>4562</v>
      </c>
      <c r="C2">
        <v>1522</v>
      </c>
      <c r="D2">
        <v>0</v>
      </c>
      <c r="E2">
        <v>277</v>
      </c>
      <c r="F2">
        <v>196</v>
      </c>
      <c r="G2">
        <v>0</v>
      </c>
      <c r="H2">
        <v>265</v>
      </c>
      <c r="I2">
        <v>199</v>
      </c>
      <c r="J2">
        <v>586</v>
      </c>
      <c r="K2">
        <v>0</v>
      </c>
      <c r="L2">
        <v>7607</v>
      </c>
      <c r="M2">
        <v>34122</v>
      </c>
    </row>
    <row r="3" spans="1:13" x14ac:dyDescent="0.25">
      <c r="A3">
        <v>2018</v>
      </c>
      <c r="B3">
        <v>4983</v>
      </c>
      <c r="C3">
        <v>799</v>
      </c>
      <c r="D3">
        <v>304</v>
      </c>
      <c r="E3">
        <v>417</v>
      </c>
      <c r="F3">
        <v>301</v>
      </c>
      <c r="G3">
        <v>0</v>
      </c>
      <c r="H3">
        <v>273</v>
      </c>
      <c r="I3">
        <v>132</v>
      </c>
      <c r="J3">
        <v>957</v>
      </c>
      <c r="K3">
        <v>0</v>
      </c>
      <c r="L3">
        <v>7862</v>
      </c>
      <c r="M3">
        <v>37237</v>
      </c>
    </row>
    <row r="4" spans="1:13" x14ac:dyDescent="0.25">
      <c r="A4">
        <v>2019</v>
      </c>
      <c r="B4">
        <v>4741</v>
      </c>
      <c r="C4">
        <v>688</v>
      </c>
      <c r="D4">
        <v>300</v>
      </c>
      <c r="E4">
        <v>571</v>
      </c>
      <c r="F4">
        <v>293</v>
      </c>
      <c r="G4">
        <v>0</v>
      </c>
      <c r="H4">
        <v>280</v>
      </c>
      <c r="I4">
        <v>151</v>
      </c>
      <c r="J4">
        <v>1016</v>
      </c>
      <c r="K4">
        <v>0</v>
      </c>
      <c r="L4">
        <v>7740</v>
      </c>
      <c r="M4">
        <v>39409</v>
      </c>
    </row>
    <row r="5" spans="1:13" x14ac:dyDescent="0.25">
      <c r="A5">
        <v>2020</v>
      </c>
      <c r="B5">
        <v>4459</v>
      </c>
      <c r="C5">
        <v>834</v>
      </c>
      <c r="D5">
        <v>478</v>
      </c>
      <c r="E5">
        <v>295</v>
      </c>
      <c r="F5">
        <v>210</v>
      </c>
      <c r="G5">
        <v>0</v>
      </c>
      <c r="H5">
        <v>210</v>
      </c>
      <c r="I5">
        <v>142</v>
      </c>
      <c r="J5">
        <v>2552</v>
      </c>
      <c r="K5">
        <v>61</v>
      </c>
      <c r="L5">
        <v>8733</v>
      </c>
      <c r="M5">
        <v>42780</v>
      </c>
    </row>
    <row r="6" spans="1:13" x14ac:dyDescent="0.25">
      <c r="A6">
        <v>2021</v>
      </c>
      <c r="B6">
        <v>6337</v>
      </c>
      <c r="C6">
        <v>1009</v>
      </c>
      <c r="D6">
        <v>614</v>
      </c>
      <c r="E6">
        <v>364</v>
      </c>
      <c r="F6">
        <v>252</v>
      </c>
      <c r="G6">
        <v>447</v>
      </c>
      <c r="H6">
        <v>172</v>
      </c>
      <c r="I6">
        <v>162</v>
      </c>
      <c r="J6">
        <v>1884</v>
      </c>
      <c r="K6">
        <v>734</v>
      </c>
      <c r="L6">
        <v>11363</v>
      </c>
      <c r="M6">
        <v>48027</v>
      </c>
    </row>
    <row r="7" spans="1:13" x14ac:dyDescent="0.25">
      <c r="A7">
        <v>2022</v>
      </c>
      <c r="B7">
        <v>8902</v>
      </c>
      <c r="C7">
        <v>1177</v>
      </c>
      <c r="D7">
        <v>751</v>
      </c>
      <c r="E7">
        <v>367</v>
      </c>
      <c r="F7">
        <v>796</v>
      </c>
      <c r="G7">
        <v>0</v>
      </c>
      <c r="H7">
        <v>337</v>
      </c>
      <c r="I7">
        <v>286</v>
      </c>
      <c r="J7">
        <v>1200</v>
      </c>
      <c r="K7">
        <v>0</v>
      </c>
      <c r="L7">
        <v>13065</v>
      </c>
      <c r="M7">
        <v>53444</v>
      </c>
    </row>
    <row r="8" spans="1:13" x14ac:dyDescent="0.25">
      <c r="A8">
        <v>2023</v>
      </c>
      <c r="B8">
        <v>8425</v>
      </c>
      <c r="C8">
        <v>932</v>
      </c>
      <c r="D8">
        <v>414</v>
      </c>
      <c r="E8">
        <v>985</v>
      </c>
      <c r="F8">
        <v>760</v>
      </c>
      <c r="G8">
        <v>0</v>
      </c>
      <c r="H8">
        <v>296</v>
      </c>
      <c r="I8">
        <v>275</v>
      </c>
      <c r="J8">
        <v>1729</v>
      </c>
      <c r="K8">
        <v>0</v>
      </c>
      <c r="L8">
        <v>13402</v>
      </c>
      <c r="M8">
        <v>51383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1FFB5-AD71-4712-B4A3-E92D9804D9E0}">
  <sheetPr>
    <tabColor rgb="FFC00000"/>
  </sheetPr>
  <dimension ref="A1:H8"/>
  <sheetViews>
    <sheetView workbookViewId="0">
      <selection activeCell="D51" sqref="D51"/>
    </sheetView>
  </sheetViews>
  <sheetFormatPr defaultRowHeight="15" x14ac:dyDescent="0.25"/>
  <cols>
    <col min="1" max="1" width="7.28515625" bestFit="1" customWidth="1"/>
    <col min="2" max="2" width="32.42578125" bestFit="1" customWidth="1"/>
    <col min="3" max="3" width="33.140625" bestFit="1" customWidth="1"/>
    <col min="4" max="4" width="45.5703125" bestFit="1" customWidth="1"/>
    <col min="5" max="5" width="39.28515625" bestFit="1" customWidth="1"/>
    <col min="6" max="6" width="8.42578125" bestFit="1" customWidth="1"/>
    <col min="7" max="7" width="26.42578125" bestFit="1" customWidth="1"/>
    <col min="8" max="8" width="14.140625" bestFit="1" customWidth="1"/>
  </cols>
  <sheetData>
    <row r="1" spans="1:8" x14ac:dyDescent="0.25">
      <c r="A1" t="s">
        <v>0</v>
      </c>
      <c r="B1" t="s">
        <v>106</v>
      </c>
      <c r="C1" t="s">
        <v>107</v>
      </c>
      <c r="D1" t="s">
        <v>108</v>
      </c>
      <c r="E1" t="s">
        <v>109</v>
      </c>
      <c r="F1" t="s">
        <v>104</v>
      </c>
      <c r="G1" t="s">
        <v>110</v>
      </c>
      <c r="H1" t="s">
        <v>111</v>
      </c>
    </row>
    <row r="2" spans="1:8" x14ac:dyDescent="0.25">
      <c r="A2" t="s">
        <v>3</v>
      </c>
      <c r="B2">
        <v>644</v>
      </c>
      <c r="C2">
        <v>56</v>
      </c>
      <c r="D2">
        <v>44</v>
      </c>
      <c r="E2">
        <v>24</v>
      </c>
      <c r="F2">
        <v>66</v>
      </c>
      <c r="G2">
        <v>834</v>
      </c>
      <c r="H2">
        <v>1110</v>
      </c>
    </row>
    <row r="3" spans="1:8" x14ac:dyDescent="0.25">
      <c r="A3" t="s">
        <v>4</v>
      </c>
      <c r="B3">
        <v>610</v>
      </c>
      <c r="C3">
        <v>52</v>
      </c>
      <c r="D3">
        <v>43</v>
      </c>
      <c r="E3">
        <v>30</v>
      </c>
      <c r="F3">
        <v>60</v>
      </c>
      <c r="G3">
        <v>795</v>
      </c>
      <c r="H3">
        <v>1080</v>
      </c>
    </row>
    <row r="4" spans="1:8" x14ac:dyDescent="0.25">
      <c r="A4" t="s">
        <v>5</v>
      </c>
      <c r="B4">
        <v>649</v>
      </c>
      <c r="C4">
        <v>57</v>
      </c>
      <c r="D4">
        <v>80</v>
      </c>
      <c r="E4">
        <v>0</v>
      </c>
      <c r="F4">
        <v>71</v>
      </c>
      <c r="G4">
        <v>857</v>
      </c>
      <c r="H4">
        <v>1139</v>
      </c>
    </row>
    <row r="5" spans="1:8" x14ac:dyDescent="0.25">
      <c r="A5" t="s">
        <v>6</v>
      </c>
      <c r="B5">
        <v>653</v>
      </c>
      <c r="C5">
        <v>62</v>
      </c>
      <c r="D5">
        <v>74</v>
      </c>
      <c r="E5">
        <v>0</v>
      </c>
      <c r="F5">
        <v>67</v>
      </c>
      <c r="G5">
        <v>856</v>
      </c>
      <c r="H5">
        <v>1163</v>
      </c>
    </row>
    <row r="6" spans="1:8" x14ac:dyDescent="0.25">
      <c r="A6" t="s">
        <v>7</v>
      </c>
      <c r="B6">
        <v>647</v>
      </c>
      <c r="C6">
        <v>73</v>
      </c>
      <c r="D6">
        <v>76</v>
      </c>
      <c r="E6">
        <v>0</v>
      </c>
      <c r="F6">
        <v>69</v>
      </c>
      <c r="G6">
        <v>865</v>
      </c>
      <c r="H6">
        <v>1235</v>
      </c>
    </row>
    <row r="7" spans="1:8" x14ac:dyDescent="0.25">
      <c r="A7" t="s">
        <v>8</v>
      </c>
      <c r="B7">
        <v>676</v>
      </c>
      <c r="C7">
        <v>78</v>
      </c>
      <c r="D7">
        <v>78</v>
      </c>
      <c r="E7">
        <v>0</v>
      </c>
      <c r="F7">
        <v>68</v>
      </c>
      <c r="G7">
        <v>900</v>
      </c>
      <c r="H7">
        <v>1286</v>
      </c>
    </row>
    <row r="8" spans="1:8" x14ac:dyDescent="0.25">
      <c r="A8" t="s">
        <v>9</v>
      </c>
      <c r="B8">
        <v>702</v>
      </c>
      <c r="C8">
        <v>70</v>
      </c>
      <c r="D8">
        <v>77</v>
      </c>
      <c r="E8">
        <v>0</v>
      </c>
      <c r="F8">
        <v>75</v>
      </c>
      <c r="G8">
        <v>924</v>
      </c>
      <c r="H8">
        <v>1288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0E2AE-D952-40C2-86A3-1A1A5197CBBC}">
  <sheetPr>
    <tabColor rgb="FFC00000"/>
  </sheetPr>
  <dimension ref="A1:F8"/>
  <sheetViews>
    <sheetView workbookViewId="0">
      <selection activeCell="G9" sqref="G9"/>
    </sheetView>
  </sheetViews>
  <sheetFormatPr defaultRowHeight="15" x14ac:dyDescent="0.25"/>
  <cols>
    <col min="1" max="1" width="7.28515625" bestFit="1" customWidth="1"/>
    <col min="2" max="2" width="7.42578125" bestFit="1" customWidth="1"/>
    <col min="3" max="3" width="13.42578125" bestFit="1" customWidth="1"/>
    <col min="4" max="4" width="21" bestFit="1" customWidth="1"/>
    <col min="5" max="5" width="8.42578125" bestFit="1" customWidth="1"/>
    <col min="6" max="6" width="21.85546875" bestFit="1" customWidth="1"/>
  </cols>
  <sheetData>
    <row r="1" spans="1:6" x14ac:dyDescent="0.25">
      <c r="A1" t="s">
        <v>0</v>
      </c>
      <c r="B1" t="s">
        <v>102</v>
      </c>
      <c r="C1" t="s">
        <v>37</v>
      </c>
      <c r="D1" t="s">
        <v>103</v>
      </c>
      <c r="E1" t="s">
        <v>104</v>
      </c>
      <c r="F1" t="s">
        <v>105</v>
      </c>
    </row>
    <row r="2" spans="1:6" x14ac:dyDescent="0.25">
      <c r="A2" t="s">
        <v>3</v>
      </c>
      <c r="B2">
        <v>99</v>
      </c>
      <c r="C2">
        <v>79</v>
      </c>
      <c r="D2">
        <v>60</v>
      </c>
      <c r="E2">
        <v>38</v>
      </c>
      <c r="F2">
        <v>276</v>
      </c>
    </row>
    <row r="3" spans="1:6" x14ac:dyDescent="0.25">
      <c r="A3" t="s">
        <v>4</v>
      </c>
      <c r="B3">
        <v>101</v>
      </c>
      <c r="C3">
        <v>77</v>
      </c>
      <c r="D3">
        <v>55</v>
      </c>
      <c r="E3">
        <v>52</v>
      </c>
      <c r="F3">
        <v>285</v>
      </c>
    </row>
    <row r="4" spans="1:6" x14ac:dyDescent="0.25">
      <c r="A4" t="s">
        <v>5</v>
      </c>
      <c r="B4">
        <v>88</v>
      </c>
      <c r="C4">
        <v>83</v>
      </c>
      <c r="D4">
        <v>48</v>
      </c>
      <c r="E4">
        <v>62</v>
      </c>
      <c r="F4">
        <v>282</v>
      </c>
    </row>
    <row r="5" spans="1:6" x14ac:dyDescent="0.25">
      <c r="A5" t="s">
        <v>6</v>
      </c>
      <c r="B5">
        <v>123</v>
      </c>
      <c r="C5">
        <v>87</v>
      </c>
      <c r="D5">
        <v>41</v>
      </c>
      <c r="E5">
        <v>55</v>
      </c>
      <c r="F5">
        <v>307</v>
      </c>
    </row>
    <row r="6" spans="1:6" x14ac:dyDescent="0.25">
      <c r="A6" t="s">
        <v>7</v>
      </c>
      <c r="B6">
        <v>156</v>
      </c>
      <c r="C6">
        <v>98</v>
      </c>
      <c r="D6">
        <v>45</v>
      </c>
      <c r="E6">
        <v>71</v>
      </c>
      <c r="F6">
        <v>370</v>
      </c>
    </row>
    <row r="7" spans="1:6" x14ac:dyDescent="0.25">
      <c r="A7" t="s">
        <v>8</v>
      </c>
      <c r="B7">
        <v>141</v>
      </c>
      <c r="C7">
        <v>98</v>
      </c>
      <c r="D7">
        <v>53</v>
      </c>
      <c r="E7">
        <v>94</v>
      </c>
      <c r="F7">
        <v>386</v>
      </c>
    </row>
    <row r="8" spans="1:6" x14ac:dyDescent="0.25">
      <c r="A8" t="s">
        <v>9</v>
      </c>
      <c r="B8">
        <v>142</v>
      </c>
      <c r="C8">
        <v>104</v>
      </c>
      <c r="D8">
        <v>72</v>
      </c>
      <c r="E8">
        <v>46</v>
      </c>
      <c r="F8">
        <v>364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E765B-35C3-4C00-A598-ECCC901B0EDE}">
  <sheetPr>
    <tabColor theme="4" tint="-0.249977111117893"/>
  </sheetPr>
  <dimension ref="A1:H8"/>
  <sheetViews>
    <sheetView workbookViewId="0">
      <selection sqref="A1:H8"/>
    </sheetView>
  </sheetViews>
  <sheetFormatPr defaultRowHeight="15" x14ac:dyDescent="0.25"/>
  <cols>
    <col min="1" max="1" width="7.42578125" bestFit="1" customWidth="1"/>
    <col min="2" max="2" width="15.7109375" bestFit="1" customWidth="1"/>
    <col min="3" max="3" width="54.5703125" bestFit="1" customWidth="1"/>
    <col min="4" max="4" width="81.140625" bestFit="1" customWidth="1"/>
    <col min="5" max="5" width="20.140625" bestFit="1" customWidth="1"/>
    <col min="6" max="6" width="46.42578125" bestFit="1" customWidth="1"/>
    <col min="7" max="7" width="33.85546875" bestFit="1" customWidth="1"/>
    <col min="8" max="8" width="9" bestFit="1" customWidth="1"/>
  </cols>
  <sheetData>
    <row r="1" spans="1:8" x14ac:dyDescent="0.25">
      <c r="A1" t="s">
        <v>0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</row>
    <row r="2" spans="1:8" x14ac:dyDescent="0.25">
      <c r="A2">
        <v>2017</v>
      </c>
      <c r="B2">
        <v>2000</v>
      </c>
      <c r="C2">
        <v>158</v>
      </c>
      <c r="D2">
        <v>2427</v>
      </c>
      <c r="E2">
        <v>13109</v>
      </c>
      <c r="F2">
        <v>17694</v>
      </c>
      <c r="G2">
        <v>91</v>
      </c>
      <c r="H2">
        <v>17785</v>
      </c>
    </row>
    <row r="3" spans="1:8" x14ac:dyDescent="0.25">
      <c r="A3">
        <v>2018</v>
      </c>
      <c r="B3">
        <v>2000</v>
      </c>
      <c r="C3">
        <v>-444</v>
      </c>
      <c r="D3">
        <v>2005</v>
      </c>
      <c r="E3">
        <v>15572</v>
      </c>
      <c r="F3">
        <v>19133</v>
      </c>
      <c r="G3">
        <v>92</v>
      </c>
      <c r="H3">
        <v>19225</v>
      </c>
    </row>
    <row r="4" spans="1:8" x14ac:dyDescent="0.25">
      <c r="A4">
        <v>2019</v>
      </c>
      <c r="B4">
        <v>2000</v>
      </c>
      <c r="C4">
        <v>-738</v>
      </c>
      <c r="D4">
        <v>1954</v>
      </c>
      <c r="E4">
        <v>16894</v>
      </c>
      <c r="F4">
        <v>20110</v>
      </c>
      <c r="G4">
        <v>92</v>
      </c>
      <c r="H4">
        <v>20202</v>
      </c>
    </row>
    <row r="5" spans="1:8" x14ac:dyDescent="0.25">
      <c r="A5">
        <v>2020</v>
      </c>
      <c r="B5">
        <v>2000</v>
      </c>
      <c r="C5">
        <v>-1430</v>
      </c>
      <c r="D5">
        <v>1728</v>
      </c>
      <c r="E5">
        <v>18694</v>
      </c>
      <c r="F5">
        <v>20992</v>
      </c>
      <c r="G5">
        <v>89</v>
      </c>
      <c r="H5">
        <v>21081</v>
      </c>
    </row>
    <row r="6" spans="1:8" x14ac:dyDescent="0.25">
      <c r="A6">
        <v>2021</v>
      </c>
      <c r="B6">
        <v>2000</v>
      </c>
      <c r="C6">
        <v>-1705</v>
      </c>
      <c r="D6">
        <v>2219</v>
      </c>
      <c r="E6">
        <v>24532</v>
      </c>
      <c r="F6">
        <v>27046</v>
      </c>
      <c r="G6">
        <v>92</v>
      </c>
      <c r="H6">
        <v>27138</v>
      </c>
    </row>
    <row r="7" spans="1:8" x14ac:dyDescent="0.25">
      <c r="A7">
        <v>2022</v>
      </c>
      <c r="B7">
        <v>2000</v>
      </c>
      <c r="C7">
        <v>-427</v>
      </c>
      <c r="D7">
        <v>1812</v>
      </c>
      <c r="E7">
        <v>28704</v>
      </c>
      <c r="F7">
        <v>32089</v>
      </c>
      <c r="G7">
        <v>57</v>
      </c>
      <c r="H7">
        <v>32146</v>
      </c>
    </row>
    <row r="8" spans="1:8" x14ac:dyDescent="0.25">
      <c r="A8">
        <v>2023</v>
      </c>
      <c r="B8">
        <v>2000</v>
      </c>
      <c r="C8">
        <v>277</v>
      </c>
      <c r="D8">
        <v>1482</v>
      </c>
      <c r="E8">
        <v>24806</v>
      </c>
      <c r="F8">
        <v>28565</v>
      </c>
      <c r="G8">
        <v>65</v>
      </c>
      <c r="H8">
        <v>28630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51729-6E3C-4772-AFF0-CD0A3B172074}">
  <sheetPr>
    <tabColor theme="4" tint="-0.249977111117893"/>
  </sheetPr>
  <dimension ref="A1:J8"/>
  <sheetViews>
    <sheetView workbookViewId="0">
      <selection activeCell="C16" sqref="C16"/>
    </sheetView>
  </sheetViews>
  <sheetFormatPr defaultRowHeight="15" x14ac:dyDescent="0.25"/>
  <cols>
    <col min="1" max="1" width="7.28515625" bestFit="1" customWidth="1"/>
    <col min="2" max="2" width="50.5703125" bestFit="1" customWidth="1"/>
    <col min="3" max="3" width="33.7109375" bestFit="1" customWidth="1"/>
    <col min="4" max="4" width="29.85546875" bestFit="1" customWidth="1"/>
    <col min="5" max="5" width="69.5703125" bestFit="1" customWidth="1"/>
    <col min="6" max="6" width="33.140625" bestFit="1" customWidth="1"/>
    <col min="7" max="7" width="18.140625" bestFit="1" customWidth="1"/>
    <col min="8" max="8" width="22.85546875" bestFit="1" customWidth="1"/>
    <col min="9" max="9" width="33.28515625" bestFit="1" customWidth="1"/>
    <col min="10" max="10" width="28.7109375" bestFit="1" customWidth="1"/>
  </cols>
  <sheetData>
    <row r="1" spans="1:10" x14ac:dyDescent="0.25">
      <c r="A1" t="s">
        <v>0</v>
      </c>
      <c r="B1" t="s">
        <v>56</v>
      </c>
      <c r="C1" t="s">
        <v>41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</row>
    <row r="2" spans="1:10" x14ac:dyDescent="0.25">
      <c r="A2">
        <v>2017</v>
      </c>
      <c r="B2">
        <v>6191</v>
      </c>
      <c r="C2">
        <v>208</v>
      </c>
      <c r="D2">
        <v>2063</v>
      </c>
      <c r="E2">
        <v>1351</v>
      </c>
      <c r="F2">
        <v>347</v>
      </c>
      <c r="G2">
        <v>718</v>
      </c>
      <c r="H2">
        <v>10878</v>
      </c>
      <c r="I2">
        <v>16337</v>
      </c>
      <c r="J2">
        <v>34122</v>
      </c>
    </row>
    <row r="3" spans="1:10" x14ac:dyDescent="0.25">
      <c r="A3">
        <v>2018</v>
      </c>
      <c r="B3">
        <v>6878</v>
      </c>
      <c r="C3">
        <v>162</v>
      </c>
      <c r="D3">
        <v>2447</v>
      </c>
      <c r="E3">
        <v>1564</v>
      </c>
      <c r="F3">
        <v>498</v>
      </c>
      <c r="G3">
        <v>598</v>
      </c>
      <c r="H3">
        <v>12147</v>
      </c>
      <c r="I3">
        <v>18012</v>
      </c>
      <c r="J3">
        <v>37237</v>
      </c>
    </row>
    <row r="4" spans="1:10" x14ac:dyDescent="0.25">
      <c r="A4">
        <v>2019</v>
      </c>
      <c r="B4">
        <v>7525</v>
      </c>
      <c r="C4">
        <v>183</v>
      </c>
      <c r="D4">
        <v>2613</v>
      </c>
      <c r="E4">
        <v>1774</v>
      </c>
      <c r="F4">
        <v>445</v>
      </c>
      <c r="G4">
        <v>631</v>
      </c>
      <c r="H4">
        <v>13171</v>
      </c>
      <c r="I4">
        <v>19207</v>
      </c>
      <c r="J4">
        <v>39409</v>
      </c>
    </row>
    <row r="5" spans="1:10" x14ac:dyDescent="0.25">
      <c r="A5">
        <v>2020</v>
      </c>
      <c r="B5">
        <v>6928</v>
      </c>
      <c r="C5">
        <v>1006</v>
      </c>
      <c r="D5">
        <v>3016</v>
      </c>
      <c r="E5">
        <v>1849</v>
      </c>
      <c r="F5">
        <v>442</v>
      </c>
      <c r="G5">
        <v>551</v>
      </c>
      <c r="H5">
        <v>13792</v>
      </c>
      <c r="I5">
        <v>21699</v>
      </c>
      <c r="J5">
        <v>42780</v>
      </c>
    </row>
    <row r="6" spans="1:10" x14ac:dyDescent="0.25">
      <c r="A6">
        <v>2021</v>
      </c>
      <c r="B6">
        <v>5409</v>
      </c>
      <c r="C6">
        <v>1134</v>
      </c>
      <c r="D6">
        <v>2306</v>
      </c>
      <c r="E6">
        <v>1242</v>
      </c>
      <c r="F6">
        <v>643</v>
      </c>
      <c r="G6">
        <v>617</v>
      </c>
      <c r="H6">
        <v>11351</v>
      </c>
      <c r="I6">
        <v>20889</v>
      </c>
      <c r="J6">
        <v>48027</v>
      </c>
    </row>
    <row r="7" spans="1:10" x14ac:dyDescent="0.25">
      <c r="A7">
        <v>2022</v>
      </c>
      <c r="B7">
        <v>5220</v>
      </c>
      <c r="C7">
        <v>719</v>
      </c>
      <c r="D7">
        <v>2621</v>
      </c>
      <c r="E7">
        <v>1859</v>
      </c>
      <c r="F7">
        <v>1151</v>
      </c>
      <c r="G7">
        <v>543</v>
      </c>
      <c r="H7">
        <v>12113</v>
      </c>
      <c r="I7">
        <v>21298</v>
      </c>
      <c r="J7">
        <v>53444</v>
      </c>
    </row>
    <row r="8" spans="1:10" x14ac:dyDescent="0.25">
      <c r="A8">
        <v>2023</v>
      </c>
      <c r="B8">
        <v>4761</v>
      </c>
      <c r="C8">
        <v>202</v>
      </c>
      <c r="D8">
        <v>3117</v>
      </c>
      <c r="E8">
        <v>1923</v>
      </c>
      <c r="F8">
        <v>646</v>
      </c>
      <c r="G8">
        <v>487</v>
      </c>
      <c r="H8">
        <v>11136</v>
      </c>
      <c r="I8">
        <v>22753</v>
      </c>
      <c r="J8">
        <v>51383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BA2D6-27B2-4E72-98FF-3C5B41877E92}">
  <sheetPr>
    <tabColor theme="4" tint="-0.249977111117893"/>
  </sheetPr>
  <dimension ref="A1:M8"/>
  <sheetViews>
    <sheetView workbookViewId="0">
      <selection activeCell="D6" sqref="A2:M8"/>
    </sheetView>
  </sheetViews>
  <sheetFormatPr defaultRowHeight="15" x14ac:dyDescent="0.25"/>
  <cols>
    <col min="1" max="1" width="7.28515625" bestFit="1" customWidth="1"/>
    <col min="2" max="2" width="50.85546875" bestFit="1" customWidth="1"/>
    <col min="3" max="3" width="33.7109375" bestFit="1" customWidth="1"/>
    <col min="4" max="4" width="36.5703125" bestFit="1" customWidth="1"/>
    <col min="5" max="5" width="29.85546875" bestFit="1" customWidth="1"/>
    <col min="6" max="6" width="16" bestFit="1" customWidth="1"/>
    <col min="7" max="7" width="45.42578125" bestFit="1" customWidth="1"/>
    <col min="8" max="8" width="18.140625" bestFit="1" customWidth="1"/>
    <col min="9" max="9" width="49.5703125" bestFit="1" customWidth="1"/>
    <col min="10" max="10" width="39.5703125" bestFit="1" customWidth="1"/>
    <col min="11" max="11" width="23.42578125" bestFit="1" customWidth="1"/>
    <col min="12" max="12" width="33.28515625" bestFit="1" customWidth="1"/>
    <col min="13" max="13" width="28.7109375" bestFit="1" customWidth="1"/>
  </cols>
  <sheetData>
    <row r="1" spans="1:13" x14ac:dyDescent="0.25">
      <c r="A1" t="s">
        <v>0</v>
      </c>
      <c r="B1" t="s">
        <v>74</v>
      </c>
      <c r="C1" t="s">
        <v>41</v>
      </c>
      <c r="D1" t="s">
        <v>75</v>
      </c>
      <c r="E1" t="s">
        <v>57</v>
      </c>
      <c r="F1" t="s">
        <v>76</v>
      </c>
      <c r="G1" t="s">
        <v>77</v>
      </c>
      <c r="H1" t="s">
        <v>60</v>
      </c>
      <c r="I1" t="s">
        <v>78</v>
      </c>
      <c r="J1" t="s">
        <v>79</v>
      </c>
      <c r="K1" t="s">
        <v>80</v>
      </c>
      <c r="L1" t="s">
        <v>62</v>
      </c>
      <c r="M1" t="s">
        <v>63</v>
      </c>
    </row>
    <row r="2" spans="1:13" x14ac:dyDescent="0.25">
      <c r="A2">
        <v>2017</v>
      </c>
      <c r="B2">
        <v>965</v>
      </c>
      <c r="C2">
        <v>110</v>
      </c>
      <c r="D2">
        <v>1823</v>
      </c>
      <c r="E2">
        <v>842</v>
      </c>
      <c r="F2">
        <v>630</v>
      </c>
      <c r="G2">
        <v>114</v>
      </c>
      <c r="H2">
        <v>975</v>
      </c>
      <c r="I2">
        <v>0</v>
      </c>
      <c r="J2">
        <v>0</v>
      </c>
      <c r="K2">
        <v>5459</v>
      </c>
      <c r="L2">
        <v>16337</v>
      </c>
      <c r="M2">
        <v>34122</v>
      </c>
    </row>
    <row r="3" spans="1:13" x14ac:dyDescent="0.25">
      <c r="A3">
        <v>2018</v>
      </c>
      <c r="B3">
        <v>1071</v>
      </c>
      <c r="C3">
        <v>43</v>
      </c>
      <c r="D3">
        <v>2053</v>
      </c>
      <c r="E3">
        <v>808</v>
      </c>
      <c r="F3">
        <v>585</v>
      </c>
      <c r="G3">
        <v>271</v>
      </c>
      <c r="H3">
        <v>1034</v>
      </c>
      <c r="I3">
        <v>0</v>
      </c>
      <c r="J3">
        <v>0</v>
      </c>
      <c r="K3">
        <v>5865</v>
      </c>
      <c r="L3">
        <v>18012</v>
      </c>
      <c r="M3">
        <v>37237</v>
      </c>
    </row>
    <row r="4" spans="1:13" x14ac:dyDescent="0.25">
      <c r="A4">
        <v>2019</v>
      </c>
      <c r="B4">
        <v>348</v>
      </c>
      <c r="C4">
        <v>91</v>
      </c>
      <c r="D4">
        <v>2766</v>
      </c>
      <c r="E4">
        <v>1150</v>
      </c>
      <c r="F4">
        <v>433</v>
      </c>
      <c r="G4">
        <v>222</v>
      </c>
      <c r="H4">
        <v>1026</v>
      </c>
      <c r="I4">
        <v>0</v>
      </c>
      <c r="J4">
        <v>0</v>
      </c>
      <c r="K4">
        <v>6036</v>
      </c>
      <c r="L4">
        <v>19207</v>
      </c>
      <c r="M4">
        <v>39409</v>
      </c>
    </row>
    <row r="5" spans="1:13" x14ac:dyDescent="0.25">
      <c r="A5">
        <v>2020</v>
      </c>
      <c r="B5">
        <v>407</v>
      </c>
      <c r="C5">
        <v>688</v>
      </c>
      <c r="D5">
        <v>3593</v>
      </c>
      <c r="E5">
        <v>1313</v>
      </c>
      <c r="F5">
        <v>537</v>
      </c>
      <c r="G5">
        <v>162</v>
      </c>
      <c r="H5">
        <v>1202</v>
      </c>
      <c r="I5">
        <v>5</v>
      </c>
      <c r="J5">
        <v>0</v>
      </c>
      <c r="K5">
        <v>7907</v>
      </c>
      <c r="L5">
        <v>21699</v>
      </c>
      <c r="M5">
        <v>42780</v>
      </c>
    </row>
    <row r="6" spans="1:13" x14ac:dyDescent="0.25">
      <c r="A6">
        <v>2021</v>
      </c>
      <c r="B6">
        <v>455</v>
      </c>
      <c r="C6">
        <v>889</v>
      </c>
      <c r="D6">
        <v>2974</v>
      </c>
      <c r="E6">
        <v>1437</v>
      </c>
      <c r="F6">
        <v>1453</v>
      </c>
      <c r="G6">
        <v>207</v>
      </c>
      <c r="H6">
        <v>1661</v>
      </c>
      <c r="I6">
        <v>0</v>
      </c>
      <c r="J6">
        <v>462</v>
      </c>
      <c r="K6">
        <v>9538</v>
      </c>
      <c r="L6">
        <v>20889</v>
      </c>
      <c r="M6">
        <v>48027</v>
      </c>
    </row>
    <row r="7" spans="1:13" x14ac:dyDescent="0.25">
      <c r="A7">
        <v>2022</v>
      </c>
      <c r="B7">
        <v>1223</v>
      </c>
      <c r="C7">
        <v>434</v>
      </c>
      <c r="D7">
        <v>3094</v>
      </c>
      <c r="E7">
        <v>1699</v>
      </c>
      <c r="F7">
        <v>1233</v>
      </c>
      <c r="G7">
        <v>173</v>
      </c>
      <c r="H7">
        <v>1329</v>
      </c>
      <c r="I7">
        <v>0</v>
      </c>
      <c r="J7">
        <v>0</v>
      </c>
      <c r="K7">
        <v>9185</v>
      </c>
      <c r="L7">
        <v>21298</v>
      </c>
      <c r="M7">
        <v>53444</v>
      </c>
    </row>
    <row r="8" spans="1:13" x14ac:dyDescent="0.25">
      <c r="A8">
        <v>2023</v>
      </c>
      <c r="B8">
        <v>964</v>
      </c>
      <c r="C8">
        <v>499</v>
      </c>
      <c r="D8">
        <v>6188</v>
      </c>
      <c r="E8">
        <v>1709</v>
      </c>
      <c r="F8">
        <v>611</v>
      </c>
      <c r="G8">
        <v>194</v>
      </c>
      <c r="H8">
        <v>1452</v>
      </c>
      <c r="I8">
        <v>0</v>
      </c>
      <c r="J8">
        <v>0</v>
      </c>
      <c r="K8">
        <v>11617</v>
      </c>
      <c r="L8">
        <v>22753</v>
      </c>
      <c r="M8">
        <v>51383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80AB6-1A85-43C7-B07B-49C3AE5F827B}">
  <sheetPr>
    <tabColor theme="4" tint="-0.499984740745262"/>
  </sheetPr>
  <dimension ref="A1:G8"/>
  <sheetViews>
    <sheetView workbookViewId="0">
      <selection activeCell="N53" sqref="N53"/>
    </sheetView>
  </sheetViews>
  <sheetFormatPr defaultRowHeight="15" x14ac:dyDescent="0.25"/>
  <cols>
    <col min="1" max="1" width="7.28515625" bestFit="1" customWidth="1"/>
    <col min="2" max="2" width="13.28515625" bestFit="1" customWidth="1"/>
    <col min="3" max="3" width="8.42578125" bestFit="1" customWidth="1"/>
    <col min="4" max="4" width="29.42578125" bestFit="1" customWidth="1"/>
    <col min="5" max="5" width="17.140625" bestFit="1" customWidth="1"/>
    <col min="6" max="6" width="8.85546875" bestFit="1" customWidth="1"/>
    <col min="7" max="7" width="23" bestFit="1" customWidth="1"/>
  </cols>
  <sheetData>
    <row r="1" spans="1:7" x14ac:dyDescent="0.25">
      <c r="A1" t="s">
        <v>0</v>
      </c>
      <c r="B1" t="s">
        <v>112</v>
      </c>
      <c r="C1" t="s">
        <v>104</v>
      </c>
      <c r="D1" t="s">
        <v>113</v>
      </c>
      <c r="E1" t="s">
        <v>114</v>
      </c>
      <c r="F1" t="s">
        <v>55</v>
      </c>
      <c r="G1" t="s">
        <v>115</v>
      </c>
    </row>
    <row r="2" spans="1:7" x14ac:dyDescent="0.25">
      <c r="A2" t="s">
        <v>3</v>
      </c>
      <c r="B2">
        <v>229</v>
      </c>
      <c r="C2">
        <v>150</v>
      </c>
      <c r="D2">
        <v>379</v>
      </c>
      <c r="E2">
        <v>566</v>
      </c>
      <c r="F2">
        <v>544</v>
      </c>
      <c r="G2">
        <v>1110</v>
      </c>
    </row>
    <row r="3" spans="1:7" x14ac:dyDescent="0.25">
      <c r="A3" t="s">
        <v>4</v>
      </c>
      <c r="B3">
        <v>217</v>
      </c>
      <c r="C3">
        <v>147</v>
      </c>
      <c r="D3">
        <v>364</v>
      </c>
      <c r="E3">
        <v>540</v>
      </c>
      <c r="F3">
        <v>540</v>
      </c>
      <c r="G3">
        <v>1080</v>
      </c>
    </row>
    <row r="4" spans="1:7" x14ac:dyDescent="0.25">
      <c r="A4" t="s">
        <v>5</v>
      </c>
      <c r="B4">
        <v>202</v>
      </c>
      <c r="C4">
        <v>175</v>
      </c>
      <c r="D4">
        <v>377</v>
      </c>
      <c r="E4">
        <v>576</v>
      </c>
      <c r="F4">
        <v>563</v>
      </c>
      <c r="G4">
        <v>1139</v>
      </c>
    </row>
    <row r="5" spans="1:7" x14ac:dyDescent="0.25">
      <c r="A5" t="s">
        <v>6</v>
      </c>
      <c r="B5">
        <v>209</v>
      </c>
      <c r="C5">
        <v>187</v>
      </c>
      <c r="D5">
        <v>396</v>
      </c>
      <c r="E5">
        <v>588</v>
      </c>
      <c r="F5">
        <v>575</v>
      </c>
      <c r="G5">
        <v>1163</v>
      </c>
    </row>
    <row r="6" spans="1:7" x14ac:dyDescent="0.25">
      <c r="A6" t="s">
        <v>7</v>
      </c>
      <c r="B6">
        <v>211</v>
      </c>
      <c r="C6">
        <v>175</v>
      </c>
      <c r="D6">
        <v>386</v>
      </c>
      <c r="E6">
        <v>620</v>
      </c>
      <c r="F6">
        <v>615</v>
      </c>
      <c r="G6">
        <v>1235</v>
      </c>
    </row>
    <row r="7" spans="1:7" x14ac:dyDescent="0.25">
      <c r="A7" t="s">
        <v>8</v>
      </c>
      <c r="B7">
        <v>189</v>
      </c>
      <c r="C7">
        <v>190</v>
      </c>
      <c r="D7">
        <v>378</v>
      </c>
      <c r="E7">
        <v>616</v>
      </c>
      <c r="F7">
        <v>670</v>
      </c>
      <c r="G7">
        <v>1286</v>
      </c>
    </row>
    <row r="8" spans="1:7" x14ac:dyDescent="0.25">
      <c r="A8" t="s">
        <v>9</v>
      </c>
      <c r="B8">
        <v>199</v>
      </c>
      <c r="C8">
        <v>195</v>
      </c>
      <c r="D8">
        <v>394</v>
      </c>
      <c r="E8">
        <v>626</v>
      </c>
      <c r="F8">
        <v>662</v>
      </c>
      <c r="G8">
        <v>1288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43941-C6EF-43D4-B837-3EE1E89CC564}">
  <sheetPr>
    <tabColor theme="4" tint="-0.499984740745262"/>
  </sheetPr>
  <dimension ref="A1:E8"/>
  <sheetViews>
    <sheetView workbookViewId="0">
      <selection activeCell="Y44" sqref="Y44"/>
    </sheetView>
  </sheetViews>
  <sheetFormatPr defaultRowHeight="15" x14ac:dyDescent="0.25"/>
  <cols>
    <col min="1" max="1" width="7.28515625" bestFit="1" customWidth="1"/>
    <col min="2" max="2" width="19.5703125" bestFit="1" customWidth="1"/>
    <col min="3" max="3" width="13.28515625" bestFit="1" customWidth="1"/>
    <col min="4" max="4" width="8.42578125" bestFit="1" customWidth="1"/>
    <col min="5" max="5" width="24.85546875" bestFit="1" customWidth="1"/>
  </cols>
  <sheetData>
    <row r="1" spans="1:5" x14ac:dyDescent="0.25">
      <c r="A1" t="s">
        <v>0</v>
      </c>
      <c r="B1" t="s">
        <v>116</v>
      </c>
      <c r="C1" t="s">
        <v>112</v>
      </c>
      <c r="D1" t="s">
        <v>104</v>
      </c>
      <c r="E1" t="s">
        <v>117</v>
      </c>
    </row>
    <row r="2" spans="1:5" x14ac:dyDescent="0.25">
      <c r="A2" t="s">
        <v>3</v>
      </c>
      <c r="B2">
        <v>89</v>
      </c>
      <c r="C2">
        <v>44</v>
      </c>
      <c r="D2">
        <v>54</v>
      </c>
      <c r="E2">
        <v>187</v>
      </c>
    </row>
    <row r="3" spans="1:5" x14ac:dyDescent="0.25">
      <c r="A3" t="s">
        <v>4</v>
      </c>
      <c r="B3">
        <v>87</v>
      </c>
      <c r="C3">
        <v>34</v>
      </c>
      <c r="D3">
        <v>55</v>
      </c>
      <c r="E3">
        <v>176</v>
      </c>
    </row>
    <row r="4" spans="1:5" x14ac:dyDescent="0.25">
      <c r="A4" t="s">
        <v>5</v>
      </c>
      <c r="B4">
        <v>98</v>
      </c>
      <c r="C4">
        <v>45</v>
      </c>
      <c r="D4">
        <v>57</v>
      </c>
      <c r="E4">
        <v>199</v>
      </c>
    </row>
    <row r="5" spans="1:5" x14ac:dyDescent="0.25">
      <c r="A5" t="s">
        <v>6</v>
      </c>
      <c r="B5">
        <v>86</v>
      </c>
      <c r="C5">
        <v>44</v>
      </c>
      <c r="D5">
        <v>62</v>
      </c>
      <c r="E5">
        <v>192</v>
      </c>
    </row>
    <row r="6" spans="1:5" x14ac:dyDescent="0.25">
      <c r="A6" t="s">
        <v>7</v>
      </c>
      <c r="B6">
        <v>82</v>
      </c>
      <c r="C6">
        <v>49</v>
      </c>
      <c r="D6">
        <v>103</v>
      </c>
      <c r="E6">
        <v>234</v>
      </c>
    </row>
    <row r="7" spans="1:5" x14ac:dyDescent="0.25">
      <c r="A7" t="s">
        <v>8</v>
      </c>
      <c r="B7">
        <v>95</v>
      </c>
      <c r="C7">
        <v>45</v>
      </c>
      <c r="D7">
        <v>97</v>
      </c>
      <c r="E7">
        <v>238</v>
      </c>
    </row>
    <row r="8" spans="1:5" x14ac:dyDescent="0.25">
      <c r="A8" t="s">
        <v>9</v>
      </c>
      <c r="B8">
        <v>127</v>
      </c>
      <c r="C8">
        <v>48</v>
      </c>
      <c r="D8">
        <v>57</v>
      </c>
      <c r="E8">
        <v>232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31434-10C5-427C-91D5-69762E17E716}">
  <sheetPr>
    <tabColor theme="9" tint="0.39997558519241921"/>
  </sheetPr>
  <dimension ref="A1:P18"/>
  <sheetViews>
    <sheetView workbookViewId="0">
      <selection activeCell="K40" sqref="K40"/>
    </sheetView>
  </sheetViews>
  <sheetFormatPr defaultRowHeight="15" x14ac:dyDescent="0.25"/>
  <cols>
    <col min="1" max="1" width="7.28515625" bestFit="1" customWidth="1"/>
    <col min="2" max="2" width="42.85546875" bestFit="1" customWidth="1"/>
    <col min="3" max="3" width="21.85546875" bestFit="1" customWidth="1"/>
    <col min="4" max="4" width="25.85546875" bestFit="1" customWidth="1"/>
    <col min="5" max="5" width="38.140625" bestFit="1" customWidth="1"/>
    <col min="6" max="6" width="24.140625" bestFit="1" customWidth="1"/>
    <col min="7" max="7" width="30.28515625" bestFit="1" customWidth="1"/>
    <col min="8" max="8" width="28.5703125" bestFit="1" customWidth="1"/>
    <col min="9" max="9" width="28.140625" bestFit="1" customWidth="1"/>
    <col min="10" max="10" width="21.140625" bestFit="1" customWidth="1"/>
    <col min="11" max="11" width="20.7109375" bestFit="1" customWidth="1"/>
    <col min="12" max="12" width="19.5703125" bestFit="1" customWidth="1"/>
    <col min="13" max="13" width="13.85546875" bestFit="1" customWidth="1"/>
    <col min="14" max="14" width="12.5703125" bestFit="1" customWidth="1"/>
  </cols>
  <sheetData>
    <row r="1" spans="1:16" x14ac:dyDescent="0.25">
      <c r="A1" t="s">
        <v>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15</v>
      </c>
      <c r="M1" t="s">
        <v>91</v>
      </c>
      <c r="N1" t="s">
        <v>92</v>
      </c>
    </row>
    <row r="2" spans="1:16" x14ac:dyDescent="0.25">
      <c r="A2">
        <v>2017</v>
      </c>
      <c r="B2">
        <v>20358</v>
      </c>
      <c r="C2">
        <v>-15204</v>
      </c>
      <c r="D2">
        <v>5154</v>
      </c>
      <c r="E2">
        <v>-1343</v>
      </c>
      <c r="F2">
        <v>3811</v>
      </c>
      <c r="G2">
        <v>-155</v>
      </c>
      <c r="H2">
        <v>562</v>
      </c>
      <c r="I2">
        <v>-2939</v>
      </c>
      <c r="J2">
        <v>1251</v>
      </c>
      <c r="K2">
        <v>-231</v>
      </c>
      <c r="L2">
        <v>2299</v>
      </c>
      <c r="M2">
        <v>-774</v>
      </c>
      <c r="N2">
        <v>1525</v>
      </c>
      <c r="P2" s="1"/>
    </row>
    <row r="3" spans="1:16" x14ac:dyDescent="0.25">
      <c r="A3">
        <v>2018</v>
      </c>
      <c r="B3">
        <v>20526</v>
      </c>
      <c r="C3">
        <v>-16555</v>
      </c>
      <c r="D3">
        <v>3971</v>
      </c>
      <c r="E3">
        <v>-1380</v>
      </c>
      <c r="F3">
        <v>2591</v>
      </c>
      <c r="G3">
        <v>328</v>
      </c>
      <c r="H3">
        <v>1034</v>
      </c>
      <c r="I3">
        <v>-726</v>
      </c>
      <c r="J3">
        <v>11</v>
      </c>
      <c r="K3">
        <v>-772</v>
      </c>
      <c r="L3">
        <v>2466</v>
      </c>
      <c r="M3">
        <v>-808</v>
      </c>
      <c r="N3">
        <v>1658</v>
      </c>
      <c r="P3" s="1"/>
    </row>
    <row r="4" spans="1:16" x14ac:dyDescent="0.25">
      <c r="A4">
        <v>2019</v>
      </c>
      <c r="B4">
        <v>22723</v>
      </c>
      <c r="C4">
        <v>-18767</v>
      </c>
      <c r="D4">
        <v>3956</v>
      </c>
      <c r="E4">
        <v>-1501</v>
      </c>
      <c r="F4">
        <v>2455</v>
      </c>
      <c r="G4">
        <v>9</v>
      </c>
      <c r="H4">
        <v>809</v>
      </c>
      <c r="I4">
        <v>-623</v>
      </c>
      <c r="J4">
        <v>38</v>
      </c>
      <c r="K4">
        <v>-566</v>
      </c>
      <c r="L4">
        <v>2122</v>
      </c>
      <c r="M4">
        <v>-701</v>
      </c>
      <c r="N4">
        <v>1421</v>
      </c>
      <c r="P4" s="1"/>
    </row>
    <row r="5" spans="1:16" x14ac:dyDescent="0.25">
      <c r="A5">
        <v>2020</v>
      </c>
      <c r="B5">
        <v>23632</v>
      </c>
      <c r="C5">
        <v>-18981</v>
      </c>
      <c r="D5">
        <v>4651</v>
      </c>
      <c r="E5">
        <v>-1490</v>
      </c>
      <c r="F5">
        <v>3161</v>
      </c>
      <c r="G5">
        <v>247</v>
      </c>
      <c r="H5">
        <v>702</v>
      </c>
      <c r="I5">
        <v>-1326</v>
      </c>
      <c r="J5">
        <v>259</v>
      </c>
      <c r="K5">
        <v>-287</v>
      </c>
      <c r="L5">
        <v>2756</v>
      </c>
      <c r="M5">
        <v>-959</v>
      </c>
      <c r="N5">
        <v>1797</v>
      </c>
      <c r="P5" s="1"/>
    </row>
    <row r="6" spans="1:16" x14ac:dyDescent="0.25">
      <c r="A6">
        <v>2021</v>
      </c>
      <c r="B6">
        <v>29803</v>
      </c>
      <c r="C6">
        <v>-23529</v>
      </c>
      <c r="D6">
        <v>6274</v>
      </c>
      <c r="E6">
        <v>-1564</v>
      </c>
      <c r="F6">
        <v>4710</v>
      </c>
      <c r="G6">
        <v>2874</v>
      </c>
      <c r="H6">
        <v>1757</v>
      </c>
      <c r="I6">
        <v>-1046</v>
      </c>
      <c r="J6">
        <v>70</v>
      </c>
      <c r="K6">
        <v>-541</v>
      </c>
      <c r="L6">
        <v>7824</v>
      </c>
      <c r="M6">
        <v>-1669</v>
      </c>
      <c r="N6">
        <v>6155</v>
      </c>
      <c r="P6" s="1"/>
    </row>
    <row r="7" spans="1:16" x14ac:dyDescent="0.25">
      <c r="A7">
        <v>2022</v>
      </c>
      <c r="B7">
        <v>33847</v>
      </c>
      <c r="C7">
        <v>-27541</v>
      </c>
      <c r="D7">
        <v>6306</v>
      </c>
      <c r="E7">
        <v>-1962</v>
      </c>
      <c r="F7">
        <v>4344</v>
      </c>
      <c r="G7">
        <v>1455</v>
      </c>
      <c r="H7">
        <v>1881</v>
      </c>
      <c r="I7">
        <v>-919</v>
      </c>
      <c r="J7">
        <v>148</v>
      </c>
      <c r="K7">
        <v>-420</v>
      </c>
      <c r="L7">
        <v>6489</v>
      </c>
      <c r="M7">
        <v>-1715</v>
      </c>
      <c r="N7">
        <v>4774</v>
      </c>
      <c r="P7" s="1"/>
    </row>
    <row r="8" spans="1:16" x14ac:dyDescent="0.25">
      <c r="A8">
        <v>2023</v>
      </c>
      <c r="B8">
        <v>33467</v>
      </c>
      <c r="C8">
        <v>-32907</v>
      </c>
      <c r="D8">
        <v>560</v>
      </c>
      <c r="E8">
        <v>-2200</v>
      </c>
      <c r="F8">
        <v>-1640</v>
      </c>
      <c r="G8">
        <v>698</v>
      </c>
      <c r="H8">
        <v>906</v>
      </c>
      <c r="I8">
        <v>-3723</v>
      </c>
      <c r="J8">
        <v>529</v>
      </c>
      <c r="K8">
        <v>-370</v>
      </c>
      <c r="L8">
        <v>-3600</v>
      </c>
      <c r="M8">
        <v>-91</v>
      </c>
      <c r="N8">
        <v>-3691</v>
      </c>
      <c r="P8" s="1"/>
    </row>
    <row r="18" spans="16:16" x14ac:dyDescent="0.25">
      <c r="P18" t="s">
        <v>93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7EB70-D0E2-40C6-96E9-2808A44D2DFE}">
  <sheetPr>
    <tabColor theme="9" tint="-0.249977111117893"/>
  </sheetPr>
  <dimension ref="A1:P8"/>
  <sheetViews>
    <sheetView workbookViewId="0">
      <selection activeCell="D20" sqref="D20"/>
    </sheetView>
  </sheetViews>
  <sheetFormatPr defaultRowHeight="15" x14ac:dyDescent="0.25"/>
  <cols>
    <col min="1" max="1" width="7.28515625" bestFit="1" customWidth="1"/>
    <col min="2" max="2" width="11.140625" bestFit="1" customWidth="1"/>
    <col min="3" max="3" width="18.42578125" bestFit="1" customWidth="1"/>
    <col min="4" max="4" width="21.85546875" bestFit="1" customWidth="1"/>
    <col min="5" max="5" width="28" bestFit="1" customWidth="1"/>
    <col min="6" max="6" width="9.5703125" bestFit="1" customWidth="1"/>
    <col min="7" max="7" width="21" bestFit="1" customWidth="1"/>
    <col min="8" max="8" width="31.28515625" bestFit="1" customWidth="1"/>
    <col min="9" max="9" width="18.85546875" bestFit="1" customWidth="1"/>
    <col min="10" max="10" width="6.5703125" bestFit="1" customWidth="1"/>
    <col min="11" max="11" width="22.42578125" bestFit="1" customWidth="1"/>
    <col min="12" max="12" width="12.5703125" bestFit="1" customWidth="1"/>
    <col min="13" max="13" width="27.28515625" bestFit="1" customWidth="1"/>
    <col min="14" max="14" width="7" bestFit="1" customWidth="1"/>
    <col min="15" max="15" width="48.5703125" bestFit="1" customWidth="1"/>
    <col min="16" max="16" width="31.28515625" bestFit="1" customWidth="1"/>
  </cols>
  <sheetData>
    <row r="1" spans="1:16" x14ac:dyDescent="0.25">
      <c r="A1" t="s">
        <v>0</v>
      </c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  <c r="H1" t="s">
        <v>124</v>
      </c>
      <c r="I1" t="s">
        <v>125</v>
      </c>
      <c r="J1" t="s">
        <v>126</v>
      </c>
      <c r="K1" t="s">
        <v>127</v>
      </c>
      <c r="L1" t="s">
        <v>128</v>
      </c>
      <c r="M1" t="s">
        <v>129</v>
      </c>
      <c r="N1" t="s">
        <v>130</v>
      </c>
      <c r="O1" t="s">
        <v>131</v>
      </c>
      <c r="P1" t="s">
        <v>132</v>
      </c>
    </row>
    <row r="2" spans="1:16" x14ac:dyDescent="0.25">
      <c r="A2" t="s">
        <v>3</v>
      </c>
      <c r="B2">
        <v>453</v>
      </c>
      <c r="C2">
        <v>179</v>
      </c>
      <c r="D2">
        <v>-465</v>
      </c>
      <c r="E2">
        <v>-9</v>
      </c>
      <c r="F2">
        <v>158</v>
      </c>
      <c r="G2">
        <v>-3</v>
      </c>
      <c r="H2">
        <v>-47</v>
      </c>
      <c r="I2">
        <v>-13</v>
      </c>
      <c r="J2">
        <v>95</v>
      </c>
      <c r="K2">
        <v>-30</v>
      </c>
      <c r="L2">
        <v>65</v>
      </c>
      <c r="M2">
        <v>120</v>
      </c>
      <c r="N2">
        <v>111</v>
      </c>
      <c r="O2">
        <v>-29</v>
      </c>
      <c r="P2">
        <v>-436</v>
      </c>
    </row>
    <row r="3" spans="1:16" x14ac:dyDescent="0.25">
      <c r="A3" t="s">
        <v>4</v>
      </c>
      <c r="B3">
        <v>489</v>
      </c>
      <c r="C3">
        <v>194</v>
      </c>
      <c r="D3">
        <v>-505</v>
      </c>
      <c r="E3">
        <v>-13</v>
      </c>
      <c r="F3">
        <v>165</v>
      </c>
      <c r="G3">
        <v>-12</v>
      </c>
      <c r="H3">
        <v>-47</v>
      </c>
      <c r="I3">
        <v>-13</v>
      </c>
      <c r="J3">
        <v>93</v>
      </c>
      <c r="K3">
        <v>-27</v>
      </c>
      <c r="L3">
        <v>66</v>
      </c>
      <c r="M3">
        <v>134</v>
      </c>
      <c r="N3">
        <v>118</v>
      </c>
      <c r="O3">
        <v>-32</v>
      </c>
      <c r="P3">
        <v>-473</v>
      </c>
    </row>
    <row r="4" spans="1:16" x14ac:dyDescent="0.25">
      <c r="A4" t="s">
        <v>5</v>
      </c>
      <c r="B4">
        <v>525</v>
      </c>
      <c r="C4">
        <v>167</v>
      </c>
      <c r="D4">
        <v>-512</v>
      </c>
      <c r="E4">
        <v>-12</v>
      </c>
      <c r="F4">
        <v>168</v>
      </c>
      <c r="G4">
        <v>-14</v>
      </c>
      <c r="H4">
        <v>-50</v>
      </c>
      <c r="I4">
        <v>-14</v>
      </c>
      <c r="J4">
        <v>90</v>
      </c>
      <c r="K4">
        <v>-29</v>
      </c>
      <c r="L4">
        <v>61</v>
      </c>
      <c r="M4">
        <v>130</v>
      </c>
      <c r="N4">
        <v>118</v>
      </c>
      <c r="O4">
        <v>-32</v>
      </c>
      <c r="P4">
        <v>-480</v>
      </c>
    </row>
    <row r="5" spans="1:16" x14ac:dyDescent="0.25">
      <c r="A5" t="s">
        <v>6</v>
      </c>
      <c r="B5">
        <v>545</v>
      </c>
      <c r="C5">
        <v>112</v>
      </c>
      <c r="D5">
        <v>-471</v>
      </c>
      <c r="E5">
        <v>-11</v>
      </c>
      <c r="F5">
        <v>174</v>
      </c>
      <c r="G5">
        <v>-11</v>
      </c>
      <c r="H5">
        <v>-50</v>
      </c>
      <c r="I5">
        <v>-10</v>
      </c>
      <c r="J5">
        <v>103</v>
      </c>
      <c r="K5">
        <v>-32</v>
      </c>
      <c r="L5">
        <v>71</v>
      </c>
      <c r="M5">
        <v>142</v>
      </c>
      <c r="N5">
        <v>124</v>
      </c>
      <c r="O5">
        <v>-30</v>
      </c>
      <c r="P5">
        <v>-441</v>
      </c>
    </row>
    <row r="6" spans="1:16" x14ac:dyDescent="0.25">
      <c r="A6" t="s">
        <v>7</v>
      </c>
      <c r="B6">
        <v>719</v>
      </c>
      <c r="C6">
        <v>206</v>
      </c>
      <c r="D6">
        <v>-619</v>
      </c>
      <c r="E6">
        <v>-14</v>
      </c>
      <c r="F6">
        <v>292</v>
      </c>
      <c r="G6">
        <v>-6</v>
      </c>
      <c r="H6">
        <v>-52</v>
      </c>
      <c r="I6">
        <v>-7</v>
      </c>
      <c r="J6">
        <v>226</v>
      </c>
      <c r="K6">
        <v>-67</v>
      </c>
      <c r="L6">
        <v>159</v>
      </c>
      <c r="M6">
        <v>225</v>
      </c>
      <c r="N6">
        <v>240</v>
      </c>
      <c r="O6">
        <v>-39</v>
      </c>
      <c r="P6">
        <v>-580</v>
      </c>
    </row>
    <row r="7" spans="1:16" x14ac:dyDescent="0.25">
      <c r="A7" t="s">
        <v>8</v>
      </c>
      <c r="B7">
        <v>711</v>
      </c>
      <c r="C7">
        <v>232</v>
      </c>
      <c r="D7">
        <v>-655</v>
      </c>
      <c r="E7">
        <v>-15</v>
      </c>
      <c r="F7">
        <v>274</v>
      </c>
      <c r="G7">
        <v>-9</v>
      </c>
      <c r="H7">
        <v>-49</v>
      </c>
      <c r="I7">
        <v>-5</v>
      </c>
      <c r="J7">
        <v>211</v>
      </c>
      <c r="K7">
        <v>-57</v>
      </c>
      <c r="L7">
        <v>153</v>
      </c>
      <c r="M7">
        <v>180</v>
      </c>
      <c r="N7">
        <v>225</v>
      </c>
      <c r="O7">
        <v>-41</v>
      </c>
      <c r="P7">
        <v>-614</v>
      </c>
    </row>
    <row r="8" spans="1:16" x14ac:dyDescent="0.25">
      <c r="A8" t="s">
        <v>9</v>
      </c>
      <c r="B8">
        <v>667</v>
      </c>
      <c r="C8">
        <v>178</v>
      </c>
      <c r="D8">
        <v>-628</v>
      </c>
      <c r="E8">
        <v>0</v>
      </c>
      <c r="F8">
        <v>217</v>
      </c>
      <c r="G8">
        <v>-18</v>
      </c>
      <c r="H8">
        <v>-59</v>
      </c>
      <c r="I8">
        <v>-10</v>
      </c>
      <c r="J8">
        <v>130</v>
      </c>
      <c r="K8">
        <v>-40</v>
      </c>
      <c r="L8">
        <v>90</v>
      </c>
      <c r="M8">
        <v>132</v>
      </c>
      <c r="N8">
        <v>158</v>
      </c>
      <c r="O8">
        <v>-39</v>
      </c>
      <c r="P8">
        <v>-589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98D40-2A27-4681-9AA5-759786A73A50}">
  <sheetPr>
    <tabColor theme="7" tint="0.39997558519241921"/>
  </sheetPr>
  <dimension ref="A1:W8"/>
  <sheetViews>
    <sheetView workbookViewId="0">
      <selection activeCell="D33" sqref="D33"/>
    </sheetView>
  </sheetViews>
  <sheetFormatPr defaultRowHeight="15" x14ac:dyDescent="0.25"/>
  <cols>
    <col min="1" max="1" width="7.42578125" bestFit="1" customWidth="1"/>
    <col min="2" max="2" width="19.7109375" bestFit="1" customWidth="1"/>
    <col min="3" max="3" width="33" bestFit="1" customWidth="1"/>
    <col min="4" max="4" width="77.28515625" bestFit="1" customWidth="1"/>
    <col min="5" max="5" width="70.42578125" bestFit="1" customWidth="1"/>
    <col min="6" max="6" width="47" bestFit="1" customWidth="1"/>
    <col min="7" max="7" width="16.7109375" bestFit="1" customWidth="1"/>
    <col min="8" max="8" width="44.28515625" bestFit="1" customWidth="1"/>
    <col min="9" max="9" width="43.7109375" bestFit="1" customWidth="1"/>
    <col min="10" max="10" width="35.140625" bestFit="1" customWidth="1"/>
    <col min="11" max="11" width="37.140625" bestFit="1" customWidth="1"/>
    <col min="12" max="12" width="61.28515625" bestFit="1" customWidth="1"/>
    <col min="13" max="13" width="26.5703125" bestFit="1" customWidth="1"/>
    <col min="14" max="14" width="81.140625" bestFit="1" customWidth="1"/>
    <col min="15" max="15" width="77.85546875" bestFit="1" customWidth="1"/>
    <col min="16" max="16" width="44.85546875" bestFit="1" customWidth="1"/>
    <col min="17" max="17" width="81.140625" bestFit="1" customWidth="1"/>
    <col min="18" max="18" width="21.140625" bestFit="1" customWidth="1"/>
    <col min="19" max="19" width="42.140625" bestFit="1" customWidth="1"/>
    <col min="20" max="20" width="19" bestFit="1" customWidth="1"/>
    <col min="21" max="21" width="38.42578125" bestFit="1" customWidth="1"/>
    <col min="22" max="22" width="53.28515625" bestFit="1" customWidth="1"/>
    <col min="23" max="23" width="43.7109375" bestFit="1" customWidth="1"/>
  </cols>
  <sheetData>
    <row r="1" spans="1:23" x14ac:dyDescent="0.25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</row>
    <row r="2" spans="1:23" x14ac:dyDescent="0.25">
      <c r="A2">
        <v>2017</v>
      </c>
      <c r="B2">
        <v>2299</v>
      </c>
      <c r="C2">
        <v>1609</v>
      </c>
      <c r="D2">
        <v>474</v>
      </c>
      <c r="E2">
        <v>0</v>
      </c>
      <c r="F2">
        <v>-319</v>
      </c>
      <c r="G2">
        <v>148</v>
      </c>
      <c r="H2">
        <v>503</v>
      </c>
      <c r="I2">
        <v>0</v>
      </c>
      <c r="J2">
        <v>0</v>
      </c>
      <c r="K2">
        <v>210</v>
      </c>
      <c r="L2">
        <v>1461</v>
      </c>
      <c r="M2">
        <v>-1251</v>
      </c>
      <c r="N2">
        <v>-25</v>
      </c>
      <c r="O2">
        <v>0</v>
      </c>
      <c r="P2">
        <v>202</v>
      </c>
      <c r="Q2">
        <v>0</v>
      </c>
      <c r="R2">
        <v>-68</v>
      </c>
      <c r="S2">
        <v>2734</v>
      </c>
      <c r="T2">
        <v>-983</v>
      </c>
      <c r="U2">
        <v>-996</v>
      </c>
      <c r="V2">
        <v>0</v>
      </c>
      <c r="W2">
        <v>3054</v>
      </c>
    </row>
    <row r="3" spans="1:23" x14ac:dyDescent="0.25">
      <c r="A3">
        <v>2018</v>
      </c>
      <c r="B3">
        <v>2466</v>
      </c>
      <c r="C3">
        <v>1796</v>
      </c>
      <c r="D3">
        <v>662</v>
      </c>
      <c r="E3">
        <v>-733</v>
      </c>
      <c r="F3">
        <v>-257</v>
      </c>
      <c r="G3">
        <v>109</v>
      </c>
      <c r="H3">
        <v>69</v>
      </c>
      <c r="I3">
        <v>0</v>
      </c>
      <c r="J3">
        <v>0</v>
      </c>
      <c r="K3">
        <v>-36</v>
      </c>
      <c r="L3">
        <v>593</v>
      </c>
      <c r="M3">
        <v>-629</v>
      </c>
      <c r="N3">
        <v>244</v>
      </c>
      <c r="O3">
        <v>0</v>
      </c>
      <c r="P3">
        <v>-121</v>
      </c>
      <c r="Q3">
        <v>0</v>
      </c>
      <c r="R3">
        <v>62</v>
      </c>
      <c r="S3">
        <v>1795</v>
      </c>
      <c r="T3">
        <v>-802</v>
      </c>
      <c r="U3">
        <v>367</v>
      </c>
      <c r="V3">
        <v>0</v>
      </c>
      <c r="W3">
        <v>3826</v>
      </c>
    </row>
    <row r="4" spans="1:23" x14ac:dyDescent="0.25">
      <c r="A4">
        <v>2019</v>
      </c>
      <c r="B4">
        <v>2122</v>
      </c>
      <c r="C4">
        <v>1920</v>
      </c>
      <c r="D4">
        <v>438</v>
      </c>
      <c r="E4">
        <v>-106</v>
      </c>
      <c r="F4">
        <v>-341</v>
      </c>
      <c r="G4">
        <v>244</v>
      </c>
      <c r="H4">
        <v>51</v>
      </c>
      <c r="I4">
        <v>0</v>
      </c>
      <c r="J4">
        <v>0</v>
      </c>
      <c r="K4">
        <v>184</v>
      </c>
      <c r="L4">
        <v>-29</v>
      </c>
      <c r="M4">
        <v>213</v>
      </c>
      <c r="N4">
        <v>114</v>
      </c>
      <c r="O4">
        <v>-176</v>
      </c>
      <c r="P4">
        <v>-31</v>
      </c>
      <c r="Q4">
        <v>-86</v>
      </c>
      <c r="R4">
        <v>2</v>
      </c>
      <c r="S4">
        <v>2213</v>
      </c>
      <c r="T4">
        <v>-410</v>
      </c>
      <c r="U4">
        <v>1123</v>
      </c>
      <c r="V4">
        <v>595</v>
      </c>
      <c r="W4">
        <v>5048</v>
      </c>
    </row>
    <row r="5" spans="1:23" x14ac:dyDescent="0.25">
      <c r="A5">
        <v>2020</v>
      </c>
      <c r="B5">
        <v>2756</v>
      </c>
      <c r="C5">
        <v>1963</v>
      </c>
      <c r="D5">
        <v>204</v>
      </c>
      <c r="E5">
        <v>-74</v>
      </c>
      <c r="F5">
        <v>-377</v>
      </c>
      <c r="G5">
        <v>159</v>
      </c>
      <c r="H5">
        <v>239</v>
      </c>
      <c r="I5">
        <v>0</v>
      </c>
      <c r="J5">
        <v>0</v>
      </c>
      <c r="K5">
        <v>-101</v>
      </c>
      <c r="L5">
        <v>87</v>
      </c>
      <c r="M5">
        <v>-188</v>
      </c>
      <c r="N5">
        <v>0</v>
      </c>
      <c r="O5">
        <v>584</v>
      </c>
      <c r="P5">
        <v>-171</v>
      </c>
      <c r="Q5">
        <v>-42</v>
      </c>
      <c r="R5">
        <v>11</v>
      </c>
      <c r="S5">
        <v>2395</v>
      </c>
      <c r="T5">
        <v>-667</v>
      </c>
      <c r="U5">
        <v>1172</v>
      </c>
      <c r="V5">
        <v>652</v>
      </c>
      <c r="W5">
        <v>5656</v>
      </c>
    </row>
    <row r="6" spans="1:23" x14ac:dyDescent="0.25">
      <c r="A6">
        <v>2021</v>
      </c>
      <c r="B6">
        <v>7824</v>
      </c>
      <c r="C6">
        <v>2123</v>
      </c>
      <c r="D6">
        <v>0</v>
      </c>
      <c r="E6">
        <v>-2380</v>
      </c>
      <c r="F6">
        <v>-494</v>
      </c>
      <c r="G6">
        <v>120</v>
      </c>
      <c r="H6">
        <v>334</v>
      </c>
      <c r="I6">
        <v>-58</v>
      </c>
      <c r="J6">
        <v>0</v>
      </c>
      <c r="K6">
        <v>-446</v>
      </c>
      <c r="L6">
        <v>-744</v>
      </c>
      <c r="M6">
        <v>298</v>
      </c>
      <c r="N6">
        <v>30</v>
      </c>
      <c r="O6">
        <v>610</v>
      </c>
      <c r="P6">
        <v>-1921</v>
      </c>
      <c r="Q6">
        <v>2030</v>
      </c>
      <c r="R6">
        <v>1</v>
      </c>
      <c r="S6">
        <v>-51</v>
      </c>
      <c r="T6">
        <v>-740</v>
      </c>
      <c r="U6">
        <v>-2767</v>
      </c>
      <c r="V6">
        <v>-1114</v>
      </c>
      <c r="W6">
        <v>4266</v>
      </c>
    </row>
    <row r="7" spans="1:23" x14ac:dyDescent="0.25">
      <c r="A7">
        <v>2022</v>
      </c>
      <c r="B7">
        <v>6489</v>
      </c>
      <c r="C7">
        <v>2239</v>
      </c>
      <c r="D7">
        <v>0</v>
      </c>
      <c r="E7">
        <v>-873</v>
      </c>
      <c r="F7">
        <v>-582</v>
      </c>
      <c r="G7">
        <v>30</v>
      </c>
      <c r="H7">
        <v>144</v>
      </c>
      <c r="I7">
        <v>-108</v>
      </c>
      <c r="J7">
        <v>-180</v>
      </c>
      <c r="K7">
        <v>-661</v>
      </c>
      <c r="L7">
        <v>-838</v>
      </c>
      <c r="M7">
        <v>177</v>
      </c>
      <c r="N7">
        <v>-56</v>
      </c>
      <c r="O7">
        <v>-133</v>
      </c>
      <c r="P7">
        <v>-353</v>
      </c>
      <c r="Q7">
        <v>492</v>
      </c>
      <c r="R7">
        <v>29</v>
      </c>
      <c r="S7">
        <v>-12</v>
      </c>
      <c r="T7">
        <v>-1696</v>
      </c>
      <c r="U7">
        <v>-2317</v>
      </c>
      <c r="V7">
        <v>-77</v>
      </c>
      <c r="W7">
        <v>2464</v>
      </c>
    </row>
    <row r="8" spans="1:23" x14ac:dyDescent="0.25">
      <c r="A8">
        <v>2023</v>
      </c>
      <c r="B8">
        <v>-3600</v>
      </c>
      <c r="C8">
        <v>2311</v>
      </c>
      <c r="D8">
        <v>0</v>
      </c>
      <c r="E8">
        <v>-101</v>
      </c>
      <c r="F8">
        <v>-597</v>
      </c>
      <c r="G8">
        <v>97</v>
      </c>
      <c r="H8">
        <v>3980</v>
      </c>
      <c r="I8">
        <v>21</v>
      </c>
      <c r="J8">
        <v>-1</v>
      </c>
      <c r="K8">
        <v>958</v>
      </c>
      <c r="L8">
        <v>1314</v>
      </c>
      <c r="M8">
        <v>-356</v>
      </c>
      <c r="N8">
        <v>464</v>
      </c>
      <c r="O8">
        <v>-222</v>
      </c>
      <c r="P8">
        <v>906</v>
      </c>
      <c r="Q8">
        <v>-285</v>
      </c>
      <c r="R8">
        <v>31</v>
      </c>
      <c r="S8">
        <v>7562</v>
      </c>
      <c r="T8">
        <v>-1646</v>
      </c>
      <c r="U8">
        <v>3735</v>
      </c>
      <c r="V8">
        <v>2868</v>
      </c>
      <c r="W8">
        <v>6051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1BA6A-3E4A-47C4-AA8F-77F3996B07AD}">
  <sheetPr>
    <tabColor theme="7" tint="0.39997558519241921"/>
  </sheetPr>
  <dimension ref="A1:H8"/>
  <sheetViews>
    <sheetView workbookViewId="0">
      <selection activeCell="D29" sqref="D29"/>
    </sheetView>
  </sheetViews>
  <sheetFormatPr defaultRowHeight="15" x14ac:dyDescent="0.25"/>
  <cols>
    <col min="1" max="1" width="7.28515625" bestFit="1" customWidth="1"/>
    <col min="2" max="2" width="58.85546875" bestFit="1" customWidth="1"/>
    <col min="3" max="3" width="68.85546875" bestFit="1" customWidth="1"/>
    <col min="4" max="4" width="43.42578125" bestFit="1" customWidth="1"/>
    <col min="5" max="5" width="18.28515625" bestFit="1" customWidth="1"/>
    <col min="6" max="6" width="17.5703125" bestFit="1" customWidth="1"/>
    <col min="7" max="7" width="9.85546875" bestFit="1" customWidth="1"/>
    <col min="8" max="8" width="38.42578125" bestFit="1" customWidth="1"/>
  </cols>
  <sheetData>
    <row r="1" spans="1:8" x14ac:dyDescent="0.25">
      <c r="A1" t="s">
        <v>0</v>
      </c>
      <c r="B1" t="s">
        <v>10</v>
      </c>
      <c r="C1" t="s">
        <v>11</v>
      </c>
      <c r="D1" t="s">
        <v>12</v>
      </c>
      <c r="E1" t="s">
        <v>1</v>
      </c>
      <c r="F1" t="s">
        <v>2</v>
      </c>
      <c r="G1" t="s">
        <v>13</v>
      </c>
      <c r="H1" t="s">
        <v>14</v>
      </c>
    </row>
    <row r="2" spans="1:8" x14ac:dyDescent="0.25">
      <c r="A2">
        <v>2017</v>
      </c>
      <c r="B2">
        <v>-2527</v>
      </c>
      <c r="C2">
        <v>-269</v>
      </c>
      <c r="D2">
        <v>-461</v>
      </c>
      <c r="E2">
        <v>-123</v>
      </c>
      <c r="F2">
        <v>-3380</v>
      </c>
      <c r="G2">
        <v>40</v>
      </c>
      <c r="H2">
        <v>-3340</v>
      </c>
    </row>
    <row r="3" spans="1:8" x14ac:dyDescent="0.25">
      <c r="A3">
        <v>2018</v>
      </c>
      <c r="B3">
        <v>-2609</v>
      </c>
      <c r="C3">
        <v>-266</v>
      </c>
      <c r="D3">
        <v>-666</v>
      </c>
      <c r="E3">
        <v>-83</v>
      </c>
      <c r="F3">
        <v>-3624</v>
      </c>
      <c r="G3">
        <v>85</v>
      </c>
      <c r="H3">
        <v>-3539</v>
      </c>
    </row>
    <row r="4" spans="1:8" x14ac:dyDescent="0.25">
      <c r="A4">
        <v>2019</v>
      </c>
      <c r="B4">
        <v>-2872</v>
      </c>
      <c r="C4">
        <v>-360</v>
      </c>
      <c r="D4">
        <v>-439</v>
      </c>
      <c r="E4">
        <v>-307</v>
      </c>
      <c r="F4">
        <v>-3978</v>
      </c>
      <c r="G4">
        <v>335</v>
      </c>
      <c r="H4">
        <v>-3643</v>
      </c>
    </row>
    <row r="5" spans="1:8" x14ac:dyDescent="0.25">
      <c r="A5">
        <v>2020</v>
      </c>
      <c r="B5">
        <v>-3060</v>
      </c>
      <c r="C5">
        <v>-397</v>
      </c>
      <c r="D5">
        <v>-207</v>
      </c>
      <c r="E5">
        <v>-8</v>
      </c>
      <c r="F5">
        <v>-3672</v>
      </c>
      <c r="G5">
        <v>11</v>
      </c>
      <c r="H5">
        <v>-3661</v>
      </c>
    </row>
    <row r="6" spans="1:8" x14ac:dyDescent="0.25">
      <c r="A6">
        <v>2021</v>
      </c>
      <c r="B6">
        <v>-3383</v>
      </c>
      <c r="C6">
        <v>-507</v>
      </c>
      <c r="D6">
        <v>0</v>
      </c>
      <c r="E6">
        <v>-46</v>
      </c>
      <c r="F6">
        <v>-3936</v>
      </c>
      <c r="G6">
        <v>1410</v>
      </c>
      <c r="H6">
        <v>-2526</v>
      </c>
    </row>
    <row r="7" spans="1:8" x14ac:dyDescent="0.25">
      <c r="A7">
        <v>2022</v>
      </c>
      <c r="B7">
        <v>-3678</v>
      </c>
      <c r="C7">
        <v>-440</v>
      </c>
      <c r="D7">
        <v>0</v>
      </c>
      <c r="E7">
        <v>-29</v>
      </c>
      <c r="F7">
        <v>-4147</v>
      </c>
      <c r="G7">
        <v>1452</v>
      </c>
      <c r="H7">
        <v>-2695</v>
      </c>
    </row>
    <row r="8" spans="1:8" x14ac:dyDescent="0.25">
      <c r="A8">
        <v>2023</v>
      </c>
      <c r="B8">
        <v>-4112</v>
      </c>
      <c r="C8">
        <v>-664</v>
      </c>
      <c r="D8">
        <v>0</v>
      </c>
      <c r="E8">
        <v>-229</v>
      </c>
      <c r="F8">
        <v>-5005</v>
      </c>
      <c r="G8">
        <v>207</v>
      </c>
      <c r="H8">
        <v>-4798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38688-0E60-41A6-A422-BDE785938AA6}">
  <sheetPr>
    <tabColor theme="7" tint="0.39997558519241921"/>
  </sheetPr>
  <dimension ref="A1:J8"/>
  <sheetViews>
    <sheetView topLeftCell="B1" workbookViewId="0">
      <selection activeCell="B1" sqref="B1"/>
    </sheetView>
  </sheetViews>
  <sheetFormatPr defaultRowHeight="15" x14ac:dyDescent="0.25"/>
  <cols>
    <col min="1" max="1" width="7.28515625" bestFit="1" customWidth="1"/>
    <col min="2" max="2" width="26.85546875" bestFit="1" customWidth="1"/>
    <col min="3" max="3" width="16.140625" bestFit="1" customWidth="1"/>
    <col min="4" max="4" width="15.42578125" bestFit="1" customWidth="1"/>
    <col min="5" max="5" width="29.140625" bestFit="1" customWidth="1"/>
    <col min="6" max="6" width="35.28515625" bestFit="1" customWidth="1"/>
    <col min="7" max="7" width="42.7109375" bestFit="1" customWidth="1"/>
    <col min="8" max="8" width="18.28515625" bestFit="1" customWidth="1"/>
    <col min="9" max="9" width="17.5703125" bestFit="1" customWidth="1"/>
    <col min="10" max="10" width="43.140625" bestFit="1" customWidth="1"/>
    <col min="11" max="11" width="43.42578125" bestFit="1" customWidth="1"/>
    <col min="12" max="12" width="18.28515625" bestFit="1" customWidth="1"/>
    <col min="13" max="13" width="17.5703125" bestFit="1" customWidth="1"/>
    <col min="14" max="14" width="9.85546875" bestFit="1" customWidth="1"/>
    <col min="15" max="15" width="38.42578125" bestFit="1" customWidth="1"/>
    <col min="16" max="16" width="14.5703125" bestFit="1" customWidth="1"/>
    <col min="17" max="17" width="27.7109375" bestFit="1" customWidth="1"/>
    <col min="18" max="18" width="33.42578125" bestFit="1" customWidth="1"/>
    <col min="19" max="19" width="40.42578125" bestFit="1" customWidth="1"/>
    <col min="20" max="20" width="17.42578125" bestFit="1" customWidth="1"/>
    <col min="21" max="21" width="16.85546875" bestFit="1" customWidth="1"/>
    <col min="22" max="22" width="40.5703125" bestFit="1" customWidth="1"/>
    <col min="23" max="23" width="10.7109375" bestFit="1" customWidth="1"/>
    <col min="24" max="24" width="22.7109375" bestFit="1" customWidth="1"/>
    <col min="25" max="25" width="12.7109375" bestFit="1" customWidth="1"/>
    <col min="26" max="26" width="12.28515625" bestFit="1" customWidth="1"/>
    <col min="27" max="27" width="24.7109375" bestFit="1" customWidth="1"/>
    <col min="28" max="28" width="30.140625" bestFit="1" customWidth="1"/>
    <col min="29" max="29" width="37.140625" bestFit="1" customWidth="1"/>
    <col min="30" max="30" width="14.7109375" bestFit="1" customWidth="1"/>
    <col min="31" max="31" width="14.28515625" bestFit="1" customWidth="1"/>
    <col min="32" max="32" width="37.28515625" bestFit="1" customWidth="1"/>
  </cols>
  <sheetData>
    <row r="1" spans="1:10" x14ac:dyDescent="0.25">
      <c r="A1" t="s">
        <v>0</v>
      </c>
      <c r="B1" t="s">
        <v>232</v>
      </c>
      <c r="C1" t="s">
        <v>233</v>
      </c>
      <c r="D1" t="s">
        <v>234</v>
      </c>
      <c r="E1" t="s">
        <v>235</v>
      </c>
      <c r="F1" t="s">
        <v>236</v>
      </c>
      <c r="G1" t="s">
        <v>237</v>
      </c>
      <c r="H1" t="s">
        <v>1</v>
      </c>
      <c r="I1" t="s">
        <v>2</v>
      </c>
      <c r="J1" t="s">
        <v>238</v>
      </c>
    </row>
    <row r="2" spans="1:10" x14ac:dyDescent="0.25">
      <c r="A2">
        <v>2017</v>
      </c>
      <c r="B2">
        <v>2442</v>
      </c>
      <c r="C2">
        <v>6</v>
      </c>
      <c r="D2">
        <v>2448</v>
      </c>
      <c r="E2">
        <v>-2072</v>
      </c>
      <c r="F2">
        <v>-200</v>
      </c>
      <c r="G2">
        <v>-157</v>
      </c>
      <c r="H2">
        <v>-1</v>
      </c>
      <c r="I2">
        <v>-2430</v>
      </c>
      <c r="J2">
        <v>18</v>
      </c>
    </row>
    <row r="3" spans="1:10" x14ac:dyDescent="0.25">
      <c r="A3">
        <v>2018</v>
      </c>
      <c r="B3">
        <v>2276</v>
      </c>
      <c r="C3">
        <v>19</v>
      </c>
      <c r="D3">
        <v>2295</v>
      </c>
      <c r="E3">
        <v>-2110</v>
      </c>
      <c r="F3">
        <v>0</v>
      </c>
      <c r="G3">
        <v>-119</v>
      </c>
      <c r="H3">
        <v>0</v>
      </c>
      <c r="I3">
        <v>-2229</v>
      </c>
      <c r="J3">
        <v>66</v>
      </c>
    </row>
    <row r="4" spans="1:10" x14ac:dyDescent="0.25">
      <c r="A4">
        <v>2019</v>
      </c>
      <c r="B4">
        <v>6730</v>
      </c>
      <c r="C4">
        <v>0</v>
      </c>
      <c r="D4">
        <v>6730</v>
      </c>
      <c r="E4">
        <v>-7798</v>
      </c>
      <c r="F4">
        <v>0</v>
      </c>
      <c r="G4">
        <v>-239</v>
      </c>
      <c r="H4">
        <v>-1</v>
      </c>
      <c r="I4">
        <v>-8038</v>
      </c>
      <c r="J4">
        <v>-1308</v>
      </c>
    </row>
    <row r="5" spans="1:10" x14ac:dyDescent="0.25">
      <c r="A5">
        <v>2020</v>
      </c>
      <c r="B5">
        <v>4247</v>
      </c>
      <c r="C5">
        <v>52</v>
      </c>
      <c r="D5">
        <v>4299</v>
      </c>
      <c r="E5">
        <v>-4610</v>
      </c>
      <c r="F5">
        <v>0</v>
      </c>
      <c r="G5">
        <v>-177</v>
      </c>
      <c r="H5">
        <v>-60</v>
      </c>
      <c r="I5">
        <v>-4847</v>
      </c>
      <c r="J5">
        <v>-548</v>
      </c>
    </row>
    <row r="6" spans="1:10" x14ac:dyDescent="0.25">
      <c r="A6">
        <v>2021</v>
      </c>
      <c r="B6">
        <v>358</v>
      </c>
      <c r="C6">
        <v>36</v>
      </c>
      <c r="D6">
        <v>394</v>
      </c>
      <c r="E6">
        <v>-2145</v>
      </c>
      <c r="F6">
        <v>-300</v>
      </c>
      <c r="G6">
        <v>-94</v>
      </c>
      <c r="H6">
        <v>-55</v>
      </c>
      <c r="I6">
        <v>-2594</v>
      </c>
      <c r="J6">
        <v>-2200</v>
      </c>
    </row>
    <row r="7" spans="1:10" x14ac:dyDescent="0.25">
      <c r="A7">
        <v>2022</v>
      </c>
      <c r="B7">
        <v>677</v>
      </c>
      <c r="C7">
        <v>130</v>
      </c>
      <c r="D7">
        <v>807</v>
      </c>
      <c r="E7">
        <v>-484</v>
      </c>
      <c r="F7">
        <v>-600</v>
      </c>
      <c r="G7">
        <v>-92</v>
      </c>
      <c r="H7">
        <v>-77</v>
      </c>
      <c r="I7">
        <v>-1253</v>
      </c>
      <c r="J7">
        <v>-446</v>
      </c>
    </row>
    <row r="8" spans="1:10" x14ac:dyDescent="0.25">
      <c r="A8">
        <v>2023</v>
      </c>
      <c r="B8">
        <v>1673</v>
      </c>
      <c r="C8">
        <v>70</v>
      </c>
      <c r="D8">
        <v>1743</v>
      </c>
      <c r="E8">
        <v>-2134</v>
      </c>
      <c r="F8">
        <v>-200</v>
      </c>
      <c r="G8">
        <v>-81</v>
      </c>
      <c r="H8">
        <v>-75</v>
      </c>
      <c r="I8">
        <v>-2490</v>
      </c>
      <c r="J8">
        <v>-747</v>
      </c>
    </row>
  </sheetData>
  <phoneticPr fontId="15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F15C3B3-CB8A-4465-A119-591AA6D1C6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17</vt:i4>
      </vt:variant>
      <vt:variant>
        <vt:lpstr>Nazwane zakresy</vt:lpstr>
      </vt:variant>
      <vt:variant>
        <vt:i4>2</vt:i4>
      </vt:variant>
    </vt:vector>
  </HeadingPairs>
  <TitlesOfParts>
    <vt:vector size="19" baseType="lpstr">
      <vt:lpstr>Dashboard</vt:lpstr>
      <vt:lpstr>Ratios</vt:lpstr>
      <vt:lpstr>Forecast</vt:lpstr>
      <vt:lpstr>Non_current_assets</vt:lpstr>
      <vt:lpstr>Current_Assets</vt:lpstr>
      <vt:lpstr>Top40_Non_Current_Assets</vt:lpstr>
      <vt:lpstr>Top40_Current_Assets</vt:lpstr>
      <vt:lpstr>Equity</vt:lpstr>
      <vt:lpstr>Long_term_liabilities</vt:lpstr>
      <vt:lpstr>Short_term_liabilities</vt:lpstr>
      <vt:lpstr>Top40_Long_liabilities_and_Equi</vt:lpstr>
      <vt:lpstr>Top40_Short_Liabilities</vt:lpstr>
      <vt:lpstr>P&amp;L</vt:lpstr>
      <vt:lpstr>Top40_P&amp;L_CF</vt:lpstr>
      <vt:lpstr>cash_flow_operating</vt:lpstr>
      <vt:lpstr>cash_flow_invest</vt:lpstr>
      <vt:lpstr>cash_flow_financing</vt:lpstr>
      <vt:lpstr>Activity_Ratios</vt:lpstr>
      <vt:lpstr>Liquidity_Ratio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Rybiński</dc:creator>
  <cp:lastModifiedBy>Adrian Rybiński</cp:lastModifiedBy>
  <dcterms:created xsi:type="dcterms:W3CDTF">2015-06-05T18:17:20Z</dcterms:created>
  <dcterms:modified xsi:type="dcterms:W3CDTF">2024-08-20T19:33:22Z</dcterms:modified>
</cp:coreProperties>
</file>