
<file path=[Content_Types].xml><?xml version="1.0" encoding="utf-8"?>
<Types xmlns="http://schemas.openxmlformats.org/package/2006/content-types">
  <Default Extension="bin" ContentType="application/vnd.openxmlformats-officedocument.oleObjec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rinterSettings/printerSettings1.bin" ContentType="application/vnd.openxmlformats-officedocument.spreadsheetml.printerSettings"/>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8b2a3064fd7c1714/Pulpit/"/>
    </mc:Choice>
  </mc:AlternateContent>
  <xr:revisionPtr revIDLastSave="188" documentId="8_{741BC07F-2F80-472C-8B4C-3794A192B83E}" xr6:coauthVersionLast="47" xr6:coauthVersionMax="47" xr10:uidLastSave="{FB68D52B-B240-47E3-8C01-8CAF9B07C209}"/>
  <bookViews>
    <workbookView xWindow="-120" yWindow="-120" windowWidth="38640" windowHeight="21120" tabRatio="934" firstSheet="2" activeTab="4" xr2:uid="{2FC19580-198F-4A93-8694-BA9F40429AFB}"/>
  </bookViews>
  <sheets>
    <sheet name="Data" sheetId="1" state="hidden" r:id="rId1"/>
    <sheet name="Dane surowe" sheetId="10" state="hidden" r:id="rId2"/>
    <sheet name="Miernik bezwzorcowy, różne wagi" sheetId="7" r:id="rId3"/>
    <sheet name="TOPSIS" sheetId="8" r:id="rId4"/>
    <sheet name="Zestawienie mierników synt." sheetId="9" r:id="rId5"/>
    <sheet name="arkusz do statistica" sheetId="11" state="hidden" r:id="rId6"/>
    <sheet name="metody aglomeracyjne" sheetId="14" r:id="rId7"/>
    <sheet name="MJG k = 4" sheetId="25" r:id="rId8"/>
    <sheet name="MJG k = 5" sheetId="26" r:id="rId9"/>
    <sheet name="Opis skupień" sheetId="16" r:id="rId10"/>
    <sheet name="Test Levene'a" sheetId="17" r:id="rId11"/>
    <sheet name="Histogramy Shapiro Wilka" sheetId="15" r:id="rId12"/>
    <sheet name="ANOVA vs KW" sheetId="27" r:id="rId13"/>
    <sheet name="KW statistica" sheetId="19" r:id="rId14"/>
    <sheet name="Test KW " sheetId="21" r:id="rId15"/>
    <sheet name="Test ANOVA" sheetId="22" r:id="rId16"/>
    <sheet name="Metadata - Countries" sheetId="2" state="hidden" r:id="rId17"/>
    <sheet name="Metadata - Indicators" sheetId="3" state="hidden" r:id="rId18"/>
  </sheets>
  <definedNames>
    <definedName name="_xlnm._FilterDatabase" localSheetId="0" hidden="1">Data!$A$4:$F$270</definedName>
    <definedName name="_xlnm._FilterDatabase" localSheetId="2" hidden="1">'Miernik bezwzorcowy, różne wagi'!$C$149:$D$177</definedName>
    <definedName name="_xlnm._FilterDatabase" localSheetId="9" hidden="1">'Opis skupień'!$A$32:$K$60</definedName>
    <definedName name="_xlnm._FilterDatabase" localSheetId="15" hidden="1">'Test ANOVA'!$A$1:$F$29</definedName>
    <definedName name="_xlnm._FilterDatabase" localSheetId="3" hidden="1">TOPSIS!$D$123:$E$151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15" i="7" l="1"/>
  <c r="A89" i="8"/>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38" i="8"/>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117" i="7"/>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83" i="7"/>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43" i="7"/>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I78" i="16" l="1"/>
  <c r="D79" i="16"/>
  <c r="G79" i="16"/>
  <c r="H79" i="16"/>
  <c r="I80" i="16"/>
  <c r="D81" i="16"/>
  <c r="E81" i="16"/>
  <c r="F81" i="16"/>
  <c r="G82" i="16"/>
  <c r="C80" i="16"/>
  <c r="D77" i="16"/>
  <c r="D82" i="16" s="1"/>
  <c r="E77" i="16"/>
  <c r="E82" i="16" s="1"/>
  <c r="F77" i="16"/>
  <c r="F82" i="16" s="1"/>
  <c r="G77" i="16"/>
  <c r="H77" i="16"/>
  <c r="H82" i="16" s="1"/>
  <c r="I77" i="16"/>
  <c r="I82" i="16" s="1"/>
  <c r="J77" i="16"/>
  <c r="J82" i="16" s="1"/>
  <c r="C77" i="16"/>
  <c r="C82" i="16" s="1"/>
  <c r="D76" i="16"/>
  <c r="E76" i="16"/>
  <c r="F76" i="16"/>
  <c r="G76" i="16"/>
  <c r="G81" i="16" s="1"/>
  <c r="H76" i="16"/>
  <c r="H81" i="16" s="1"/>
  <c r="I76" i="16"/>
  <c r="I81" i="16" s="1"/>
  <c r="J76" i="16"/>
  <c r="J81" i="16" s="1"/>
  <c r="C76" i="16"/>
  <c r="C81" i="16" s="1"/>
  <c r="D75" i="16"/>
  <c r="D80" i="16" s="1"/>
  <c r="E75" i="16"/>
  <c r="E80" i="16" s="1"/>
  <c r="F75" i="16"/>
  <c r="F80" i="16" s="1"/>
  <c r="G75" i="16"/>
  <c r="G80" i="16" s="1"/>
  <c r="H75" i="16"/>
  <c r="I75" i="16"/>
  <c r="J75" i="16"/>
  <c r="C75" i="16"/>
  <c r="E73" i="16"/>
  <c r="E78" i="16" s="1"/>
  <c r="F73" i="16"/>
  <c r="F78" i="16" s="1"/>
  <c r="G73" i="16"/>
  <c r="G78" i="16" s="1"/>
  <c r="H73" i="16"/>
  <c r="H78" i="16" s="1"/>
  <c r="I73" i="16"/>
  <c r="J73" i="16"/>
  <c r="J78" i="16" s="1"/>
  <c r="E74" i="16"/>
  <c r="E79" i="16" s="1"/>
  <c r="F74" i="16"/>
  <c r="F79" i="16" s="1"/>
  <c r="G74" i="16"/>
  <c r="H74" i="16"/>
  <c r="I74" i="16"/>
  <c r="I79" i="16" s="1"/>
  <c r="J74" i="16"/>
  <c r="J79" i="16" s="1"/>
  <c r="C74" i="16"/>
  <c r="C79" i="16" s="1"/>
  <c r="C73" i="16"/>
  <c r="C78" i="16" s="1"/>
  <c r="D74" i="16"/>
  <c r="D73" i="16"/>
  <c r="D78" i="16" s="1"/>
  <c r="D72" i="16"/>
  <c r="E72" i="16"/>
  <c r="F72" i="16"/>
  <c r="G72" i="16"/>
  <c r="H72" i="16"/>
  <c r="I72" i="16"/>
  <c r="J72" i="16"/>
  <c r="C72" i="16"/>
  <c r="D71" i="16"/>
  <c r="E71" i="16"/>
  <c r="F71" i="16"/>
  <c r="G71" i="16"/>
  <c r="H71" i="16"/>
  <c r="I71" i="16"/>
  <c r="J71" i="16"/>
  <c r="C71" i="16"/>
  <c r="D70" i="16"/>
  <c r="E70" i="16"/>
  <c r="F70" i="16"/>
  <c r="G70" i="16"/>
  <c r="H70" i="16"/>
  <c r="I70" i="16"/>
  <c r="J70" i="16"/>
  <c r="C70" i="16"/>
  <c r="D69" i="16"/>
  <c r="E69" i="16"/>
  <c r="F69" i="16"/>
  <c r="G69" i="16"/>
  <c r="H69" i="16"/>
  <c r="I69" i="16"/>
  <c r="J69" i="16"/>
  <c r="C69" i="16"/>
  <c r="D68" i="16"/>
  <c r="E68" i="16"/>
  <c r="F68" i="16"/>
  <c r="G68" i="16"/>
  <c r="H68" i="16"/>
  <c r="I68" i="16"/>
  <c r="J68" i="16"/>
  <c r="C68" i="16"/>
  <c r="J67" i="16"/>
  <c r="D67" i="16"/>
  <c r="E67" i="16"/>
  <c r="F67" i="16"/>
  <c r="G67" i="16"/>
  <c r="H67" i="16"/>
  <c r="I67" i="16"/>
  <c r="C67" i="16"/>
  <c r="D66" i="16"/>
  <c r="E66" i="16"/>
  <c r="F66" i="16"/>
  <c r="G66" i="16"/>
  <c r="H66" i="16"/>
  <c r="I66" i="16"/>
  <c r="J66" i="16"/>
  <c r="C66" i="16"/>
  <c r="I65" i="16"/>
  <c r="C65" i="16"/>
  <c r="D65" i="16"/>
  <c r="E65" i="16"/>
  <c r="F65" i="16"/>
  <c r="G65" i="16"/>
  <c r="H65" i="16"/>
  <c r="H80" i="16" s="1"/>
  <c r="J65" i="16"/>
  <c r="J80" i="16" s="1"/>
  <c r="D64" i="16"/>
  <c r="E64" i="16"/>
  <c r="F64" i="16"/>
  <c r="G64" i="16"/>
  <c r="H64" i="16"/>
  <c r="I64" i="16"/>
  <c r="J64" i="16"/>
  <c r="C64" i="16"/>
  <c r="D63" i="16"/>
  <c r="E63" i="16"/>
  <c r="F63" i="16"/>
  <c r="G63" i="16"/>
  <c r="H63" i="16"/>
  <c r="I63" i="16"/>
  <c r="J63" i="16"/>
  <c r="C63" i="16"/>
  <c r="K43" i="16"/>
  <c r="K51" i="16"/>
  <c r="K60" i="16"/>
  <c r="K50" i="16"/>
  <c r="K59" i="16"/>
  <c r="K42" i="16"/>
  <c r="K41" i="16"/>
  <c r="K40" i="16"/>
  <c r="K58" i="16"/>
  <c r="K33" i="16"/>
  <c r="K57" i="16"/>
  <c r="K49" i="16"/>
  <c r="K39" i="16"/>
  <c r="K56" i="16"/>
  <c r="K55" i="16"/>
  <c r="K52" i="16"/>
  <c r="K38" i="16"/>
  <c r="K37" i="16"/>
  <c r="K54" i="16"/>
  <c r="K48" i="16"/>
  <c r="K36" i="16"/>
  <c r="K47" i="16"/>
  <c r="K46" i="16"/>
  <c r="K35" i="16"/>
  <c r="K34" i="16"/>
  <c r="K53" i="16"/>
  <c r="K45" i="16"/>
  <c r="K44" i="16"/>
  <c r="U71" i="26"/>
  <c r="S71" i="26"/>
  <c r="S70" i="26"/>
  <c r="S69" i="26"/>
  <c r="U68" i="26"/>
  <c r="S68" i="26"/>
  <c r="E68" i="26"/>
  <c r="U70" i="26" s="1"/>
  <c r="S67" i="26"/>
  <c r="E67" i="26"/>
  <c r="D67" i="26"/>
  <c r="E66" i="26"/>
  <c r="D66" i="26"/>
  <c r="C66" i="26"/>
  <c r="E65" i="26"/>
  <c r="D65" i="26"/>
  <c r="C65" i="26"/>
  <c r="B65" i="26"/>
  <c r="U47" i="26"/>
  <c r="S47" i="26"/>
  <c r="S46" i="26"/>
  <c r="U45" i="26"/>
  <c r="S45" i="26"/>
  <c r="S44" i="26"/>
  <c r="E44" i="26"/>
  <c r="U46" i="26" s="1"/>
  <c r="S43" i="26"/>
  <c r="E43" i="26"/>
  <c r="D43" i="26"/>
  <c r="E42" i="26"/>
  <c r="D42" i="26"/>
  <c r="C42" i="26"/>
  <c r="U44" i="26" s="1"/>
  <c r="E41" i="26"/>
  <c r="D41" i="26"/>
  <c r="C41" i="26"/>
  <c r="B41" i="26"/>
  <c r="U43" i="26" s="1"/>
  <c r="U48" i="26" s="1"/>
  <c r="V23" i="26"/>
  <c r="T23" i="26"/>
  <c r="T22" i="26"/>
  <c r="T21" i="26"/>
  <c r="V20" i="26"/>
  <c r="T20" i="26"/>
  <c r="F20" i="26"/>
  <c r="V22" i="26" s="1"/>
  <c r="V19" i="26"/>
  <c r="T19" i="26"/>
  <c r="F19" i="26"/>
  <c r="E19" i="26"/>
  <c r="V21" i="26" s="1"/>
  <c r="F18" i="26"/>
  <c r="E18" i="26"/>
  <c r="D18" i="26"/>
  <c r="F17" i="26"/>
  <c r="E17" i="26"/>
  <c r="D17" i="26"/>
  <c r="C17" i="26"/>
  <c r="D61" i="25"/>
  <c r="D60" i="25"/>
  <c r="C60" i="25"/>
  <c r="D59" i="25"/>
  <c r="C59" i="25"/>
  <c r="S57" i="25" s="1"/>
  <c r="B59" i="25"/>
  <c r="S56" i="25" s="1"/>
  <c r="Q58" i="25"/>
  <c r="Q57" i="25"/>
  <c r="Q56" i="25"/>
  <c r="S55" i="25"/>
  <c r="Q55" i="25"/>
  <c r="D45" i="25"/>
  <c r="D44" i="25"/>
  <c r="C44" i="25"/>
  <c r="D43" i="25"/>
  <c r="C43" i="25"/>
  <c r="B43" i="25"/>
  <c r="S40" i="25" s="1"/>
  <c r="Q42" i="25"/>
  <c r="Q41" i="25"/>
  <c r="Q40" i="25"/>
  <c r="S39" i="25"/>
  <c r="Q39" i="25"/>
  <c r="Q43" i="25" s="1"/>
  <c r="D29" i="25"/>
  <c r="K28" i="25"/>
  <c r="D28" i="25"/>
  <c r="C28" i="25"/>
  <c r="K27" i="25"/>
  <c r="D27" i="25"/>
  <c r="C27" i="25"/>
  <c r="B27" i="25"/>
  <c r="M26" i="25"/>
  <c r="K26" i="25"/>
  <c r="M25" i="25"/>
  <c r="K25" i="25"/>
  <c r="S72" i="26" l="1"/>
  <c r="U67" i="26"/>
  <c r="U69" i="26"/>
  <c r="S48" i="26"/>
  <c r="S49" i="26" s="1"/>
  <c r="V24" i="26"/>
  <c r="T24" i="26"/>
  <c r="T25" i="26" s="1"/>
  <c r="S41" i="25"/>
  <c r="K29" i="25"/>
  <c r="M27" i="25"/>
  <c r="M28" i="25"/>
  <c r="M29" i="25" s="1"/>
  <c r="K31" i="25" s="1"/>
  <c r="Q59" i="25"/>
  <c r="S42" i="25"/>
  <c r="S43" i="25" s="1"/>
  <c r="Q45" i="25" s="1"/>
  <c r="S58" i="25"/>
  <c r="S59" i="25" s="1"/>
  <c r="Q61" i="25" s="1"/>
  <c r="U72" i="26"/>
  <c r="M149" i="22"/>
  <c r="M150" i="22"/>
  <c r="M151" i="22"/>
  <c r="M152" i="22"/>
  <c r="M153" i="22"/>
  <c r="M154" i="22"/>
  <c r="M155" i="22"/>
  <c r="M148" i="22"/>
  <c r="L148" i="22"/>
  <c r="L146" i="22" s="1"/>
  <c r="K149" i="22"/>
  <c r="K150" i="22"/>
  <c r="K151" i="22"/>
  <c r="K152" i="22"/>
  <c r="K153" i="22"/>
  <c r="K154" i="22"/>
  <c r="K155" i="22"/>
  <c r="K148" i="22"/>
  <c r="J149" i="22"/>
  <c r="J150" i="22"/>
  <c r="J151" i="22"/>
  <c r="J152" i="22"/>
  <c r="J153" i="22"/>
  <c r="J154" i="22"/>
  <c r="J155" i="22"/>
  <c r="J156" i="22"/>
  <c r="J157" i="22"/>
  <c r="J148" i="22"/>
  <c r="I148" i="22"/>
  <c r="Y165" i="22"/>
  <c r="K179" i="22" s="1"/>
  <c r="M109" i="22"/>
  <c r="M110" i="22"/>
  <c r="M111" i="22"/>
  <c r="M112" i="22"/>
  <c r="M113" i="22"/>
  <c r="M114" i="22"/>
  <c r="M115" i="22"/>
  <c r="M108" i="22"/>
  <c r="L108" i="22"/>
  <c r="L106" i="22" s="1"/>
  <c r="K109" i="22"/>
  <c r="K110" i="22"/>
  <c r="K111" i="22"/>
  <c r="K112" i="22"/>
  <c r="K113" i="22"/>
  <c r="K114" i="22"/>
  <c r="K115" i="22"/>
  <c r="K108" i="22"/>
  <c r="J109" i="22"/>
  <c r="J110" i="22"/>
  <c r="J111" i="22"/>
  <c r="J112" i="22"/>
  <c r="J113" i="22"/>
  <c r="J114" i="22"/>
  <c r="J115" i="22"/>
  <c r="J116" i="22"/>
  <c r="J117" i="22"/>
  <c r="J108" i="22"/>
  <c r="I108" i="22"/>
  <c r="I106" i="22" s="1"/>
  <c r="Y125" i="22"/>
  <c r="K139" i="22" s="1"/>
  <c r="L158" i="22" l="1"/>
  <c r="K146" i="22"/>
  <c r="S73" i="26"/>
  <c r="M158" i="22"/>
  <c r="S165" i="22" s="1"/>
  <c r="J106" i="22"/>
  <c r="R163" i="22"/>
  <c r="R160" i="22" s="1"/>
  <c r="J146" i="22"/>
  <c r="S169" i="22"/>
  <c r="K106" i="22"/>
  <c r="M106" i="22"/>
  <c r="K158" i="22"/>
  <c r="Q168" i="22" s="1"/>
  <c r="I159" i="22"/>
  <c r="I163" i="22" s="1"/>
  <c r="I160" i="22" s="1"/>
  <c r="J158" i="22"/>
  <c r="P163" i="22" s="1"/>
  <c r="I146" i="22"/>
  <c r="M146" i="22"/>
  <c r="I158" i="22"/>
  <c r="M118" i="22"/>
  <c r="S123" i="22" s="1"/>
  <c r="I119" i="22"/>
  <c r="K123" i="22" s="1"/>
  <c r="I118" i="22"/>
  <c r="J118" i="22"/>
  <c r="P132" i="22" s="1"/>
  <c r="K118" i="22"/>
  <c r="Q128" i="22" s="1"/>
  <c r="L118" i="22"/>
  <c r="R123" i="22" s="1"/>
  <c r="R120" i="22" s="1"/>
  <c r="S170" i="22" l="1"/>
  <c r="S166" i="22"/>
  <c r="S167" i="22"/>
  <c r="S163" i="22"/>
  <c r="J168" i="22"/>
  <c r="K130" i="22"/>
  <c r="S164" i="22"/>
  <c r="J164" i="22"/>
  <c r="K167" i="22"/>
  <c r="S168" i="22"/>
  <c r="J167" i="22"/>
  <c r="Q123" i="22"/>
  <c r="J131" i="22"/>
  <c r="P165" i="22"/>
  <c r="P128" i="22"/>
  <c r="K128" i="22"/>
  <c r="M130" i="22"/>
  <c r="K129" i="22"/>
  <c r="M126" i="22"/>
  <c r="M123" i="22"/>
  <c r="I123" i="22"/>
  <c r="I120" i="22" s="1"/>
  <c r="P124" i="22"/>
  <c r="K164" i="22"/>
  <c r="J163" i="22"/>
  <c r="J171" i="22"/>
  <c r="J165" i="22"/>
  <c r="K163" i="22"/>
  <c r="M164" i="22"/>
  <c r="K165" i="22"/>
  <c r="J166" i="22"/>
  <c r="M165" i="22"/>
  <c r="K166" i="22"/>
  <c r="L163" i="22"/>
  <c r="L160" i="22" s="1"/>
  <c r="M166" i="22"/>
  <c r="M163" i="22"/>
  <c r="P169" i="22"/>
  <c r="M124" i="22"/>
  <c r="J129" i="22"/>
  <c r="J130" i="22"/>
  <c r="K170" i="22"/>
  <c r="J128" i="22"/>
  <c r="Q125" i="22"/>
  <c r="K127" i="22"/>
  <c r="U163" i="22"/>
  <c r="P131" i="22"/>
  <c r="X123" i="22"/>
  <c r="W163" i="22"/>
  <c r="Q170" i="22"/>
  <c r="X163" i="22"/>
  <c r="M169" i="22"/>
  <c r="J170" i="22"/>
  <c r="M170" i="22"/>
  <c r="P125" i="22"/>
  <c r="P127" i="22"/>
  <c r="Q126" i="22"/>
  <c r="Q127" i="22"/>
  <c r="W123" i="22"/>
  <c r="Q129" i="22"/>
  <c r="Q130" i="22"/>
  <c r="P130" i="22"/>
  <c r="P129" i="22"/>
  <c r="M167" i="22"/>
  <c r="M168" i="22"/>
  <c r="K168" i="22"/>
  <c r="Q164" i="22"/>
  <c r="K169" i="22"/>
  <c r="P123" i="22"/>
  <c r="Q165" i="22"/>
  <c r="P126" i="22"/>
  <c r="U123" i="22"/>
  <c r="O123" i="22"/>
  <c r="O120" i="22" s="1"/>
  <c r="J169" i="22"/>
  <c r="Q169" i="22"/>
  <c r="Q166" i="22"/>
  <c r="Q167" i="22"/>
  <c r="P168" i="22"/>
  <c r="J172" i="22"/>
  <c r="Y163" i="22"/>
  <c r="Q163" i="22"/>
  <c r="Y123" i="22"/>
  <c r="S125" i="22"/>
  <c r="S128" i="22"/>
  <c r="S126" i="22"/>
  <c r="S129" i="22"/>
  <c r="S127" i="22"/>
  <c r="V123" i="22"/>
  <c r="S130" i="22"/>
  <c r="O163" i="22"/>
  <c r="P170" i="22"/>
  <c r="P171" i="22"/>
  <c r="V163" i="22"/>
  <c r="P164" i="22"/>
  <c r="P172" i="22"/>
  <c r="K125" i="22"/>
  <c r="K126" i="22"/>
  <c r="J124" i="22"/>
  <c r="J132" i="22"/>
  <c r="J126" i="22"/>
  <c r="M125" i="22"/>
  <c r="K124" i="22"/>
  <c r="J125" i="22"/>
  <c r="J123" i="22"/>
  <c r="J127" i="22"/>
  <c r="L123" i="22"/>
  <c r="L120" i="22" s="1"/>
  <c r="P166" i="22"/>
  <c r="P167" i="22"/>
  <c r="S124" i="22"/>
  <c r="M128" i="22"/>
  <c r="Q124" i="22"/>
  <c r="M127" i="22"/>
  <c r="M129" i="22"/>
  <c r="Y164" i="22" l="1"/>
  <c r="L179" i="22" s="1"/>
  <c r="S160" i="22"/>
  <c r="P120" i="22"/>
  <c r="S173" i="22"/>
  <c r="J160" i="22"/>
  <c r="K120" i="22"/>
  <c r="P160" i="22"/>
  <c r="Q160" i="22"/>
  <c r="M133" i="22"/>
  <c r="S120" i="22"/>
  <c r="Y124" i="22"/>
  <c r="J139" i="22" s="1"/>
  <c r="S133" i="22"/>
  <c r="J140" i="22" s="1"/>
  <c r="M120" i="22"/>
  <c r="J120" i="22"/>
  <c r="M173" i="22"/>
  <c r="J181" i="22" s="1"/>
  <c r="O160" i="22"/>
  <c r="M160" i="22"/>
  <c r="K160" i="22"/>
  <c r="Q120" i="22"/>
  <c r="J179" i="22"/>
  <c r="J180" i="22"/>
  <c r="J182" i="22" l="1"/>
  <c r="L139" i="22"/>
  <c r="X127" i="22"/>
  <c r="J141" i="22"/>
  <c r="X167" i="22"/>
  <c r="J142" i="22"/>
  <c r="S95" i="22" l="1"/>
  <c r="K56" i="22"/>
  <c r="K100" i="22" l="1"/>
  <c r="S135" i="22"/>
  <c r="K101" i="22"/>
  <c r="I19" i="22"/>
  <c r="S175" i="22" l="1"/>
  <c r="K141" i="22"/>
  <c r="K140" i="22"/>
  <c r="M69" i="22"/>
  <c r="M70" i="22"/>
  <c r="M71" i="22"/>
  <c r="M72" i="22"/>
  <c r="M73" i="22"/>
  <c r="M74" i="22"/>
  <c r="M75" i="22"/>
  <c r="M68" i="22"/>
  <c r="L68" i="22"/>
  <c r="K69" i="22"/>
  <c r="K70" i="22"/>
  <c r="K71" i="22"/>
  <c r="K72" i="22"/>
  <c r="K73" i="22"/>
  <c r="K74" i="22"/>
  <c r="K75" i="22"/>
  <c r="K68" i="22"/>
  <c r="J69" i="22"/>
  <c r="J70" i="22"/>
  <c r="J71" i="22"/>
  <c r="J72" i="22"/>
  <c r="J73" i="22"/>
  <c r="J74" i="22"/>
  <c r="J75" i="22"/>
  <c r="J76" i="22"/>
  <c r="J77" i="22"/>
  <c r="J68" i="22"/>
  <c r="I68" i="22"/>
  <c r="I78" i="22" s="1"/>
  <c r="S94" i="22"/>
  <c r="S134" i="22" s="1"/>
  <c r="Y85" i="22"/>
  <c r="Y36" i="22"/>
  <c r="S46" i="22"/>
  <c r="I29" i="22"/>
  <c r="I17" i="22"/>
  <c r="M26" i="22"/>
  <c r="M20" i="22"/>
  <c r="M21" i="22"/>
  <c r="M22" i="22"/>
  <c r="M23" i="22"/>
  <c r="M24" i="22"/>
  <c r="M25" i="22"/>
  <c r="M19" i="22"/>
  <c r="L19" i="22"/>
  <c r="L29" i="22" s="1"/>
  <c r="K20" i="22"/>
  <c r="K21" i="22"/>
  <c r="K22" i="22"/>
  <c r="K23" i="22"/>
  <c r="K24" i="22"/>
  <c r="K25" i="22"/>
  <c r="K26" i="22"/>
  <c r="K19" i="22"/>
  <c r="J27" i="22"/>
  <c r="J28" i="22"/>
  <c r="J20" i="22"/>
  <c r="J21" i="22"/>
  <c r="J22" i="22"/>
  <c r="J23" i="22"/>
  <c r="J24" i="22"/>
  <c r="J25" i="22"/>
  <c r="J26" i="22"/>
  <c r="J19" i="22"/>
  <c r="P151" i="21"/>
  <c r="J148" i="21"/>
  <c r="N138" i="21"/>
  <c r="O138" i="21"/>
  <c r="Q138" i="21"/>
  <c r="N139" i="21"/>
  <c r="O139" i="21"/>
  <c r="Q139" i="21"/>
  <c r="N140" i="21"/>
  <c r="O140" i="21"/>
  <c r="Q140" i="21"/>
  <c r="N141" i="21"/>
  <c r="O141" i="21"/>
  <c r="Q141" i="21"/>
  <c r="N142" i="21"/>
  <c r="O142" i="21"/>
  <c r="Q142" i="21"/>
  <c r="N143" i="21"/>
  <c r="O143" i="21"/>
  <c r="Q143" i="21"/>
  <c r="N144" i="21"/>
  <c r="O144" i="21"/>
  <c r="Q144" i="21"/>
  <c r="N145" i="21"/>
  <c r="N146" i="21"/>
  <c r="N137" i="21"/>
  <c r="O137" i="21"/>
  <c r="P137" i="21"/>
  <c r="P147" i="21" s="1"/>
  <c r="Q137" i="21"/>
  <c r="M137" i="21"/>
  <c r="M148" i="21" s="1"/>
  <c r="M154" i="21"/>
  <c r="O110" i="21"/>
  <c r="O111" i="21" s="1"/>
  <c r="O112" i="21" s="1"/>
  <c r="O113" i="21" s="1"/>
  <c r="O114" i="21" s="1"/>
  <c r="O115" i="21" s="1"/>
  <c r="O116" i="21" s="1"/>
  <c r="O117" i="21" s="1"/>
  <c r="O118" i="21" s="1"/>
  <c r="O119" i="21" s="1"/>
  <c r="M108" i="21"/>
  <c r="J104" i="21"/>
  <c r="N94" i="21"/>
  <c r="O94" i="21"/>
  <c r="Q94" i="21"/>
  <c r="N95" i="21"/>
  <c r="O95" i="21"/>
  <c r="Q95" i="21"/>
  <c r="N96" i="21"/>
  <c r="O96" i="21"/>
  <c r="Q96" i="21"/>
  <c r="N97" i="21"/>
  <c r="O97" i="21"/>
  <c r="Q97" i="21"/>
  <c r="N98" i="21"/>
  <c r="O98" i="21"/>
  <c r="Q98" i="21"/>
  <c r="N99" i="21"/>
  <c r="O99" i="21"/>
  <c r="Q99" i="21"/>
  <c r="N100" i="21"/>
  <c r="O100" i="21"/>
  <c r="Q100" i="21"/>
  <c r="N101" i="21"/>
  <c r="N102" i="21"/>
  <c r="N93" i="21"/>
  <c r="O93" i="21"/>
  <c r="P93" i="21"/>
  <c r="P91" i="21" s="1"/>
  <c r="Q93" i="21"/>
  <c r="M93" i="21"/>
  <c r="M91" i="21" s="1"/>
  <c r="P104" i="21"/>
  <c r="M104" i="21"/>
  <c r="P103" i="21"/>
  <c r="J68" i="21"/>
  <c r="M72" i="21"/>
  <c r="N58" i="21"/>
  <c r="O58" i="21"/>
  <c r="Q58" i="21"/>
  <c r="N59" i="21"/>
  <c r="O59" i="21"/>
  <c r="Q59" i="21"/>
  <c r="N60" i="21"/>
  <c r="O60" i="21"/>
  <c r="Q60" i="21"/>
  <c r="N61" i="21"/>
  <c r="O61" i="21"/>
  <c r="Q61" i="21"/>
  <c r="N62" i="21"/>
  <c r="O62" i="21"/>
  <c r="Q62" i="21"/>
  <c r="N63" i="21"/>
  <c r="O63" i="21"/>
  <c r="Q63" i="21"/>
  <c r="N64" i="21"/>
  <c r="O64" i="21"/>
  <c r="Q64" i="21"/>
  <c r="N65" i="21"/>
  <c r="N66" i="21"/>
  <c r="N57" i="21"/>
  <c r="O57" i="21"/>
  <c r="P57" i="21"/>
  <c r="P68" i="21" s="1"/>
  <c r="Q57" i="21"/>
  <c r="M57" i="21"/>
  <c r="M68" i="21" s="1"/>
  <c r="O42" i="21"/>
  <c r="O43" i="21" s="1"/>
  <c r="O44" i="21" s="1"/>
  <c r="O45" i="21" s="1"/>
  <c r="O46" i="21" s="1"/>
  <c r="O47" i="21" s="1"/>
  <c r="O48" i="21" s="1"/>
  <c r="O49" i="21" s="1"/>
  <c r="O50" i="21" s="1"/>
  <c r="O51" i="21" s="1"/>
  <c r="M36" i="21"/>
  <c r="P34" i="21"/>
  <c r="P30" i="21"/>
  <c r="J30" i="21"/>
  <c r="N28" i="21"/>
  <c r="N27" i="21"/>
  <c r="Q26" i="21"/>
  <c r="O26" i="21"/>
  <c r="N26" i="21"/>
  <c r="Q25" i="21"/>
  <c r="O25" i="21"/>
  <c r="N25" i="21"/>
  <c r="Q24" i="21"/>
  <c r="O24" i="21"/>
  <c r="N24" i="21"/>
  <c r="Q23" i="21"/>
  <c r="O23" i="21"/>
  <c r="N23" i="21"/>
  <c r="Q22" i="21"/>
  <c r="O22" i="21"/>
  <c r="N22" i="21"/>
  <c r="Q21" i="21"/>
  <c r="O21" i="21"/>
  <c r="N21" i="21"/>
  <c r="Q20" i="21"/>
  <c r="O20" i="21"/>
  <c r="N20" i="21"/>
  <c r="Q19" i="21"/>
  <c r="P19" i="21"/>
  <c r="P29" i="21" s="1"/>
  <c r="P31" i="21" s="1"/>
  <c r="O19" i="21"/>
  <c r="N19" i="21"/>
  <c r="M19" i="21"/>
  <c r="M17" i="21" s="1"/>
  <c r="P17" i="21"/>
  <c r="K3" i="16"/>
  <c r="K4" i="16"/>
  <c r="K5" i="16"/>
  <c r="K6" i="16"/>
  <c r="K7" i="16"/>
  <c r="K8" i="16"/>
  <c r="K9" i="16"/>
  <c r="K10" i="16"/>
  <c r="K11" i="16"/>
  <c r="K12" i="16"/>
  <c r="K13" i="16"/>
  <c r="K14" i="16"/>
  <c r="K15" i="16"/>
  <c r="K16" i="16"/>
  <c r="K17" i="16"/>
  <c r="K18" i="16"/>
  <c r="K19" i="16"/>
  <c r="K20" i="16"/>
  <c r="K21" i="16"/>
  <c r="K22" i="16"/>
  <c r="K23" i="16"/>
  <c r="K24" i="16"/>
  <c r="K25" i="16"/>
  <c r="K26" i="16"/>
  <c r="K27" i="16"/>
  <c r="K28" i="16"/>
  <c r="K29" i="16"/>
  <c r="K2" i="16"/>
  <c r="M135" i="21" l="1"/>
  <c r="O103" i="21"/>
  <c r="O105" i="21" s="1"/>
  <c r="M55" i="21"/>
  <c r="Q67" i="21"/>
  <c r="Q69" i="21" s="1"/>
  <c r="P55" i="21"/>
  <c r="N68" i="21"/>
  <c r="O68" i="21"/>
  <c r="N67" i="21"/>
  <c r="N69" i="21" s="1"/>
  <c r="Q68" i="21"/>
  <c r="P67" i="21"/>
  <c r="P69" i="21" s="1"/>
  <c r="O67" i="21"/>
  <c r="O69" i="21" s="1"/>
  <c r="N55" i="21"/>
  <c r="N112" i="21"/>
  <c r="O148" i="21"/>
  <c r="N135" i="21"/>
  <c r="Q30" i="21"/>
  <c r="N51" i="21" s="1"/>
  <c r="N17" i="21"/>
  <c r="Q55" i="21"/>
  <c r="O17" i="21"/>
  <c r="N111" i="21"/>
  <c r="N91" i="21"/>
  <c r="O29" i="21"/>
  <c r="O31" i="21" s="1"/>
  <c r="Q104" i="21"/>
  <c r="N119" i="21" s="1"/>
  <c r="N30" i="21"/>
  <c r="N48" i="21" s="1"/>
  <c r="Q103" i="21"/>
  <c r="Q105" i="21" s="1"/>
  <c r="Q29" i="21"/>
  <c r="Q31" i="21" s="1"/>
  <c r="M67" i="21"/>
  <c r="M69" i="21" s="1"/>
  <c r="M30" i="21"/>
  <c r="N42" i="21" s="1"/>
  <c r="O104" i="21"/>
  <c r="Q147" i="21"/>
  <c r="Q149" i="21" s="1"/>
  <c r="M147" i="21"/>
  <c r="M149" i="21" s="1"/>
  <c r="N147" i="21"/>
  <c r="N149" i="21" s="1"/>
  <c r="M17" i="22"/>
  <c r="L17" i="22"/>
  <c r="S174" i="22"/>
  <c r="P140" i="22"/>
  <c r="L140" i="22"/>
  <c r="M139" i="22" s="1"/>
  <c r="P139" i="22" s="1"/>
  <c r="J78" i="22"/>
  <c r="P88" i="22" s="1"/>
  <c r="R34" i="22"/>
  <c r="R31" i="22" s="1"/>
  <c r="P100" i="22"/>
  <c r="K180" i="22"/>
  <c r="K181" i="22"/>
  <c r="K58" i="22"/>
  <c r="K57" i="22"/>
  <c r="S45" i="22"/>
  <c r="P57" i="22" s="1"/>
  <c r="K17" i="22"/>
  <c r="I30" i="22"/>
  <c r="J41" i="22" s="1"/>
  <c r="J17" i="22"/>
  <c r="K29" i="22"/>
  <c r="J29" i="22"/>
  <c r="M29" i="22"/>
  <c r="S38" i="22" s="1"/>
  <c r="O34" i="22"/>
  <c r="O31" i="22" s="1"/>
  <c r="I66" i="22"/>
  <c r="O83" i="22"/>
  <c r="O80" i="22" s="1"/>
  <c r="K99" i="22"/>
  <c r="L78" i="22"/>
  <c r="M78" i="22"/>
  <c r="S86" i="22" s="1"/>
  <c r="K66" i="22"/>
  <c r="I79" i="22"/>
  <c r="J91" i="22" s="1"/>
  <c r="L66" i="22"/>
  <c r="K78" i="22"/>
  <c r="M66" i="22"/>
  <c r="J66" i="22"/>
  <c r="P149" i="21"/>
  <c r="O147" i="21"/>
  <c r="O149" i="21" s="1"/>
  <c r="N148" i="21"/>
  <c r="Q135" i="21"/>
  <c r="Q148" i="21"/>
  <c r="O135" i="21"/>
  <c r="P135" i="21"/>
  <c r="P148" i="21"/>
  <c r="P105" i="21"/>
  <c r="O91" i="21"/>
  <c r="Q91" i="21"/>
  <c r="N104" i="21"/>
  <c r="M103" i="21"/>
  <c r="M105" i="21" s="1"/>
  <c r="N103" i="21"/>
  <c r="N105" i="21" s="1"/>
  <c r="O55" i="21"/>
  <c r="O30" i="21"/>
  <c r="Q17" i="21"/>
  <c r="M29" i="21"/>
  <c r="M31" i="21" s="1"/>
  <c r="N29" i="21"/>
  <c r="N31" i="21" s="1"/>
  <c r="N44" i="21"/>
  <c r="N45" i="21"/>
  <c r="M153" i="21" l="1"/>
  <c r="N113" i="21"/>
  <c r="M70" i="21"/>
  <c r="M71" i="21" s="1"/>
  <c r="N118" i="21"/>
  <c r="N117" i="21"/>
  <c r="N116" i="21"/>
  <c r="N115" i="21"/>
  <c r="N114" i="21"/>
  <c r="N43" i="21"/>
  <c r="N47" i="21"/>
  <c r="N110" i="21"/>
  <c r="M85" i="22"/>
  <c r="J43" i="22"/>
  <c r="K89" i="22"/>
  <c r="L83" i="22"/>
  <c r="L80" i="22" s="1"/>
  <c r="P91" i="22"/>
  <c r="K85" i="22"/>
  <c r="P90" i="22"/>
  <c r="S84" i="22"/>
  <c r="S83" i="22"/>
  <c r="P89" i="22"/>
  <c r="P84" i="22"/>
  <c r="P92" i="22"/>
  <c r="P85" i="22"/>
  <c r="P83" i="22"/>
  <c r="J34" i="22"/>
  <c r="P86" i="22"/>
  <c r="K41" i="22"/>
  <c r="J38" i="22"/>
  <c r="Q89" i="22"/>
  <c r="S39" i="22"/>
  <c r="K38" i="22"/>
  <c r="Q85" i="22"/>
  <c r="J92" i="22"/>
  <c r="U83" i="22"/>
  <c r="M37" i="22"/>
  <c r="K87" i="22"/>
  <c r="J84" i="22"/>
  <c r="P87" i="22"/>
  <c r="K37" i="22"/>
  <c r="M41" i="22"/>
  <c r="M86" i="22"/>
  <c r="J42" i="22"/>
  <c r="M38" i="22"/>
  <c r="S87" i="22"/>
  <c r="R83" i="22"/>
  <c r="R80" i="22" s="1"/>
  <c r="P180" i="22"/>
  <c r="L180" i="22"/>
  <c r="M179" i="22" s="1"/>
  <c r="P179" i="22" s="1"/>
  <c r="W34" i="22"/>
  <c r="Q40" i="22"/>
  <c r="Q41" i="22"/>
  <c r="Q37" i="22"/>
  <c r="Q38" i="22"/>
  <c r="Q39" i="22"/>
  <c r="W83" i="22"/>
  <c r="Q86" i="22"/>
  <c r="Q87" i="22"/>
  <c r="S37" i="22"/>
  <c r="Y34" i="22"/>
  <c r="S35" i="22"/>
  <c r="S36" i="22"/>
  <c r="S41" i="22"/>
  <c r="V34" i="22"/>
  <c r="P40" i="22"/>
  <c r="P41" i="22"/>
  <c r="P42" i="22"/>
  <c r="P43" i="22"/>
  <c r="P36" i="22"/>
  <c r="K35" i="22"/>
  <c r="K34" i="22"/>
  <c r="J85" i="22"/>
  <c r="M84" i="22"/>
  <c r="K83" i="22"/>
  <c r="J86" i="22"/>
  <c r="K86" i="22"/>
  <c r="M83" i="22"/>
  <c r="M88" i="22"/>
  <c r="M89" i="22"/>
  <c r="J88" i="22"/>
  <c r="M90" i="22"/>
  <c r="J89" i="22"/>
  <c r="K90" i="22"/>
  <c r="U34" i="22"/>
  <c r="V83" i="22"/>
  <c r="P39" i="22"/>
  <c r="Q35" i="22"/>
  <c r="Q34" i="22"/>
  <c r="Q90" i="22"/>
  <c r="J90" i="22"/>
  <c r="P35" i="22"/>
  <c r="S34" i="22"/>
  <c r="K39" i="22"/>
  <c r="J35" i="22"/>
  <c r="X34" i="22"/>
  <c r="P38" i="22"/>
  <c r="K36" i="22"/>
  <c r="M35" i="22"/>
  <c r="Q84" i="22"/>
  <c r="M39" i="22"/>
  <c r="M36" i="22"/>
  <c r="I34" i="22"/>
  <c r="M40" i="22"/>
  <c r="Y83" i="22"/>
  <c r="S88" i="22"/>
  <c r="S89" i="22"/>
  <c r="S90" i="22"/>
  <c r="J87" i="22"/>
  <c r="S85" i="22"/>
  <c r="J83" i="22"/>
  <c r="K84" i="22"/>
  <c r="S40" i="22"/>
  <c r="J36" i="22"/>
  <c r="P37" i="22"/>
  <c r="J40" i="22"/>
  <c r="M34" i="22"/>
  <c r="J39" i="22"/>
  <c r="K40" i="22"/>
  <c r="L34" i="22"/>
  <c r="L31" i="22" s="1"/>
  <c r="M87" i="22"/>
  <c r="P34" i="22"/>
  <c r="J37" i="22"/>
  <c r="X83" i="22"/>
  <c r="I83" i="22"/>
  <c r="I80" i="22" s="1"/>
  <c r="Q88" i="22"/>
  <c r="K88" i="22"/>
  <c r="Q83" i="22"/>
  <c r="Q36" i="22"/>
  <c r="M150" i="21"/>
  <c r="M151" i="21" s="1"/>
  <c r="M106" i="21"/>
  <c r="M107" i="21" s="1"/>
  <c r="M32" i="21"/>
  <c r="M33" i="21" s="1"/>
  <c r="N50" i="21"/>
  <c r="N49" i="21"/>
  <c r="N46" i="21"/>
  <c r="M35" i="21"/>
  <c r="C68" i="14"/>
  <c r="D68" i="14"/>
  <c r="C69" i="14"/>
  <c r="D69" i="14"/>
  <c r="C70" i="14"/>
  <c r="D70" i="14"/>
  <c r="C71" i="14"/>
  <c r="D71" i="14"/>
  <c r="C72" i="14"/>
  <c r="D72" i="14"/>
  <c r="C73" i="14"/>
  <c r="D73" i="14"/>
  <c r="C74" i="14"/>
  <c r="D74" i="14"/>
  <c r="C75" i="14"/>
  <c r="D75" i="14"/>
  <c r="C76" i="14"/>
  <c r="D76" i="14"/>
  <c r="C77" i="14"/>
  <c r="D77" i="14"/>
  <c r="C78" i="14"/>
  <c r="D78" i="14"/>
  <c r="C79" i="14"/>
  <c r="D79" i="14"/>
  <c r="C80" i="14"/>
  <c r="D80" i="14"/>
  <c r="C81" i="14"/>
  <c r="D81" i="14"/>
  <c r="C82" i="14"/>
  <c r="D82" i="14"/>
  <c r="C83" i="14"/>
  <c r="D83" i="14"/>
  <c r="C84" i="14"/>
  <c r="D84" i="14"/>
  <c r="C85" i="14"/>
  <c r="D85" i="14"/>
  <c r="C86" i="14"/>
  <c r="D86" i="14"/>
  <c r="C87" i="14"/>
  <c r="D87" i="14"/>
  <c r="C88" i="14"/>
  <c r="D88" i="14"/>
  <c r="C89" i="14"/>
  <c r="D89" i="14"/>
  <c r="C90" i="14"/>
  <c r="D90" i="14"/>
  <c r="C91" i="14"/>
  <c r="D91" i="14"/>
  <c r="C92" i="14"/>
  <c r="D92" i="14"/>
  <c r="D67" i="14"/>
  <c r="C67" i="14"/>
  <c r="C39" i="14"/>
  <c r="D39" i="14"/>
  <c r="C40" i="14"/>
  <c r="D40" i="14"/>
  <c r="C41" i="14"/>
  <c r="D41" i="14"/>
  <c r="C42" i="14"/>
  <c r="D42" i="14"/>
  <c r="C43" i="14"/>
  <c r="D43" i="14"/>
  <c r="C44" i="14"/>
  <c r="D44" i="14"/>
  <c r="C45" i="14"/>
  <c r="D45" i="14"/>
  <c r="C46" i="14"/>
  <c r="D46" i="14"/>
  <c r="C47" i="14"/>
  <c r="D47" i="14"/>
  <c r="F47" i="14" s="1"/>
  <c r="C48" i="14"/>
  <c r="D48" i="14"/>
  <c r="C49" i="14"/>
  <c r="D49" i="14"/>
  <c r="C50" i="14"/>
  <c r="D50" i="14"/>
  <c r="C51" i="14"/>
  <c r="D51" i="14"/>
  <c r="C52" i="14"/>
  <c r="D52" i="14"/>
  <c r="C53" i="14"/>
  <c r="D53" i="14"/>
  <c r="C54" i="14"/>
  <c r="D54" i="14"/>
  <c r="C55" i="14"/>
  <c r="D55" i="14"/>
  <c r="C56" i="14"/>
  <c r="D56" i="14"/>
  <c r="C57" i="14"/>
  <c r="D57" i="14"/>
  <c r="C58" i="14"/>
  <c r="D58" i="14"/>
  <c r="C59" i="14"/>
  <c r="D59" i="14"/>
  <c r="C60" i="14"/>
  <c r="D60" i="14"/>
  <c r="C61" i="14"/>
  <c r="D61" i="14"/>
  <c r="C62" i="14"/>
  <c r="D62" i="14"/>
  <c r="C63" i="14"/>
  <c r="D63" i="14"/>
  <c r="D38" i="14"/>
  <c r="C38" i="14"/>
  <c r="C8" i="14"/>
  <c r="D8" i="14"/>
  <c r="C9" i="14"/>
  <c r="D9" i="14"/>
  <c r="C10" i="14"/>
  <c r="D10" i="14"/>
  <c r="C11" i="14"/>
  <c r="D11" i="14"/>
  <c r="C12" i="14"/>
  <c r="D12" i="14"/>
  <c r="C13" i="14"/>
  <c r="D13" i="14"/>
  <c r="C14" i="14"/>
  <c r="D14" i="14"/>
  <c r="C15" i="14"/>
  <c r="D15" i="14"/>
  <c r="C16" i="14"/>
  <c r="D16" i="14"/>
  <c r="C17" i="14"/>
  <c r="D17" i="14"/>
  <c r="C18" i="14"/>
  <c r="D18" i="14"/>
  <c r="C19" i="14"/>
  <c r="D19" i="14"/>
  <c r="C20" i="14"/>
  <c r="D20" i="14"/>
  <c r="C21" i="14"/>
  <c r="D21" i="14"/>
  <c r="C22" i="14"/>
  <c r="D22" i="14"/>
  <c r="C23" i="14"/>
  <c r="D23" i="14"/>
  <c r="C24" i="14"/>
  <c r="D24" i="14"/>
  <c r="C25" i="14"/>
  <c r="D25" i="14"/>
  <c r="C26" i="14"/>
  <c r="D26" i="14"/>
  <c r="C27" i="14"/>
  <c r="D27" i="14"/>
  <c r="C28" i="14"/>
  <c r="D28" i="14"/>
  <c r="C29" i="14"/>
  <c r="D29" i="14"/>
  <c r="C30" i="14"/>
  <c r="D30" i="14"/>
  <c r="C31" i="14"/>
  <c r="D31" i="14"/>
  <c r="C32" i="14"/>
  <c r="D32" i="14"/>
  <c r="D7" i="14"/>
  <c r="C7" i="14"/>
  <c r="D179" i="7"/>
  <c r="F40" i="14" l="1"/>
  <c r="F58" i="14"/>
  <c r="E52" i="14"/>
  <c r="E63" i="14"/>
  <c r="E45" i="14"/>
  <c r="F56" i="14"/>
  <c r="F49" i="14"/>
  <c r="E61" i="14"/>
  <c r="E43" i="14"/>
  <c r="E54" i="14"/>
  <c r="Y35" i="22"/>
  <c r="J56" i="22" s="1"/>
  <c r="P80" i="22"/>
  <c r="M44" i="22"/>
  <c r="J58" i="22" s="1"/>
  <c r="J31" i="22"/>
  <c r="Y84" i="22"/>
  <c r="M31" i="22"/>
  <c r="J80" i="22"/>
  <c r="K31" i="22"/>
  <c r="M93" i="22"/>
  <c r="S31" i="22"/>
  <c r="M80" i="22"/>
  <c r="J99" i="22"/>
  <c r="L99" i="22"/>
  <c r="Q80" i="22"/>
  <c r="S93" i="22"/>
  <c r="I31" i="22"/>
  <c r="Q31" i="22"/>
  <c r="K80" i="22"/>
  <c r="P31" i="22"/>
  <c r="S44" i="22"/>
  <c r="S80" i="22"/>
  <c r="E55" i="14"/>
  <c r="F83" i="14"/>
  <c r="E10" i="14"/>
  <c r="F21" i="14"/>
  <c r="F9" i="14"/>
  <c r="F62" i="14"/>
  <c r="F50" i="14"/>
  <c r="E91" i="14"/>
  <c r="E79" i="14"/>
  <c r="F14" i="14"/>
  <c r="E62" i="14"/>
  <c r="E58" i="14"/>
  <c r="E46" i="14"/>
  <c r="F90" i="14"/>
  <c r="F86" i="14"/>
  <c r="F74" i="14"/>
  <c r="F24" i="14"/>
  <c r="F12" i="14"/>
  <c r="F53" i="14"/>
  <c r="F41" i="14"/>
  <c r="E82" i="14"/>
  <c r="E70" i="14"/>
  <c r="E24" i="14"/>
  <c r="E49" i="14"/>
  <c r="E67" i="14"/>
  <c r="F77" i="14"/>
  <c r="F27" i="14"/>
  <c r="F15" i="14"/>
  <c r="F44" i="14"/>
  <c r="E73" i="14"/>
  <c r="E15" i="14"/>
  <c r="F46" i="14"/>
  <c r="E40" i="14"/>
  <c r="F92" i="14"/>
  <c r="F68" i="14"/>
  <c r="F30" i="14"/>
  <c r="F18" i="14"/>
  <c r="F63" i="14"/>
  <c r="F59" i="14"/>
  <c r="E88" i="14"/>
  <c r="E31" i="14"/>
  <c r="E27" i="14"/>
  <c r="E22" i="14"/>
  <c r="E18" i="14"/>
  <c r="E13" i="14"/>
  <c r="E9" i="14"/>
  <c r="F26" i="14"/>
  <c r="F17" i="14"/>
  <c r="F8" i="14"/>
  <c r="F60" i="14"/>
  <c r="E59" i="14"/>
  <c r="F57" i="14"/>
  <c r="E56" i="14"/>
  <c r="F54" i="14"/>
  <c r="E53" i="14"/>
  <c r="F51" i="14"/>
  <c r="E50" i="14"/>
  <c r="F48" i="14"/>
  <c r="E47" i="14"/>
  <c r="F45" i="14"/>
  <c r="E44" i="14"/>
  <c r="F42" i="14"/>
  <c r="E41" i="14"/>
  <c r="F39" i="14"/>
  <c r="F38" i="14"/>
  <c r="F61" i="14"/>
  <c r="E57" i="14"/>
  <c r="F52" i="14"/>
  <c r="E48" i="14"/>
  <c r="F43" i="14"/>
  <c r="E39" i="14"/>
  <c r="E90" i="14"/>
  <c r="F85" i="14"/>
  <c r="E81" i="14"/>
  <c r="F76" i="14"/>
  <c r="E72" i="14"/>
  <c r="E32" i="14"/>
  <c r="E29" i="14"/>
  <c r="E26" i="14"/>
  <c r="E23" i="14"/>
  <c r="E20" i="14"/>
  <c r="E17" i="14"/>
  <c r="E14" i="14"/>
  <c r="E11" i="14"/>
  <c r="E8" i="14"/>
  <c r="E30" i="14"/>
  <c r="E25" i="14"/>
  <c r="E21" i="14"/>
  <c r="E16" i="14"/>
  <c r="E12" i="14"/>
  <c r="F7" i="14"/>
  <c r="F29" i="14"/>
  <c r="F20" i="14"/>
  <c r="F11" i="14"/>
  <c r="E92" i="14"/>
  <c r="E89" i="14"/>
  <c r="F87" i="14"/>
  <c r="E86" i="14"/>
  <c r="F84" i="14"/>
  <c r="E83" i="14"/>
  <c r="F81" i="14"/>
  <c r="E80" i="14"/>
  <c r="F78" i="14"/>
  <c r="E77" i="14"/>
  <c r="F75" i="14"/>
  <c r="E74" i="14"/>
  <c r="F72" i="14"/>
  <c r="E71" i="14"/>
  <c r="F69" i="14"/>
  <c r="E68" i="14"/>
  <c r="F91" i="14"/>
  <c r="F89" i="14"/>
  <c r="E87" i="14"/>
  <c r="E85" i="14"/>
  <c r="F82" i="14"/>
  <c r="F80" i="14"/>
  <c r="E78" i="14"/>
  <c r="E76" i="14"/>
  <c r="F73" i="14"/>
  <c r="F71" i="14"/>
  <c r="E69" i="14"/>
  <c r="F31" i="14"/>
  <c r="F28" i="14"/>
  <c r="F25" i="14"/>
  <c r="F22" i="14"/>
  <c r="F19" i="14"/>
  <c r="F16" i="14"/>
  <c r="F13" i="14"/>
  <c r="F10" i="14"/>
  <c r="E7" i="14"/>
  <c r="E28" i="14"/>
  <c r="E19" i="14"/>
  <c r="F32" i="14"/>
  <c r="F23" i="14"/>
  <c r="E38" i="14"/>
  <c r="E60" i="14"/>
  <c r="F55" i="14"/>
  <c r="E51" i="14"/>
  <c r="E42" i="14"/>
  <c r="F67" i="14"/>
  <c r="F88" i="14"/>
  <c r="E84" i="14"/>
  <c r="F79" i="14"/>
  <c r="E75" i="14"/>
  <c r="F70" i="14"/>
  <c r="J57" i="7"/>
  <c r="J97" i="7" s="1"/>
  <c r="J52" i="8" s="1"/>
  <c r="C3" i="8"/>
  <c r="D3" i="8"/>
  <c r="E3" i="8"/>
  <c r="F3" i="8"/>
  <c r="G3" i="8"/>
  <c r="H3" i="8"/>
  <c r="I3" i="8"/>
  <c r="J3" i="8"/>
  <c r="C4" i="8"/>
  <c r="D4" i="8"/>
  <c r="E4" i="8"/>
  <c r="F4" i="8"/>
  <c r="G4" i="8"/>
  <c r="H4" i="8"/>
  <c r="I4" i="8"/>
  <c r="J4" i="8"/>
  <c r="C5" i="8"/>
  <c r="D5" i="8"/>
  <c r="E5" i="8"/>
  <c r="F5" i="8"/>
  <c r="G5" i="8"/>
  <c r="H5" i="8"/>
  <c r="I5" i="8"/>
  <c r="J5" i="8"/>
  <c r="C6" i="8"/>
  <c r="D6" i="8"/>
  <c r="E6" i="8"/>
  <c r="F6" i="8"/>
  <c r="G6" i="8"/>
  <c r="H6" i="8"/>
  <c r="I6" i="8"/>
  <c r="J6" i="8"/>
  <c r="C7" i="8"/>
  <c r="D7" i="8"/>
  <c r="E7" i="8"/>
  <c r="F7" i="8"/>
  <c r="G7" i="8"/>
  <c r="H7" i="8"/>
  <c r="I7" i="8"/>
  <c r="J7" i="8"/>
  <c r="C8" i="8"/>
  <c r="D8" i="8"/>
  <c r="E8" i="8"/>
  <c r="F8" i="8"/>
  <c r="G8" i="8"/>
  <c r="H8" i="8"/>
  <c r="I8" i="8"/>
  <c r="J8" i="8"/>
  <c r="C9" i="8"/>
  <c r="D9" i="8"/>
  <c r="E9" i="8"/>
  <c r="F9" i="8"/>
  <c r="G9" i="8"/>
  <c r="H9" i="8"/>
  <c r="I9" i="8"/>
  <c r="J9" i="8"/>
  <c r="C10" i="8"/>
  <c r="D10" i="8"/>
  <c r="E10" i="8"/>
  <c r="F10" i="8"/>
  <c r="G10" i="8"/>
  <c r="H10" i="8"/>
  <c r="I10" i="8"/>
  <c r="J10" i="8"/>
  <c r="C11" i="8"/>
  <c r="D11" i="8"/>
  <c r="E11" i="8"/>
  <c r="F11" i="8"/>
  <c r="G11" i="8"/>
  <c r="H11" i="8"/>
  <c r="I11" i="8"/>
  <c r="J11" i="8"/>
  <c r="C12" i="8"/>
  <c r="D12" i="8"/>
  <c r="E12" i="8"/>
  <c r="F12" i="8"/>
  <c r="G12" i="8"/>
  <c r="H12" i="8"/>
  <c r="I12" i="8"/>
  <c r="J12" i="8"/>
  <c r="C13" i="8"/>
  <c r="D13" i="8"/>
  <c r="E13" i="8"/>
  <c r="F13" i="8"/>
  <c r="G13" i="8"/>
  <c r="H13" i="8"/>
  <c r="I13" i="8"/>
  <c r="J13" i="8"/>
  <c r="C14" i="8"/>
  <c r="D14" i="8"/>
  <c r="E14" i="8"/>
  <c r="F14" i="8"/>
  <c r="G14" i="8"/>
  <c r="H14" i="8"/>
  <c r="I14" i="8"/>
  <c r="J14" i="8"/>
  <c r="C15" i="8"/>
  <c r="D15" i="8"/>
  <c r="E15" i="8"/>
  <c r="F15" i="8"/>
  <c r="G15" i="8"/>
  <c r="H15" i="8"/>
  <c r="I15" i="8"/>
  <c r="J15" i="8"/>
  <c r="C16" i="8"/>
  <c r="D16" i="8"/>
  <c r="E16" i="8"/>
  <c r="F16" i="8"/>
  <c r="G16" i="8"/>
  <c r="H16" i="8"/>
  <c r="I16" i="8"/>
  <c r="J16" i="8"/>
  <c r="C17" i="8"/>
  <c r="D17" i="8"/>
  <c r="E17" i="8"/>
  <c r="F17" i="8"/>
  <c r="G17" i="8"/>
  <c r="H17" i="8"/>
  <c r="I17" i="8"/>
  <c r="J17" i="8"/>
  <c r="C18" i="8"/>
  <c r="D18" i="8"/>
  <c r="E18" i="8"/>
  <c r="F18" i="8"/>
  <c r="G18" i="8"/>
  <c r="H18" i="8"/>
  <c r="I18" i="8"/>
  <c r="J18" i="8"/>
  <c r="C19" i="8"/>
  <c r="D19" i="8"/>
  <c r="E19" i="8"/>
  <c r="F19" i="8"/>
  <c r="G19" i="8"/>
  <c r="H19" i="8"/>
  <c r="I19" i="8"/>
  <c r="J19" i="8"/>
  <c r="C20" i="8"/>
  <c r="D20" i="8"/>
  <c r="E20" i="8"/>
  <c r="F20" i="8"/>
  <c r="G20" i="8"/>
  <c r="H20" i="8"/>
  <c r="I20" i="8"/>
  <c r="J20" i="8"/>
  <c r="C21" i="8"/>
  <c r="D21" i="8"/>
  <c r="E21" i="8"/>
  <c r="F21" i="8"/>
  <c r="G21" i="8"/>
  <c r="H21" i="8"/>
  <c r="I21" i="8"/>
  <c r="J21" i="8"/>
  <c r="C22" i="8"/>
  <c r="D22" i="8"/>
  <c r="E22" i="8"/>
  <c r="F22" i="8"/>
  <c r="G22" i="8"/>
  <c r="H22" i="8"/>
  <c r="I22" i="8"/>
  <c r="J22" i="8"/>
  <c r="C23" i="8"/>
  <c r="D23" i="8"/>
  <c r="E23" i="8"/>
  <c r="F23" i="8"/>
  <c r="G23" i="8"/>
  <c r="H23" i="8"/>
  <c r="I23" i="8"/>
  <c r="J23" i="8"/>
  <c r="C24" i="8"/>
  <c r="D24" i="8"/>
  <c r="E24" i="8"/>
  <c r="F24" i="8"/>
  <c r="G24" i="8"/>
  <c r="H24" i="8"/>
  <c r="I24" i="8"/>
  <c r="J24" i="8"/>
  <c r="C25" i="8"/>
  <c r="D25" i="8"/>
  <c r="E25" i="8"/>
  <c r="F25" i="8"/>
  <c r="G25" i="8"/>
  <c r="H25" i="8"/>
  <c r="I25" i="8"/>
  <c r="J25" i="8"/>
  <c r="C26" i="8"/>
  <c r="D26" i="8"/>
  <c r="E26" i="8"/>
  <c r="F26" i="8"/>
  <c r="G26" i="8"/>
  <c r="H26" i="8"/>
  <c r="I26" i="8"/>
  <c r="J26" i="8"/>
  <c r="C27" i="8"/>
  <c r="D27" i="8"/>
  <c r="E27" i="8"/>
  <c r="F27" i="8"/>
  <c r="G27" i="8"/>
  <c r="H27" i="8"/>
  <c r="I27" i="8"/>
  <c r="J27" i="8"/>
  <c r="C28" i="8"/>
  <c r="D28" i="8"/>
  <c r="E28" i="8"/>
  <c r="F28" i="8"/>
  <c r="G28" i="8"/>
  <c r="H28" i="8"/>
  <c r="I28" i="8"/>
  <c r="J28" i="8"/>
  <c r="C29" i="8"/>
  <c r="D29" i="8"/>
  <c r="E29" i="8"/>
  <c r="F29" i="8"/>
  <c r="G29" i="8"/>
  <c r="H29" i="8"/>
  <c r="I29" i="8"/>
  <c r="J29" i="8"/>
  <c r="C30" i="8"/>
  <c r="D30" i="8"/>
  <c r="E30" i="8"/>
  <c r="F30" i="8"/>
  <c r="G30" i="8"/>
  <c r="H30" i="8"/>
  <c r="I30" i="8"/>
  <c r="J30" i="8"/>
  <c r="D2" i="8"/>
  <c r="E2" i="8"/>
  <c r="F2" i="8"/>
  <c r="G2" i="8"/>
  <c r="H2" i="8"/>
  <c r="I2" i="8"/>
  <c r="J2" i="8"/>
  <c r="D1" i="8"/>
  <c r="E1" i="8"/>
  <c r="F1" i="8"/>
  <c r="G1" i="8"/>
  <c r="H1" i="8"/>
  <c r="I1" i="8"/>
  <c r="J1" i="8"/>
  <c r="C2" i="8"/>
  <c r="B2" i="8"/>
  <c r="B1" i="8"/>
  <c r="C1" i="8"/>
  <c r="C43" i="7"/>
  <c r="C83" i="7" s="1"/>
  <c r="C38" i="8" s="1"/>
  <c r="D43" i="7"/>
  <c r="D83" i="7" s="1"/>
  <c r="D38" i="8" s="1"/>
  <c r="E43" i="7"/>
  <c r="F43" i="7"/>
  <c r="F83" i="7" s="1"/>
  <c r="F38" i="8" s="1"/>
  <c r="G43" i="7"/>
  <c r="G83" i="7" s="1"/>
  <c r="G38" i="8" s="1"/>
  <c r="H43" i="7"/>
  <c r="H83" i="7" s="1"/>
  <c r="H38" i="8" s="1"/>
  <c r="I43" i="7"/>
  <c r="J43" i="7"/>
  <c r="J83" i="7" s="1"/>
  <c r="J38" i="8" s="1"/>
  <c r="C44" i="7"/>
  <c r="C84" i="7" s="1"/>
  <c r="C39" i="8" s="1"/>
  <c r="D44" i="7"/>
  <c r="D84" i="7" s="1"/>
  <c r="D39" i="8" s="1"/>
  <c r="E44" i="7"/>
  <c r="F44" i="7"/>
  <c r="F84" i="7" s="1"/>
  <c r="F39" i="8" s="1"/>
  <c r="G44" i="7"/>
  <c r="G84" i="7" s="1"/>
  <c r="G39" i="8" s="1"/>
  <c r="H44" i="7"/>
  <c r="H84" i="7" s="1"/>
  <c r="H39" i="8" s="1"/>
  <c r="I44" i="7"/>
  <c r="J44" i="7"/>
  <c r="J84" i="7" s="1"/>
  <c r="J39" i="8" s="1"/>
  <c r="C45" i="7"/>
  <c r="C85" i="7" s="1"/>
  <c r="C40" i="8" s="1"/>
  <c r="D45" i="7"/>
  <c r="D85" i="7" s="1"/>
  <c r="D40" i="8" s="1"/>
  <c r="E45" i="7"/>
  <c r="F45" i="7"/>
  <c r="F85" i="7" s="1"/>
  <c r="F40" i="8" s="1"/>
  <c r="G45" i="7"/>
  <c r="G85" i="7" s="1"/>
  <c r="G40" i="8" s="1"/>
  <c r="H45" i="7"/>
  <c r="H85" i="7" s="1"/>
  <c r="H40" i="8" s="1"/>
  <c r="I45" i="7"/>
  <c r="J45" i="7"/>
  <c r="J85" i="7" s="1"/>
  <c r="J40" i="8" s="1"/>
  <c r="C46" i="7"/>
  <c r="C86" i="7" s="1"/>
  <c r="C41" i="8" s="1"/>
  <c r="D46" i="7"/>
  <c r="D86" i="7" s="1"/>
  <c r="D41" i="8" s="1"/>
  <c r="E46" i="7"/>
  <c r="F46" i="7"/>
  <c r="F86" i="7" s="1"/>
  <c r="F41" i="8" s="1"/>
  <c r="G46" i="7"/>
  <c r="G86" i="7" s="1"/>
  <c r="G41" i="8" s="1"/>
  <c r="H46" i="7"/>
  <c r="H86" i="7" s="1"/>
  <c r="H41" i="8" s="1"/>
  <c r="I46" i="7"/>
  <c r="J46" i="7"/>
  <c r="J86" i="7" s="1"/>
  <c r="J41" i="8" s="1"/>
  <c r="C47" i="7"/>
  <c r="C87" i="7" s="1"/>
  <c r="C42" i="8" s="1"/>
  <c r="D47" i="7"/>
  <c r="D87" i="7" s="1"/>
  <c r="D42" i="8" s="1"/>
  <c r="E47" i="7"/>
  <c r="F47" i="7"/>
  <c r="F87" i="7" s="1"/>
  <c r="F42" i="8" s="1"/>
  <c r="G47" i="7"/>
  <c r="G87" i="7" s="1"/>
  <c r="G42" i="8" s="1"/>
  <c r="H47" i="7"/>
  <c r="H87" i="7" s="1"/>
  <c r="H42" i="8" s="1"/>
  <c r="I47" i="7"/>
  <c r="J47" i="7"/>
  <c r="J87" i="7" s="1"/>
  <c r="J42" i="8" s="1"/>
  <c r="C48" i="7"/>
  <c r="C88" i="7" s="1"/>
  <c r="C43" i="8" s="1"/>
  <c r="D48" i="7"/>
  <c r="D88" i="7" s="1"/>
  <c r="D43" i="8" s="1"/>
  <c r="E48" i="7"/>
  <c r="F48" i="7"/>
  <c r="F88" i="7" s="1"/>
  <c r="F43" i="8" s="1"/>
  <c r="G48" i="7"/>
  <c r="G88" i="7" s="1"/>
  <c r="G43" i="8" s="1"/>
  <c r="H48" i="7"/>
  <c r="H88" i="7" s="1"/>
  <c r="H43" i="8" s="1"/>
  <c r="I48" i="7"/>
  <c r="J48" i="7"/>
  <c r="J88" i="7" s="1"/>
  <c r="J43" i="8" s="1"/>
  <c r="C49" i="7"/>
  <c r="C89" i="7" s="1"/>
  <c r="C44" i="8" s="1"/>
  <c r="D49" i="7"/>
  <c r="D89" i="7" s="1"/>
  <c r="D44" i="8" s="1"/>
  <c r="E49" i="7"/>
  <c r="F49" i="7"/>
  <c r="F89" i="7" s="1"/>
  <c r="F44" i="8" s="1"/>
  <c r="G49" i="7"/>
  <c r="G89" i="7" s="1"/>
  <c r="G44" i="8" s="1"/>
  <c r="H49" i="7"/>
  <c r="H89" i="7" s="1"/>
  <c r="H44" i="8" s="1"/>
  <c r="I49" i="7"/>
  <c r="J49" i="7"/>
  <c r="J89" i="7" s="1"/>
  <c r="J44" i="8" s="1"/>
  <c r="C50" i="7"/>
  <c r="C90" i="7" s="1"/>
  <c r="C45" i="8" s="1"/>
  <c r="D50" i="7"/>
  <c r="D90" i="7" s="1"/>
  <c r="D45" i="8" s="1"/>
  <c r="E50" i="7"/>
  <c r="F50" i="7"/>
  <c r="F90" i="7" s="1"/>
  <c r="F45" i="8" s="1"/>
  <c r="G50" i="7"/>
  <c r="G90" i="7" s="1"/>
  <c r="G45" i="8" s="1"/>
  <c r="H50" i="7"/>
  <c r="H90" i="7" s="1"/>
  <c r="H45" i="8" s="1"/>
  <c r="I50" i="7"/>
  <c r="J50" i="7"/>
  <c r="J90" i="7" s="1"/>
  <c r="J45" i="8" s="1"/>
  <c r="C51" i="7"/>
  <c r="C91" i="7" s="1"/>
  <c r="C46" i="8" s="1"/>
  <c r="D51" i="7"/>
  <c r="D91" i="7" s="1"/>
  <c r="D46" i="8" s="1"/>
  <c r="E51" i="7"/>
  <c r="F51" i="7"/>
  <c r="F91" i="7" s="1"/>
  <c r="F46" i="8" s="1"/>
  <c r="G51" i="7"/>
  <c r="G91" i="7" s="1"/>
  <c r="G46" i="8" s="1"/>
  <c r="H51" i="7"/>
  <c r="H91" i="7" s="1"/>
  <c r="H46" i="8" s="1"/>
  <c r="I51" i="7"/>
  <c r="J51" i="7"/>
  <c r="J91" i="7" s="1"/>
  <c r="J46" i="8" s="1"/>
  <c r="C52" i="7"/>
  <c r="C92" i="7" s="1"/>
  <c r="C47" i="8" s="1"/>
  <c r="D52" i="7"/>
  <c r="D92" i="7" s="1"/>
  <c r="D47" i="8" s="1"/>
  <c r="E52" i="7"/>
  <c r="F52" i="7"/>
  <c r="F92" i="7" s="1"/>
  <c r="F47" i="8" s="1"/>
  <c r="G52" i="7"/>
  <c r="G92" i="7" s="1"/>
  <c r="G47" i="8" s="1"/>
  <c r="H52" i="7"/>
  <c r="H92" i="7" s="1"/>
  <c r="H47" i="8" s="1"/>
  <c r="I52" i="7"/>
  <c r="J52" i="7"/>
  <c r="J92" i="7" s="1"/>
  <c r="J47" i="8" s="1"/>
  <c r="C53" i="7"/>
  <c r="C93" i="7" s="1"/>
  <c r="C48" i="8" s="1"/>
  <c r="D53" i="7"/>
  <c r="D93" i="7" s="1"/>
  <c r="D48" i="8" s="1"/>
  <c r="E53" i="7"/>
  <c r="F53" i="7"/>
  <c r="F93" i="7" s="1"/>
  <c r="F48" i="8" s="1"/>
  <c r="G53" i="7"/>
  <c r="G93" i="7" s="1"/>
  <c r="G48" i="8" s="1"/>
  <c r="H53" i="7"/>
  <c r="H93" i="7" s="1"/>
  <c r="H48" i="8" s="1"/>
  <c r="I53" i="7"/>
  <c r="J53" i="7"/>
  <c r="J93" i="7" s="1"/>
  <c r="J48" i="8" s="1"/>
  <c r="C54" i="7"/>
  <c r="C94" i="7" s="1"/>
  <c r="C49" i="8" s="1"/>
  <c r="D54" i="7"/>
  <c r="D94" i="7" s="1"/>
  <c r="D49" i="8" s="1"/>
  <c r="E54" i="7"/>
  <c r="F54" i="7"/>
  <c r="F94" i="7" s="1"/>
  <c r="F49" i="8" s="1"/>
  <c r="G54" i="7"/>
  <c r="G94" i="7" s="1"/>
  <c r="G49" i="8" s="1"/>
  <c r="H54" i="7"/>
  <c r="H94" i="7" s="1"/>
  <c r="H49" i="8" s="1"/>
  <c r="I54" i="7"/>
  <c r="J54" i="7"/>
  <c r="J94" i="7" s="1"/>
  <c r="J49" i="8" s="1"/>
  <c r="C55" i="7"/>
  <c r="C95" i="7" s="1"/>
  <c r="C50" i="8" s="1"/>
  <c r="D55" i="7"/>
  <c r="D95" i="7" s="1"/>
  <c r="D50" i="8" s="1"/>
  <c r="E55" i="7"/>
  <c r="F55" i="7"/>
  <c r="F95" i="7" s="1"/>
  <c r="F50" i="8" s="1"/>
  <c r="G55" i="7"/>
  <c r="G95" i="7" s="1"/>
  <c r="G50" i="8" s="1"/>
  <c r="H55" i="7"/>
  <c r="H95" i="7" s="1"/>
  <c r="H50" i="8" s="1"/>
  <c r="I55" i="7"/>
  <c r="J55" i="7"/>
  <c r="J95" i="7" s="1"/>
  <c r="J50" i="8" s="1"/>
  <c r="C56" i="7"/>
  <c r="C96" i="7" s="1"/>
  <c r="C51" i="8" s="1"/>
  <c r="D56" i="7"/>
  <c r="D96" i="7" s="1"/>
  <c r="D51" i="8" s="1"/>
  <c r="E56" i="7"/>
  <c r="F56" i="7"/>
  <c r="F96" i="7" s="1"/>
  <c r="F51" i="8" s="1"/>
  <c r="G56" i="7"/>
  <c r="G96" i="7" s="1"/>
  <c r="G51" i="8" s="1"/>
  <c r="H56" i="7"/>
  <c r="H96" i="7" s="1"/>
  <c r="H51" i="8" s="1"/>
  <c r="I56" i="7"/>
  <c r="J56" i="7"/>
  <c r="J96" i="7" s="1"/>
  <c r="J51" i="8" s="1"/>
  <c r="C57" i="7"/>
  <c r="C97" i="7" s="1"/>
  <c r="C52" i="8" s="1"/>
  <c r="D57" i="7"/>
  <c r="D97" i="7" s="1"/>
  <c r="D52" i="8" s="1"/>
  <c r="E57" i="7"/>
  <c r="F57" i="7"/>
  <c r="F97" i="7" s="1"/>
  <c r="F52" i="8" s="1"/>
  <c r="G57" i="7"/>
  <c r="G97" i="7" s="1"/>
  <c r="G52" i="8" s="1"/>
  <c r="H57" i="7"/>
  <c r="H97" i="7" s="1"/>
  <c r="H52" i="8" s="1"/>
  <c r="I57" i="7"/>
  <c r="C58" i="7"/>
  <c r="C98" i="7" s="1"/>
  <c r="C53" i="8" s="1"/>
  <c r="D58" i="7"/>
  <c r="D98" i="7" s="1"/>
  <c r="D53" i="8" s="1"/>
  <c r="E58" i="7"/>
  <c r="F58" i="7"/>
  <c r="F98" i="7" s="1"/>
  <c r="F53" i="8" s="1"/>
  <c r="G58" i="7"/>
  <c r="G98" i="7" s="1"/>
  <c r="G53" i="8" s="1"/>
  <c r="H58" i="7"/>
  <c r="H98" i="7" s="1"/>
  <c r="H53" i="8" s="1"/>
  <c r="I58" i="7"/>
  <c r="J58" i="7"/>
  <c r="J98" i="7" s="1"/>
  <c r="J53" i="8" s="1"/>
  <c r="C59" i="7"/>
  <c r="C99" i="7" s="1"/>
  <c r="C54" i="8" s="1"/>
  <c r="D59" i="7"/>
  <c r="D99" i="7" s="1"/>
  <c r="D54" i="8" s="1"/>
  <c r="E59" i="7"/>
  <c r="F59" i="7"/>
  <c r="F99" i="7" s="1"/>
  <c r="F54" i="8" s="1"/>
  <c r="G59" i="7"/>
  <c r="G99" i="7" s="1"/>
  <c r="G54" i="8" s="1"/>
  <c r="H59" i="7"/>
  <c r="H99" i="7" s="1"/>
  <c r="H54" i="8" s="1"/>
  <c r="I59" i="7"/>
  <c r="J59" i="7"/>
  <c r="J99" i="7" s="1"/>
  <c r="J54" i="8" s="1"/>
  <c r="C60" i="7"/>
  <c r="C100" i="7" s="1"/>
  <c r="C55" i="8" s="1"/>
  <c r="D60" i="7"/>
  <c r="D100" i="7" s="1"/>
  <c r="D55" i="8" s="1"/>
  <c r="E60" i="7"/>
  <c r="F60" i="7"/>
  <c r="F100" i="7" s="1"/>
  <c r="F55" i="8" s="1"/>
  <c r="G60" i="7"/>
  <c r="G100" i="7" s="1"/>
  <c r="G55" i="8" s="1"/>
  <c r="H60" i="7"/>
  <c r="H100" i="7" s="1"/>
  <c r="H55" i="8" s="1"/>
  <c r="I60" i="7"/>
  <c r="J60" i="7"/>
  <c r="J100" i="7" s="1"/>
  <c r="J55" i="8" s="1"/>
  <c r="C61" i="7"/>
  <c r="C101" i="7" s="1"/>
  <c r="C56" i="8" s="1"/>
  <c r="D61" i="7"/>
  <c r="D101" i="7" s="1"/>
  <c r="D56" i="8" s="1"/>
  <c r="E61" i="7"/>
  <c r="F61" i="7"/>
  <c r="F101" i="7" s="1"/>
  <c r="F56" i="8" s="1"/>
  <c r="G61" i="7"/>
  <c r="G101" i="7" s="1"/>
  <c r="G56" i="8" s="1"/>
  <c r="H61" i="7"/>
  <c r="H101" i="7" s="1"/>
  <c r="H56" i="8" s="1"/>
  <c r="I61" i="7"/>
  <c r="J61" i="7"/>
  <c r="J101" i="7" s="1"/>
  <c r="J56" i="8" s="1"/>
  <c r="C62" i="7"/>
  <c r="C102" i="7" s="1"/>
  <c r="C57" i="8" s="1"/>
  <c r="D62" i="7"/>
  <c r="D102" i="7" s="1"/>
  <c r="D57" i="8" s="1"/>
  <c r="E62" i="7"/>
  <c r="F62" i="7"/>
  <c r="F102" i="7" s="1"/>
  <c r="F57" i="8" s="1"/>
  <c r="G62" i="7"/>
  <c r="G102" i="7" s="1"/>
  <c r="G57" i="8" s="1"/>
  <c r="H62" i="7"/>
  <c r="H102" i="7" s="1"/>
  <c r="H57" i="8" s="1"/>
  <c r="I62" i="7"/>
  <c r="J62" i="7"/>
  <c r="J102" i="7" s="1"/>
  <c r="J57" i="8" s="1"/>
  <c r="C63" i="7"/>
  <c r="C103" i="7" s="1"/>
  <c r="C58" i="8" s="1"/>
  <c r="D63" i="7"/>
  <c r="D103" i="7" s="1"/>
  <c r="D58" i="8" s="1"/>
  <c r="E63" i="7"/>
  <c r="F63" i="7"/>
  <c r="F103" i="7" s="1"/>
  <c r="F58" i="8" s="1"/>
  <c r="G63" i="7"/>
  <c r="G103" i="7" s="1"/>
  <c r="G58" i="8" s="1"/>
  <c r="H63" i="7"/>
  <c r="H103" i="7" s="1"/>
  <c r="H58" i="8" s="1"/>
  <c r="I63" i="7"/>
  <c r="J63" i="7"/>
  <c r="J103" i="7" s="1"/>
  <c r="J58" i="8" s="1"/>
  <c r="C64" i="7"/>
  <c r="C104" i="7" s="1"/>
  <c r="C59" i="8" s="1"/>
  <c r="D64" i="7"/>
  <c r="D104" i="7" s="1"/>
  <c r="D59" i="8" s="1"/>
  <c r="E64" i="7"/>
  <c r="F64" i="7"/>
  <c r="F104" i="7" s="1"/>
  <c r="F59" i="8" s="1"/>
  <c r="G64" i="7"/>
  <c r="G104" i="7" s="1"/>
  <c r="G59" i="8" s="1"/>
  <c r="H64" i="7"/>
  <c r="H104" i="7" s="1"/>
  <c r="H59" i="8" s="1"/>
  <c r="I64" i="7"/>
  <c r="J64" i="7"/>
  <c r="J104" i="7" s="1"/>
  <c r="J59" i="8" s="1"/>
  <c r="C65" i="7"/>
  <c r="C105" i="7" s="1"/>
  <c r="C60" i="8" s="1"/>
  <c r="D65" i="7"/>
  <c r="D105" i="7" s="1"/>
  <c r="D60" i="8" s="1"/>
  <c r="E65" i="7"/>
  <c r="F65" i="7"/>
  <c r="F105" i="7" s="1"/>
  <c r="F60" i="8" s="1"/>
  <c r="G65" i="7"/>
  <c r="G105" i="7" s="1"/>
  <c r="G60" i="8" s="1"/>
  <c r="H65" i="7"/>
  <c r="H105" i="7" s="1"/>
  <c r="H60" i="8" s="1"/>
  <c r="I65" i="7"/>
  <c r="J65" i="7"/>
  <c r="J105" i="7" s="1"/>
  <c r="J60" i="8" s="1"/>
  <c r="C66" i="7"/>
  <c r="C106" i="7" s="1"/>
  <c r="C61" i="8" s="1"/>
  <c r="D66" i="7"/>
  <c r="D106" i="7" s="1"/>
  <c r="D61" i="8" s="1"/>
  <c r="E66" i="7"/>
  <c r="F66" i="7"/>
  <c r="F106" i="7" s="1"/>
  <c r="F61" i="8" s="1"/>
  <c r="G66" i="7"/>
  <c r="G106" i="7" s="1"/>
  <c r="G61" i="8" s="1"/>
  <c r="H66" i="7"/>
  <c r="H106" i="7" s="1"/>
  <c r="H61" i="8" s="1"/>
  <c r="I66" i="7"/>
  <c r="J66" i="7"/>
  <c r="J106" i="7" s="1"/>
  <c r="J61" i="8" s="1"/>
  <c r="C67" i="7"/>
  <c r="C107" i="7" s="1"/>
  <c r="C62" i="8" s="1"/>
  <c r="D67" i="7"/>
  <c r="D107" i="7" s="1"/>
  <c r="D62" i="8" s="1"/>
  <c r="E67" i="7"/>
  <c r="F67" i="7"/>
  <c r="F107" i="7" s="1"/>
  <c r="F62" i="8" s="1"/>
  <c r="G67" i="7"/>
  <c r="G107" i="7" s="1"/>
  <c r="G62" i="8" s="1"/>
  <c r="H67" i="7"/>
  <c r="H107" i="7" s="1"/>
  <c r="H62" i="8" s="1"/>
  <c r="H113" i="8" s="1"/>
  <c r="I67" i="7"/>
  <c r="J67" i="7"/>
  <c r="J107" i="7" s="1"/>
  <c r="J62" i="8" s="1"/>
  <c r="C68" i="7"/>
  <c r="C108" i="7" s="1"/>
  <c r="C63" i="8" s="1"/>
  <c r="D68" i="7"/>
  <c r="D108" i="7" s="1"/>
  <c r="D63" i="8" s="1"/>
  <c r="E68" i="7"/>
  <c r="F68" i="7"/>
  <c r="F108" i="7" s="1"/>
  <c r="F63" i="8" s="1"/>
  <c r="G68" i="7"/>
  <c r="G108" i="7" s="1"/>
  <c r="G63" i="8" s="1"/>
  <c r="H68" i="7"/>
  <c r="H108" i="7" s="1"/>
  <c r="H63" i="8" s="1"/>
  <c r="I68" i="7"/>
  <c r="J68" i="7"/>
  <c r="J108" i="7" s="1"/>
  <c r="J63" i="8" s="1"/>
  <c r="C69" i="7"/>
  <c r="C109" i="7" s="1"/>
  <c r="C64" i="8" s="1"/>
  <c r="D69" i="7"/>
  <c r="D109" i="7" s="1"/>
  <c r="D64" i="8" s="1"/>
  <c r="E69" i="7"/>
  <c r="F69" i="7"/>
  <c r="F109" i="7" s="1"/>
  <c r="F64" i="8" s="1"/>
  <c r="G69" i="7"/>
  <c r="G109" i="7" s="1"/>
  <c r="G64" i="8" s="1"/>
  <c r="H69" i="7"/>
  <c r="H109" i="7" s="1"/>
  <c r="H64" i="8" s="1"/>
  <c r="I69" i="7"/>
  <c r="J69" i="7"/>
  <c r="J109" i="7" s="1"/>
  <c r="J64" i="8" s="1"/>
  <c r="D42" i="7"/>
  <c r="D82" i="7" s="1"/>
  <c r="D37" i="8" s="1"/>
  <c r="E42" i="7"/>
  <c r="F42" i="7"/>
  <c r="F82" i="7" s="1"/>
  <c r="F37" i="8" s="1"/>
  <c r="G42" i="7"/>
  <c r="G82" i="7" s="1"/>
  <c r="G37" i="8" s="1"/>
  <c r="H42" i="7"/>
  <c r="H82" i="7" s="1"/>
  <c r="H37" i="8" s="1"/>
  <c r="I42" i="7"/>
  <c r="J42" i="7"/>
  <c r="J82" i="7" s="1"/>
  <c r="J37" i="8" s="1"/>
  <c r="C42" i="7"/>
  <c r="C82" i="7" s="1"/>
  <c r="J41" i="7"/>
  <c r="J81" i="7" s="1"/>
  <c r="D41" i="7"/>
  <c r="D81" i="7" s="1"/>
  <c r="E41" i="7"/>
  <c r="E81" i="7" s="1"/>
  <c r="F41" i="7"/>
  <c r="F81" i="7" s="1"/>
  <c r="G41" i="7"/>
  <c r="G81" i="7" s="1"/>
  <c r="H41" i="7"/>
  <c r="H81" i="7" s="1"/>
  <c r="I41" i="7"/>
  <c r="I81" i="7" s="1"/>
  <c r="C41" i="7"/>
  <c r="C81" i="7" s="1"/>
  <c r="L56" i="22" l="1"/>
  <c r="L100" i="22"/>
  <c r="M99" i="22" s="1"/>
  <c r="P99" i="22" s="1"/>
  <c r="J100" i="22"/>
  <c r="J57" i="22"/>
  <c r="J59" i="22" s="1"/>
  <c r="L57" i="22"/>
  <c r="M56" i="22" s="1"/>
  <c r="P56" i="22" s="1"/>
  <c r="X87" i="22"/>
  <c r="J101" i="22"/>
  <c r="F94" i="8"/>
  <c r="G101" i="8"/>
  <c r="D115" i="8"/>
  <c r="D109" i="8"/>
  <c r="G98" i="8"/>
  <c r="J88" i="8"/>
  <c r="H107" i="8"/>
  <c r="G92" i="8"/>
  <c r="H96" i="8"/>
  <c r="F101" i="8"/>
  <c r="F92" i="8"/>
  <c r="H102" i="8"/>
  <c r="H99" i="8"/>
  <c r="D92" i="8"/>
  <c r="H114" i="8"/>
  <c r="G102" i="8"/>
  <c r="G90" i="8"/>
  <c r="G111" i="8"/>
  <c r="D96" i="8"/>
  <c r="D111" i="8"/>
  <c r="D108" i="8"/>
  <c r="G94" i="8"/>
  <c r="F103" i="8"/>
  <c r="F100" i="8"/>
  <c r="F97" i="8"/>
  <c r="F105" i="8"/>
  <c r="D112" i="8"/>
  <c r="H104" i="8"/>
  <c r="F113" i="8"/>
  <c r="F110" i="8"/>
  <c r="D101" i="8"/>
  <c r="D89" i="8"/>
  <c r="D113" i="8"/>
  <c r="H105" i="8"/>
  <c r="G99" i="8"/>
  <c r="G114" i="8"/>
  <c r="F99" i="8"/>
  <c r="H100" i="8"/>
  <c r="H97" i="8"/>
  <c r="G115" i="8"/>
  <c r="G109" i="8"/>
  <c r="F112" i="8"/>
  <c r="F109" i="8"/>
  <c r="F106" i="8"/>
  <c r="F88" i="8"/>
  <c r="D106" i="8"/>
  <c r="G91" i="8"/>
  <c r="G113" i="8"/>
  <c r="G108" i="8"/>
  <c r="F104" i="8"/>
  <c r="D98" i="8"/>
  <c r="H93" i="8"/>
  <c r="H90" i="8"/>
  <c r="H111" i="8"/>
  <c r="D104" i="8"/>
  <c r="G104" i="8"/>
  <c r="D88" i="8"/>
  <c r="D99" i="8"/>
  <c r="H112" i="8"/>
  <c r="H109" i="8"/>
  <c r="G97" i="8"/>
  <c r="G112" i="8"/>
  <c r="G95" i="8"/>
  <c r="F115" i="8"/>
  <c r="D103" i="8"/>
  <c r="H101" i="8"/>
  <c r="D100" i="8"/>
  <c r="H98" i="8"/>
  <c r="D97" i="8"/>
  <c r="H95" i="8"/>
  <c r="D94" i="8"/>
  <c r="H92" i="8"/>
  <c r="D107" i="8"/>
  <c r="H89" i="8"/>
  <c r="F98" i="8"/>
  <c r="F111" i="8"/>
  <c r="G105" i="8"/>
  <c r="D95" i="8"/>
  <c r="G103" i="8"/>
  <c r="D110" i="8"/>
  <c r="F108" i="8"/>
  <c r="H106" i="8"/>
  <c r="F96" i="8"/>
  <c r="H94" i="8"/>
  <c r="G89" i="8"/>
  <c r="F114" i="8"/>
  <c r="G107" i="8"/>
  <c r="F102" i="8"/>
  <c r="F95" i="8"/>
  <c r="D114" i="8"/>
  <c r="H103" i="8"/>
  <c r="D105" i="8"/>
  <c r="F91" i="8"/>
  <c r="G106" i="8"/>
  <c r="D91" i="8"/>
  <c r="F89" i="8"/>
  <c r="D90" i="8"/>
  <c r="G96" i="8"/>
  <c r="F107" i="8"/>
  <c r="G100" i="8"/>
  <c r="H110" i="8"/>
  <c r="G93" i="8"/>
  <c r="G110" i="8"/>
  <c r="D93" i="8"/>
  <c r="H88" i="8"/>
  <c r="D102" i="8"/>
  <c r="F93" i="8"/>
  <c r="H108" i="8"/>
  <c r="G88" i="8"/>
  <c r="F90" i="8"/>
  <c r="H115" i="8"/>
  <c r="H91" i="8"/>
  <c r="J99" i="8"/>
  <c r="J101" i="8"/>
  <c r="J110" i="8"/>
  <c r="J95" i="8"/>
  <c r="J92" i="8"/>
  <c r="J98" i="8"/>
  <c r="J113" i="8"/>
  <c r="J89" i="8"/>
  <c r="J107" i="8"/>
  <c r="J104" i="8"/>
  <c r="J111" i="7"/>
  <c r="J110" i="7"/>
  <c r="J124" i="7" s="1"/>
  <c r="J93" i="8"/>
  <c r="J108" i="8"/>
  <c r="J90" i="8"/>
  <c r="J96" i="8"/>
  <c r="J111" i="8"/>
  <c r="J102" i="8"/>
  <c r="J115" i="8"/>
  <c r="J112" i="8"/>
  <c r="J109" i="8"/>
  <c r="J106" i="8"/>
  <c r="J103" i="8"/>
  <c r="J100" i="8"/>
  <c r="J97" i="8"/>
  <c r="J94" i="8"/>
  <c r="J91" i="8"/>
  <c r="J114" i="8"/>
  <c r="J105" i="8"/>
  <c r="J71" i="7"/>
  <c r="H111" i="7"/>
  <c r="H110" i="7"/>
  <c r="D110" i="7"/>
  <c r="D111" i="7"/>
  <c r="F110" i="7"/>
  <c r="F111" i="7"/>
  <c r="C110" i="7"/>
  <c r="G111" i="7"/>
  <c r="J72" i="7"/>
  <c r="C72" i="7"/>
  <c r="G110" i="7"/>
  <c r="C71" i="7"/>
  <c r="J102" i="22" l="1"/>
  <c r="C73" i="7"/>
  <c r="J131" i="7"/>
  <c r="J127" i="7"/>
  <c r="J116" i="7"/>
  <c r="J137" i="7"/>
  <c r="J132" i="7"/>
  <c r="J135" i="7"/>
  <c r="J121" i="7"/>
  <c r="J138" i="7"/>
  <c r="J125" i="7"/>
  <c r="J126" i="7"/>
  <c r="J136" i="7"/>
  <c r="J122" i="7"/>
  <c r="J139" i="7"/>
  <c r="J123" i="7"/>
  <c r="J133" i="7"/>
  <c r="J134" i="7"/>
  <c r="J120" i="7"/>
  <c r="J119" i="7"/>
  <c r="J140" i="7"/>
  <c r="J118" i="7"/>
  <c r="J128" i="7"/>
  <c r="J129" i="7"/>
  <c r="J130" i="7"/>
  <c r="J141" i="7"/>
  <c r="J142" i="7"/>
  <c r="J143" i="7"/>
  <c r="J117" i="7"/>
  <c r="J73" i="7"/>
  <c r="J117" i="8"/>
  <c r="J118" i="8"/>
  <c r="J144" i="7" l="1"/>
  <c r="J145" i="7"/>
  <c r="E154" i="8" l="1"/>
  <c r="E153" i="8"/>
  <c r="C37" i="8"/>
  <c r="C88" i="8" s="1"/>
  <c r="H137" i="8" l="1"/>
  <c r="C99" i="8"/>
  <c r="C97" i="8"/>
  <c r="C92" i="8"/>
  <c r="C104" i="8"/>
  <c r="C90" i="8"/>
  <c r="C102" i="8"/>
  <c r="C107" i="8"/>
  <c r="C109" i="8"/>
  <c r="C93" i="8"/>
  <c r="C95" i="8"/>
  <c r="C114" i="8"/>
  <c r="C103" i="8"/>
  <c r="C106" i="8"/>
  <c r="C89" i="8"/>
  <c r="C96" i="8"/>
  <c r="C94" i="8"/>
  <c r="C101" i="8"/>
  <c r="C108" i="8"/>
  <c r="C113" i="8"/>
  <c r="C91" i="8"/>
  <c r="C110" i="8"/>
  <c r="C115" i="8"/>
  <c r="C100" i="8"/>
  <c r="C112" i="8"/>
  <c r="C111" i="8"/>
  <c r="C105" i="8"/>
  <c r="C98" i="8"/>
  <c r="H135" i="8"/>
  <c r="H136" i="8"/>
  <c r="C117" i="8" l="1"/>
  <c r="F118" i="8"/>
  <c r="H118" i="8"/>
  <c r="H117" i="8"/>
  <c r="F117" i="8"/>
  <c r="C118" i="8"/>
  <c r="G118" i="8"/>
  <c r="G117" i="8"/>
  <c r="A3" i="8"/>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D180" i="7"/>
  <c r="F117" i="7"/>
  <c r="G117" i="7"/>
  <c r="F119" i="7"/>
  <c r="G119" i="7"/>
  <c r="F121" i="7"/>
  <c r="G121" i="7"/>
  <c r="F123" i="7"/>
  <c r="G123" i="7"/>
  <c r="F125" i="7"/>
  <c r="G125" i="7"/>
  <c r="F127" i="7"/>
  <c r="G127" i="7"/>
  <c r="F129" i="7"/>
  <c r="G129" i="7"/>
  <c r="F131" i="7"/>
  <c r="G131" i="7"/>
  <c r="F133" i="7"/>
  <c r="G133" i="7"/>
  <c r="F135" i="7"/>
  <c r="G135" i="7"/>
  <c r="F137" i="7"/>
  <c r="G137" i="7"/>
  <c r="F139" i="7"/>
  <c r="G139" i="7"/>
  <c r="F141" i="7"/>
  <c r="G141" i="7"/>
  <c r="F143" i="7"/>
  <c r="G143" i="7"/>
  <c r="F118" i="7"/>
  <c r="G134" i="7"/>
  <c r="H124" i="7"/>
  <c r="C111" i="7"/>
  <c r="C129" i="7" s="1"/>
  <c r="F116" i="7"/>
  <c r="G116" i="7"/>
  <c r="H117" i="7"/>
  <c r="I83" i="7"/>
  <c r="I38" i="8" s="1"/>
  <c r="I84" i="7"/>
  <c r="I39" i="8" s="1"/>
  <c r="I85" i="7"/>
  <c r="I40" i="8" s="1"/>
  <c r="I86" i="7"/>
  <c r="I41" i="8" s="1"/>
  <c r="I87" i="7"/>
  <c r="I42" i="8" s="1"/>
  <c r="I88" i="7"/>
  <c r="I43" i="8" s="1"/>
  <c r="I89" i="7"/>
  <c r="I44" i="8" s="1"/>
  <c r="I90" i="7"/>
  <c r="I45" i="8" s="1"/>
  <c r="I91" i="7"/>
  <c r="I46" i="8" s="1"/>
  <c r="I92" i="7"/>
  <c r="I47" i="8" s="1"/>
  <c r="I93" i="7"/>
  <c r="I48" i="8" s="1"/>
  <c r="I94" i="7"/>
  <c r="I49" i="8" s="1"/>
  <c r="I95" i="7"/>
  <c r="I50" i="8" s="1"/>
  <c r="I96" i="7"/>
  <c r="I51" i="8" s="1"/>
  <c r="I97" i="7"/>
  <c r="I52" i="8" s="1"/>
  <c r="I98" i="7"/>
  <c r="I53" i="8" s="1"/>
  <c r="I99" i="7"/>
  <c r="I54" i="8" s="1"/>
  <c r="I100" i="7"/>
  <c r="I55" i="8" s="1"/>
  <c r="I101" i="7"/>
  <c r="I56" i="8" s="1"/>
  <c r="I102" i="7"/>
  <c r="I57" i="8" s="1"/>
  <c r="I103" i="7"/>
  <c r="I58" i="8" s="1"/>
  <c r="I104" i="7"/>
  <c r="I59" i="8" s="1"/>
  <c r="I105" i="7"/>
  <c r="I60" i="8" s="1"/>
  <c r="I106" i="7"/>
  <c r="I61" i="8" s="1"/>
  <c r="I107" i="7"/>
  <c r="I62" i="8" s="1"/>
  <c r="I108" i="7"/>
  <c r="I63" i="8" s="1"/>
  <c r="I114" i="8" s="1"/>
  <c r="I109" i="7"/>
  <c r="I64" i="8" s="1"/>
  <c r="I82" i="7"/>
  <c r="I37" i="8" s="1"/>
  <c r="E83" i="7"/>
  <c r="E38" i="8" s="1"/>
  <c r="E84" i="7"/>
  <c r="E39" i="8" s="1"/>
  <c r="E85" i="7"/>
  <c r="E40" i="8" s="1"/>
  <c r="E86" i="7"/>
  <c r="E41" i="8" s="1"/>
  <c r="E87" i="7"/>
  <c r="E42" i="8" s="1"/>
  <c r="E88" i="7"/>
  <c r="E43" i="8" s="1"/>
  <c r="E89" i="7"/>
  <c r="E44" i="8" s="1"/>
  <c r="E90" i="7"/>
  <c r="E45" i="8" s="1"/>
  <c r="E91" i="7"/>
  <c r="E46" i="8" s="1"/>
  <c r="E92" i="7"/>
  <c r="E47" i="8" s="1"/>
  <c r="E93" i="7"/>
  <c r="E48" i="8" s="1"/>
  <c r="E94" i="7"/>
  <c r="E49" i="8" s="1"/>
  <c r="E95" i="7"/>
  <c r="E50" i="8" s="1"/>
  <c r="E96" i="7"/>
  <c r="E51" i="8" s="1"/>
  <c r="E97" i="7"/>
  <c r="E52" i="8" s="1"/>
  <c r="E98" i="7"/>
  <c r="E53" i="8" s="1"/>
  <c r="E99" i="7"/>
  <c r="E54" i="8" s="1"/>
  <c r="E100" i="7"/>
  <c r="E55" i="8" s="1"/>
  <c r="E101" i="7"/>
  <c r="E56" i="8" s="1"/>
  <c r="E102" i="7"/>
  <c r="E57" i="8" s="1"/>
  <c r="E103" i="7"/>
  <c r="E58" i="8" s="1"/>
  <c r="E104" i="7"/>
  <c r="E59" i="8" s="1"/>
  <c r="E105" i="7"/>
  <c r="E60" i="8" s="1"/>
  <c r="E106" i="7"/>
  <c r="E61" i="8" s="1"/>
  <c r="E107" i="7"/>
  <c r="E62" i="8" s="1"/>
  <c r="E108" i="7"/>
  <c r="E63" i="8" s="1"/>
  <c r="E109" i="7"/>
  <c r="E64" i="8" s="1"/>
  <c r="E82" i="7"/>
  <c r="E37" i="8" s="1"/>
  <c r="D72" i="7"/>
  <c r="E72" i="7"/>
  <c r="F72" i="7"/>
  <c r="G72" i="7"/>
  <c r="H72" i="7"/>
  <c r="I72" i="7"/>
  <c r="D71" i="7"/>
  <c r="E71" i="7"/>
  <c r="F71" i="7"/>
  <c r="G71" i="7"/>
  <c r="H71" i="7"/>
  <c r="I71" i="7"/>
  <c r="A3" i="7"/>
  <c r="A4" i="7" s="1"/>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C118" i="7" l="1"/>
  <c r="C116" i="7"/>
  <c r="E110" i="8"/>
  <c r="E98" i="8"/>
  <c r="I113" i="8"/>
  <c r="I99" i="8"/>
  <c r="I98" i="8"/>
  <c r="E93" i="8"/>
  <c r="I96" i="8"/>
  <c r="E115" i="8"/>
  <c r="I107" i="8"/>
  <c r="I90" i="8"/>
  <c r="I101" i="8"/>
  <c r="I100" i="8"/>
  <c r="I111" i="8"/>
  <c r="I110" i="8"/>
  <c r="I73" i="7"/>
  <c r="E92" i="8"/>
  <c r="E107" i="8"/>
  <c r="E91" i="8"/>
  <c r="I95" i="8"/>
  <c r="E114" i="8"/>
  <c r="E102" i="8"/>
  <c r="E90" i="8"/>
  <c r="I106" i="8"/>
  <c r="E97" i="8"/>
  <c r="E96" i="8"/>
  <c r="I109" i="8"/>
  <c r="E88" i="8"/>
  <c r="E103" i="8"/>
  <c r="E89" i="8"/>
  <c r="E109" i="8"/>
  <c r="I112" i="8"/>
  <c r="E94" i="8"/>
  <c r="E105" i="8"/>
  <c r="E104" i="8"/>
  <c r="E113" i="8"/>
  <c r="I105" i="8"/>
  <c r="E100" i="8"/>
  <c r="I94" i="8"/>
  <c r="I88" i="8"/>
  <c r="I104" i="8"/>
  <c r="I92" i="8"/>
  <c r="I102" i="8"/>
  <c r="I91" i="8"/>
  <c r="I89" i="8"/>
  <c r="E108" i="8"/>
  <c r="E95" i="8"/>
  <c r="E106" i="8"/>
  <c r="I97" i="8"/>
  <c r="I108" i="8"/>
  <c r="E101" i="8"/>
  <c r="I93" i="8"/>
  <c r="E112" i="8"/>
  <c r="E111" i="8"/>
  <c r="E99" i="8"/>
  <c r="I115" i="8"/>
  <c r="I103" i="8"/>
  <c r="H172" i="7"/>
  <c r="C121" i="7"/>
  <c r="E110" i="7"/>
  <c r="E111" i="7"/>
  <c r="I110" i="7"/>
  <c r="I111" i="7"/>
  <c r="C137" i="7"/>
  <c r="C135" i="7"/>
  <c r="C119" i="7"/>
  <c r="C143" i="7"/>
  <c r="C127" i="7"/>
  <c r="C117" i="7"/>
  <c r="C141" i="7"/>
  <c r="C125" i="7"/>
  <c r="C139" i="7"/>
  <c r="C123" i="7"/>
  <c r="C133" i="7"/>
  <c r="C131" i="7"/>
  <c r="H73" i="7"/>
  <c r="G73" i="7"/>
  <c r="F73" i="7"/>
  <c r="H126" i="7"/>
  <c r="G140" i="7"/>
  <c r="G136" i="7"/>
  <c r="G132" i="7"/>
  <c r="G130" i="7"/>
  <c r="G128" i="7"/>
  <c r="G126" i="7"/>
  <c r="G124" i="7"/>
  <c r="G122" i="7"/>
  <c r="G120" i="7"/>
  <c r="G118" i="7"/>
  <c r="H170" i="7"/>
  <c r="H132" i="7"/>
  <c r="H118" i="7"/>
  <c r="G138" i="7"/>
  <c r="F142" i="7"/>
  <c r="F140" i="7"/>
  <c r="F138" i="7"/>
  <c r="F136" i="7"/>
  <c r="F134" i="7"/>
  <c r="F132" i="7"/>
  <c r="F130" i="7"/>
  <c r="F128" i="7"/>
  <c r="F126" i="7"/>
  <c r="F124" i="7"/>
  <c r="F122" i="7"/>
  <c r="F120" i="7"/>
  <c r="H171" i="7"/>
  <c r="H142" i="7"/>
  <c r="H138" i="7"/>
  <c r="H130" i="7"/>
  <c r="H122" i="7"/>
  <c r="H116" i="7"/>
  <c r="E73" i="7"/>
  <c r="C142" i="7"/>
  <c r="C140" i="7"/>
  <c r="C138" i="7"/>
  <c r="C136" i="7"/>
  <c r="C134" i="7"/>
  <c r="C132" i="7"/>
  <c r="C130" i="7"/>
  <c r="C128" i="7"/>
  <c r="C126" i="7"/>
  <c r="C124" i="7"/>
  <c r="C122" i="7"/>
  <c r="C120" i="7"/>
  <c r="H136" i="7"/>
  <c r="H128" i="7"/>
  <c r="H120" i="7"/>
  <c r="G142" i="7"/>
  <c r="H140" i="7"/>
  <c r="H134" i="7"/>
  <c r="H143" i="7"/>
  <c r="H141" i="7"/>
  <c r="H139" i="7"/>
  <c r="H137" i="7"/>
  <c r="H135" i="7"/>
  <c r="H133" i="7"/>
  <c r="H131" i="7"/>
  <c r="H129" i="7"/>
  <c r="H127" i="7"/>
  <c r="H125" i="7"/>
  <c r="H123" i="7"/>
  <c r="H121" i="7"/>
  <c r="H119" i="7"/>
  <c r="D73" i="7"/>
  <c r="F144" i="7" l="1"/>
  <c r="G144" i="7"/>
  <c r="F74" i="7"/>
  <c r="F145" i="7"/>
  <c r="G145" i="7"/>
  <c r="E130" i="7"/>
  <c r="E74" i="7"/>
  <c r="G74" i="7"/>
  <c r="H74" i="7"/>
  <c r="D74" i="7"/>
  <c r="C74" i="7"/>
  <c r="J74" i="7"/>
  <c r="C144" i="7"/>
  <c r="C145" i="7"/>
  <c r="H144" i="7"/>
  <c r="H145" i="7"/>
  <c r="E126" i="7"/>
  <c r="I74" i="7"/>
  <c r="I139" i="7"/>
  <c r="E128" i="7"/>
  <c r="I119" i="7"/>
  <c r="I137" i="7"/>
  <c r="I143" i="7"/>
  <c r="I126" i="7"/>
  <c r="I117" i="7"/>
  <c r="I120" i="7"/>
  <c r="I132" i="7"/>
  <c r="I127" i="7"/>
  <c r="I129" i="7"/>
  <c r="I118" i="7"/>
  <c r="I130" i="7"/>
  <c r="I125" i="7"/>
  <c r="I131" i="7"/>
  <c r="E116" i="7"/>
  <c r="E139" i="7"/>
  <c r="E132" i="7"/>
  <c r="E134" i="7"/>
  <c r="I128" i="7"/>
  <c r="E138" i="7"/>
  <c r="E140" i="7"/>
  <c r="I121" i="7"/>
  <c r="I123" i="7"/>
  <c r="I133" i="7"/>
  <c r="I135" i="7"/>
  <c r="I122" i="7"/>
  <c r="I124" i="7"/>
  <c r="I134" i="7"/>
  <c r="I136" i="7"/>
  <c r="I138" i="7"/>
  <c r="E136" i="7"/>
  <c r="E118" i="7"/>
  <c r="E142" i="7"/>
  <c r="I140" i="7"/>
  <c r="E125" i="7"/>
  <c r="I141" i="7"/>
  <c r="E120" i="7"/>
  <c r="I142" i="7"/>
  <c r="E117" i="7"/>
  <c r="E133" i="7"/>
  <c r="E137" i="7"/>
  <c r="E121" i="7"/>
  <c r="E131" i="7"/>
  <c r="E135" i="7"/>
  <c r="E141" i="7"/>
  <c r="E123" i="7"/>
  <c r="E143" i="7"/>
  <c r="E119" i="7"/>
  <c r="E129" i="7"/>
  <c r="E127" i="7"/>
  <c r="E122" i="7"/>
  <c r="E124" i="7"/>
  <c r="I116" i="7"/>
  <c r="D116" i="7"/>
  <c r="D117" i="8"/>
  <c r="D118" i="8"/>
  <c r="D128" i="7"/>
  <c r="D140" i="7"/>
  <c r="D139" i="7"/>
  <c r="D129" i="7"/>
  <c r="D136" i="7"/>
  <c r="D131" i="7"/>
  <c r="D126" i="7"/>
  <c r="D123" i="7"/>
  <c r="D135" i="7"/>
  <c r="D137" i="7"/>
  <c r="D132" i="7"/>
  <c r="D127" i="7"/>
  <c r="D122" i="7"/>
  <c r="D119" i="7"/>
  <c r="D143" i="7"/>
  <c r="D133" i="7"/>
  <c r="D118" i="7"/>
  <c r="D130" i="7"/>
  <c r="D142" i="7"/>
  <c r="D120" i="7"/>
  <c r="D134" i="7"/>
  <c r="D138" i="7"/>
  <c r="D125" i="7"/>
  <c r="D117" i="7"/>
  <c r="D141" i="7"/>
  <c r="D124" i="7"/>
  <c r="D121" i="7"/>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07" i="1"/>
  <c r="D208" i="1"/>
  <c r="D209" i="1"/>
  <c r="D210" i="1"/>
  <c r="D211" i="1"/>
  <c r="D212" i="1"/>
  <c r="D213" i="1"/>
  <c r="D214" i="1"/>
  <c r="D215" i="1"/>
  <c r="D216" i="1"/>
  <c r="D217" i="1"/>
  <c r="D218" i="1"/>
  <c r="D219" i="1"/>
  <c r="D220" i="1"/>
  <c r="D221" i="1"/>
  <c r="D222" i="1"/>
  <c r="D223" i="1"/>
  <c r="D224" i="1"/>
  <c r="D225" i="1"/>
  <c r="D226" i="1"/>
  <c r="D200" i="1"/>
  <c r="D201" i="1"/>
  <c r="D202" i="1"/>
  <c r="D203" i="1"/>
  <c r="D204" i="1"/>
  <c r="D205" i="1"/>
  <c r="D196" i="1"/>
  <c r="D197" i="1"/>
  <c r="D198" i="1"/>
  <c r="D183" i="1"/>
  <c r="D184" i="1"/>
  <c r="D185" i="1"/>
  <c r="D186" i="1"/>
  <c r="D187" i="1"/>
  <c r="D188" i="1"/>
  <c r="D189" i="1"/>
  <c r="D190" i="1"/>
  <c r="D191" i="1"/>
  <c r="D192" i="1"/>
  <c r="D193" i="1"/>
  <c r="D194" i="1"/>
  <c r="D165" i="1"/>
  <c r="D166" i="1"/>
  <c r="D167" i="1"/>
  <c r="D168" i="1"/>
  <c r="D169" i="1"/>
  <c r="D170" i="1"/>
  <c r="D171" i="1"/>
  <c r="D172" i="1"/>
  <c r="D173" i="1"/>
  <c r="D174" i="1"/>
  <c r="D175" i="1"/>
  <c r="D176" i="1"/>
  <c r="D177" i="1"/>
  <c r="D178" i="1"/>
  <c r="D179" i="1"/>
  <c r="D180" i="1"/>
  <c r="D151" i="1"/>
  <c r="D152" i="1"/>
  <c r="D153" i="1"/>
  <c r="D154" i="1"/>
  <c r="D155" i="1"/>
  <c r="D156" i="1"/>
  <c r="D157" i="1"/>
  <c r="D158" i="1"/>
  <c r="D159" i="1"/>
  <c r="D160" i="1"/>
  <c r="D161" i="1"/>
  <c r="D162" i="1"/>
  <c r="D163" i="1"/>
  <c r="D143" i="1"/>
  <c r="D144" i="1"/>
  <c r="D145" i="1"/>
  <c r="D146" i="1"/>
  <c r="D147" i="1"/>
  <c r="D122" i="1"/>
  <c r="D123" i="1"/>
  <c r="D124" i="1"/>
  <c r="D125" i="1"/>
  <c r="D126" i="1"/>
  <c r="D127" i="1"/>
  <c r="D128" i="1"/>
  <c r="D129" i="1"/>
  <c r="D130" i="1"/>
  <c r="D131" i="1"/>
  <c r="D132" i="1"/>
  <c r="D133" i="1"/>
  <c r="D134" i="1"/>
  <c r="D135" i="1"/>
  <c r="D136" i="1"/>
  <c r="D137" i="1"/>
  <c r="D138" i="1"/>
  <c r="D139" i="1"/>
  <c r="D140" i="1"/>
  <c r="D141" i="1"/>
  <c r="D120" i="1"/>
  <c r="D107" i="1"/>
  <c r="D108" i="1"/>
  <c r="D109" i="1"/>
  <c r="D110" i="1"/>
  <c r="D111" i="1"/>
  <c r="D112" i="1"/>
  <c r="D113" i="1"/>
  <c r="D114" i="1"/>
  <c r="D115" i="1"/>
  <c r="D116" i="1"/>
  <c r="D117" i="1"/>
  <c r="D118" i="1"/>
  <c r="D105" i="1"/>
  <c r="D95" i="1"/>
  <c r="D96" i="1"/>
  <c r="D97" i="1"/>
  <c r="D98" i="1"/>
  <c r="D99" i="1"/>
  <c r="D100" i="1"/>
  <c r="D101" i="1"/>
  <c r="D102" i="1"/>
  <c r="D103" i="1"/>
  <c r="D83" i="1"/>
  <c r="D84" i="1"/>
  <c r="D85" i="1"/>
  <c r="D86" i="1"/>
  <c r="D87" i="1"/>
  <c r="D88" i="1"/>
  <c r="D89" i="1"/>
  <c r="D90" i="1"/>
  <c r="D91" i="1"/>
  <c r="D92" i="1"/>
  <c r="D93" i="1"/>
  <c r="D81" i="1"/>
  <c r="D77" i="1"/>
  <c r="D78" i="1"/>
  <c r="D79" i="1"/>
  <c r="D64" i="1"/>
  <c r="D65" i="1"/>
  <c r="D66" i="1"/>
  <c r="D67" i="1"/>
  <c r="D68" i="1"/>
  <c r="D69" i="1"/>
  <c r="D70" i="1"/>
  <c r="D71" i="1"/>
  <c r="D72" i="1"/>
  <c r="D73" i="1"/>
  <c r="D74" i="1"/>
  <c r="D61" i="1"/>
  <c r="D62" i="1"/>
  <c r="D43" i="1"/>
  <c r="D44" i="1"/>
  <c r="D45" i="1"/>
  <c r="D46" i="1"/>
  <c r="D47" i="1"/>
  <c r="D48" i="1"/>
  <c r="D49" i="1"/>
  <c r="D50" i="1"/>
  <c r="D51" i="1"/>
  <c r="D52" i="1"/>
  <c r="D53" i="1"/>
  <c r="D54" i="1"/>
  <c r="D55" i="1"/>
  <c r="D56" i="1"/>
  <c r="D57" i="1"/>
  <c r="D27" i="1"/>
  <c r="D28" i="1"/>
  <c r="D29" i="1"/>
  <c r="D30" i="1"/>
  <c r="D31" i="1"/>
  <c r="D32" i="1"/>
  <c r="D33" i="1"/>
  <c r="D34" i="1"/>
  <c r="D35" i="1"/>
  <c r="D36" i="1"/>
  <c r="D37" i="1"/>
  <c r="D38" i="1"/>
  <c r="D39" i="1"/>
  <c r="D40" i="1"/>
  <c r="D41" i="1"/>
  <c r="D23" i="1"/>
  <c r="D24" i="1"/>
  <c r="D25" i="1"/>
  <c r="D20" i="1"/>
  <c r="D21" i="1"/>
  <c r="D5" i="1"/>
  <c r="D6" i="1"/>
  <c r="D7" i="1"/>
  <c r="D8" i="1"/>
  <c r="D9" i="1"/>
  <c r="D10" i="1"/>
  <c r="D11" i="1"/>
  <c r="D12" i="1"/>
  <c r="D13" i="1"/>
  <c r="D14" i="1"/>
  <c r="D15" i="1"/>
  <c r="D16" i="1"/>
  <c r="D17" i="1"/>
  <c r="D18" i="1"/>
  <c r="D19" i="1"/>
  <c r="D22" i="1"/>
  <c r="D26" i="1"/>
  <c r="D42" i="1"/>
  <c r="D58" i="1"/>
  <c r="D59" i="1"/>
  <c r="D60" i="1"/>
  <c r="D63" i="1"/>
  <c r="D75" i="1"/>
  <c r="D76" i="1"/>
  <c r="D80" i="1"/>
  <c r="D82" i="1"/>
  <c r="D94" i="1"/>
  <c r="D104" i="1"/>
  <c r="D106" i="1"/>
  <c r="D119" i="1"/>
  <c r="D121" i="1"/>
  <c r="D142" i="1"/>
  <c r="D148" i="1"/>
  <c r="D149" i="1"/>
  <c r="D150" i="1"/>
  <c r="D164" i="1"/>
  <c r="D181" i="1"/>
  <c r="D182" i="1"/>
  <c r="D195" i="1"/>
  <c r="D199" i="1"/>
  <c r="D206" i="1"/>
  <c r="D227" i="1"/>
  <c r="D228" i="1"/>
  <c r="K116" i="7" l="1"/>
  <c r="I145" i="7"/>
  <c r="I144" i="7"/>
  <c r="E144" i="7"/>
  <c r="E145" i="7"/>
  <c r="D144" i="7"/>
  <c r="D145" i="7"/>
  <c r="K119" i="7"/>
  <c r="K128" i="7"/>
  <c r="K143" i="7"/>
  <c r="K120" i="7"/>
  <c r="K141" i="7"/>
  <c r="K129" i="7"/>
  <c r="K140" i="7"/>
  <c r="K130" i="7"/>
  <c r="K117" i="7"/>
  <c r="K118" i="7"/>
  <c r="K142" i="7"/>
  <c r="K127" i="7"/>
  <c r="K131" i="7"/>
  <c r="K133" i="7"/>
  <c r="K122" i="7"/>
  <c r="K125" i="7"/>
  <c r="K139" i="7"/>
  <c r="K124" i="7"/>
  <c r="K126" i="7"/>
  <c r="K121" i="7"/>
  <c r="K123" i="7"/>
  <c r="K136" i="7"/>
  <c r="K137" i="7"/>
  <c r="K135" i="7"/>
  <c r="K138" i="7"/>
  <c r="K132" i="7"/>
  <c r="K134" i="7"/>
  <c r="E118" i="8"/>
  <c r="E117" i="8"/>
  <c r="K113" i="8" s="1" a="1"/>
  <c r="K113" i="8" s="1"/>
  <c r="I117" i="8"/>
  <c r="K88" i="8" s="1" a="1"/>
  <c r="K88" i="8" s="1"/>
  <c r="I118" i="8"/>
  <c r="L88" i="8" s="1" a="1"/>
  <c r="L88" i="8" s="1"/>
  <c r="M88" i="8" l="1"/>
  <c r="K112" i="8" a="1"/>
  <c r="K112" i="8" s="1"/>
  <c r="K108" i="8" a="1"/>
  <c r="K108" i="8" s="1"/>
  <c r="K91" i="8" a="1"/>
  <c r="K91" i="8" s="1"/>
  <c r="K101" i="8" a="1"/>
  <c r="K101" i="8" s="1"/>
  <c r="K102" i="8" a="1"/>
  <c r="K102" i="8" s="1"/>
  <c r="K98" i="8" a="1"/>
  <c r="K98" i="8" s="1"/>
  <c r="K110" i="8" a="1"/>
  <c r="K110" i="8" s="1"/>
  <c r="K95" i="8" a="1"/>
  <c r="K95" i="8" s="1"/>
  <c r="K97" i="8" a="1"/>
  <c r="K97" i="8" s="1"/>
  <c r="K94" i="8" a="1"/>
  <c r="K94" i="8" s="1"/>
  <c r="K105" i="8" a="1"/>
  <c r="K105" i="8" s="1"/>
  <c r="L114" i="8" a="1"/>
  <c r="L114" i="8" s="1"/>
  <c r="K92" i="8" a="1"/>
  <c r="K92" i="8" s="1"/>
  <c r="K90" i="8" a="1"/>
  <c r="K90" i="8" s="1"/>
  <c r="K99" i="8" a="1"/>
  <c r="K99" i="8" s="1"/>
  <c r="K107" i="8" a="1"/>
  <c r="K107" i="8" s="1"/>
  <c r="K89" i="8" a="1"/>
  <c r="K89" i="8" s="1"/>
  <c r="K111" i="8" a="1"/>
  <c r="K111" i="8" s="1"/>
  <c r="K100" i="8" a="1"/>
  <c r="K100" i="8" s="1"/>
  <c r="K96" i="8" a="1"/>
  <c r="K96" i="8" s="1"/>
  <c r="K103" i="8" a="1"/>
  <c r="K103" i="8" s="1"/>
  <c r="L106" i="8" a="1"/>
  <c r="L106" i="8" s="1"/>
  <c r="L110" i="8" a="1"/>
  <c r="L110" i="8" s="1"/>
  <c r="M110" i="8" s="1"/>
  <c r="L107" i="8" a="1"/>
  <c r="L107" i="8" s="1"/>
  <c r="L89" i="8" a="1"/>
  <c r="L89" i="8" s="1"/>
  <c r="L101" i="8" a="1"/>
  <c r="L101" i="8" s="1"/>
  <c r="K109" i="8" a="1"/>
  <c r="K109" i="8" s="1"/>
  <c r="L108" i="8" a="1"/>
  <c r="L108" i="8" s="1"/>
  <c r="M108" i="8" s="1"/>
  <c r="L98" i="8" a="1"/>
  <c r="L98" i="8" s="1"/>
  <c r="L95" i="8" a="1"/>
  <c r="L95" i="8" s="1"/>
  <c r="M95" i="8" s="1"/>
  <c r="L111" i="8" a="1"/>
  <c r="L111" i="8" s="1"/>
  <c r="L100" i="8" a="1"/>
  <c r="L100" i="8" s="1"/>
  <c r="K115" i="8" a="1"/>
  <c r="K115" i="8" s="1"/>
  <c r="L97" i="8" a="1"/>
  <c r="L97" i="8" s="1"/>
  <c r="M97" i="8" s="1"/>
  <c r="L113" i="8" a="1"/>
  <c r="L113" i="8" s="1"/>
  <c r="M113" i="8" s="1"/>
  <c r="L115" i="8" a="1"/>
  <c r="L115" i="8" s="1"/>
  <c r="M115" i="8" s="1"/>
  <c r="L102" i="8" a="1"/>
  <c r="L102" i="8" s="1"/>
  <c r="M102" i="8" s="1"/>
  <c r="L91" i="8" a="1"/>
  <c r="L91" i="8" s="1"/>
  <c r="M91" i="8" s="1"/>
  <c r="K106" i="8" a="1"/>
  <c r="K106" i="8" s="1"/>
  <c r="K114" i="8" a="1"/>
  <c r="K114" i="8" s="1"/>
  <c r="L112" i="8" a="1"/>
  <c r="L112" i="8" s="1"/>
  <c r="M112" i="8" s="1"/>
  <c r="L105" i="8" a="1"/>
  <c r="L105" i="8" s="1"/>
  <c r="L104" i="8" a="1"/>
  <c r="L104" i="8" s="1"/>
  <c r="L94" i="8" a="1"/>
  <c r="L94" i="8" s="1"/>
  <c r="L92" i="8" a="1"/>
  <c r="L92" i="8" s="1"/>
  <c r="K93" i="8" a="1"/>
  <c r="K93" i="8" s="1"/>
  <c r="L103" i="8" a="1"/>
  <c r="L103" i="8" s="1"/>
  <c r="M103" i="8" s="1"/>
  <c r="L99" i="8" a="1"/>
  <c r="L99" i="8" s="1"/>
  <c r="L109" i="8" a="1"/>
  <c r="L109" i="8" s="1"/>
  <c r="L96" i="8" a="1"/>
  <c r="L96" i="8" s="1"/>
  <c r="M96" i="8" s="1"/>
  <c r="K104" i="8" a="1"/>
  <c r="K104" i="8" s="1"/>
  <c r="L90" i="8" a="1"/>
  <c r="L90" i="8" s="1"/>
  <c r="L93" i="8" a="1"/>
  <c r="L93" i="8" s="1"/>
  <c r="M98" i="8" l="1"/>
  <c r="M101" i="8"/>
  <c r="M114" i="8"/>
  <c r="M94" i="8"/>
  <c r="M100" i="8"/>
  <c r="M93" i="8"/>
  <c r="M105" i="8"/>
  <c r="M90" i="8"/>
  <c r="M89" i="8"/>
  <c r="M107" i="8"/>
  <c r="M92" i="8"/>
  <c r="M99" i="8"/>
  <c r="M104" i="8"/>
  <c r="M111" i="8"/>
  <c r="M106" i="8"/>
  <c r="M109"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<sst xmlns="http://schemas.openxmlformats.org/spreadsheetml/2006/main" count="3486" uniqueCount="932">
  <si>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</si>
  <si>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</si>
  <si>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</si>
  <si>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</si>
  <si>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</si>
  <si>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</si>
  <si>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</si>
  <si>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</si>
  <si>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</si>
  <si>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</si>
  <si>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</si>
  <si>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</si>
  <si>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</si>
  <si>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</si>
  <si>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</si>
  <si>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</si>
  <si>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</si>
  <si>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</si>
  <si>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</si>
  <si>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</si>
  <si>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</si>
  <si>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</si>
  <si>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</si>
  <si>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</si>
  <si>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</si>
  <si>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</si>
  <si>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</si>
  <si>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</si>
  <si>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</si>
  <si>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</si>
  <si>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</si>
  <si>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</si>
  <si>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</si>
  <si>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</si>
  <si>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</si>
  <si>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</si>
  <si>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</si>
  <si>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</si>
  <si>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</si>
  <si>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</si>
  <si>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</si>
  <si>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</si>
  <si>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</si>
  <si>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</si>
  <si>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</si>
  <si>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</si>
  <si>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</si>
  <si>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</si>
  <si>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</si>
  <si>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</si>
  <si>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</si>
  <si>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</si>
  <si>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</si>
  <si>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</si>
  <si>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</si>
  <si>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</si>
  <si>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</si>
  <si>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</si>
  <si>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</si>
  <si>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</si>
  <si>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</si>
  <si>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</si>
  <si>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</si>
  <si>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</si>
  <si>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</si>
  <si>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</si>
  <si>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</si>
  <si>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</si>
  <si>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</si>
  <si>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</si>
  <si>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</si>
  <si>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</si>
  <si>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</si>
  <si>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</si>
  <si>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</si>
  <si>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</si>
  <si>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</si>
  <si>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</si>
  <si>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</si>
  <si>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</si>
  <si>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</si>
  <si>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</si>
  <si>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</si>
  <si>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</si>
  <si>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</si>
  <si>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</si>
  <si>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</si>
  <si>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</si>
  <si>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</si>
  <si>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</si>
  <si>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</si>
  <si>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</si>
  <si>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</si>
  <si>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</si>
  <si>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</si>
  <si>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</si>
  <si>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</si>
  <si>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</si>
  <si>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</si>
  <si>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</si>
  <si>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</si>
  <si>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Small states aggregate.</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</si>
  <si>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</si>
  <si>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</si>
  <si>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</si>
  <si>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</si>
  <si>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</si>
  <si>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</si>
  <si>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</si>
  <si>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</si>
  <si>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CO2 emissions (metric tons per capita)</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</si>
  <si>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</si>
  <si>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</si>
  <si>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</si>
  <si>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</si>
  <si>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</si>
  <si>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</si>
  <si>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</si>
  <si>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</si>
  <si>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</si>
  <si>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</si>
  <si>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</si>
  <si>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</si>
  <si>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</si>
  <si>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Carbon dioxide emissions are those stemming from the burning of fossil fuels and the manufacture of cement. They include carbon dioxide produced during consumption of solid, liquid, and gas fuels and gas flaring.</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</si>
  <si>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</si>
  <si>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</si>
  <si>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</si>
  <si>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</si>
  <si>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</si>
  <si>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</si>
  <si>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</si>
  <si>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</si>
  <si>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</si>
  <si>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</si>
  <si>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</si>
  <si>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</si>
  <si>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</si>
  <si>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</si>
  <si>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</si>
  <si>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</si>
  <si>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</si>
  <si>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</si>
  <si>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</si>
  <si>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</si>
  <si>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</si>
  <si>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</si>
  <si>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</si>
  <si>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</si>
  <si>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</si>
  <si>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</si>
  <si>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</si>
  <si>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</si>
  <si>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</si>
  <si>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</si>
  <si>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</si>
  <si>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</si>
  <si>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</si>
  <si>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</si>
  <si>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</si>
  <si>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</si>
  <si>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</si>
  <si>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</si>
  <si>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</si>
  <si>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</si>
  <si>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</si>
  <si>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</si>
  <si>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</si>
  <si>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</si>
  <si>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</si>
  <si>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</si>
  <si>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</si>
  <si>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</si>
  <si>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</si>
  <si>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</si>
  <si>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</si>
  <si>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</si>
  <si>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</si>
  <si>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</si>
  <si>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</si>
  <si>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</si>
  <si>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</si>
  <si>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</si>
  <si>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</si>
  <si>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</si>
  <si>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</si>
  <si>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</si>
  <si>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</si>
  <si>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</si>
  <si>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</si>
  <si>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</si>
  <si>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</si>
  <si>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</si>
  <si>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</si>
  <si>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</si>
  <si>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</si>
  <si>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</si>
  <si>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</si>
  <si>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</si>
  <si>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</si>
  <si>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</si>
  <si>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</si>
  <si>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</si>
  <si>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</si>
  <si>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</si>
  <si>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</si>
  <si>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</si>
  <si>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</si>
  <si>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</si>
  <si>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</si>
  <si>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</si>
  <si>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</si>
  <si>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</si>
  <si>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</si>
  <si>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</si>
  <si>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</si>
  <si>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</si>
  <si>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</si>
  <si>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</si>
  <si>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</si>
  <si>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</si>
  <si>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</si>
  <si>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</si>
  <si>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</si>
  <si>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</si>
  <si>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</si>
  <si>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</si>
  <si>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</si>
  <si>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</si>
  <si>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</si>
  <si>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</si>
  <si>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</si>
  <si>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</si>
  <si>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</si>
  <si>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</si>
  <si>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</si>
  <si>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</si>
  <si>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</si>
  <si>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</si>
  <si>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</si>
  <si>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</si>
  <si>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</si>
  <si>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</si>
  <si>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</si>
  <si>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</si>
  <si>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</si>
  <si>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</si>
  <si>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</si>
  <si>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</si>
  <si>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</si>
  <si>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</si>
  <si>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</si>
  <si>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</si>
  <si>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</si>
  <si>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</si>
  <si>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</si>
  <si>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</si>
  <si>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</si>
  <si>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</si>
  <si>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</si>
  <si>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</si>
  <si>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</si>
  <si>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</si>
  <si>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</si>
  <si>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</si>
  <si>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</si>
  <si>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</si>
  <si>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</si>
  <si>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</si>
  <si>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</si>
  <si>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</si>
  <si>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</si>
  <si>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</si>
  <si>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</si>
  <si>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Denmark</t>
  </si>
  <si>
    <t>Sub-Saharan Africa</t>
  </si>
  <si>
    <t>Latin America &amp; Caribbean (IDA &amp; IBRD)</t>
  </si>
  <si>
    <t>Uzbekistan</t>
  </si>
  <si>
    <t>SLB</t>
  </si>
  <si>
    <t>East Asia &amp; Pacific (IDA &amp; IBRD countries) aggregate.</t>
  </si>
  <si>
    <t>Argentina</t>
  </si>
  <si>
    <t>CHI</t>
  </si>
  <si>
    <t>High income group aggregate. High-income economies are those in which 2023 Atlas GNI per capita was more than $14,005.</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</si>
  <si>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</si>
  <si>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</si>
  <si>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</si>
  <si>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</si>
  <si>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</si>
  <si>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</si>
  <si>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</si>
  <si>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</si>
  <si>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</si>
  <si>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</si>
  <si>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</si>
  <si>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</si>
  <si>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</si>
  <si>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</si>
  <si>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</si>
  <si>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</si>
  <si>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</si>
  <si>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</si>
  <si>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</si>
  <si>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</si>
  <si>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</si>
  <si>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</si>
  <si>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</si>
  <si>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</si>
  <si>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</si>
  <si>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</si>
  <si>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</si>
  <si>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</si>
  <si>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</si>
  <si>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</si>
  <si>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</si>
  <si>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</si>
  <si>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</si>
  <si>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</si>
  <si>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</si>
  <si>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</si>
  <si>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</si>
  <si>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</si>
  <si>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</si>
  <si>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</si>
  <si>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</si>
  <si>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</si>
  <si>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</si>
  <si>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</si>
  <si>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</si>
  <si>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</si>
  <si>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</si>
  <si>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</si>
  <si>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</si>
  <si>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</si>
  <si>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</si>
  <si>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</si>
  <si>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</si>
  <si>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</si>
  <si>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</si>
  <si>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</si>
  <si>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</si>
  <si>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</si>
  <si>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</si>
  <si>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</si>
  <si>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</si>
  <si>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</si>
  <si>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</si>
  <si>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</si>
  <si>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</si>
  <si>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</si>
  <si>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</si>
  <si>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</si>
  <si>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</si>
  <si>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</si>
  <si>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</si>
  <si>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</si>
  <si>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</si>
  <si>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</si>
  <si>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</si>
  <si>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</si>
  <si>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</si>
  <si>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</si>
  <si>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</si>
  <si>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</si>
  <si>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</si>
  <si>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</si>
  <si>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</si>
  <si>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</si>
  <si>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</si>
  <si>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</si>
  <si>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</si>
  <si>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</si>
  <si>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</si>
  <si>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</si>
  <si>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</si>
  <si>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</si>
  <si>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</si>
  <si>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</si>
  <si>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</si>
  <si>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</si>
  <si>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</si>
  <si>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</si>
  <si>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</si>
  <si>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</si>
  <si>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</si>
  <si>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</si>
  <si>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</si>
  <si>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</si>
  <si>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</si>
  <si>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</si>
  <si>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</si>
  <si>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</si>
  <si>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</si>
  <si>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</si>
  <si>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</si>
  <si>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</si>
  <si>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</si>
  <si>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</si>
  <si>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</si>
  <si>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</si>
  <si>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</si>
  <si>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</si>
  <si>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</si>
  <si>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</si>
  <si>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</si>
  <si>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</si>
  <si>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</si>
  <si>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</si>
  <si>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</si>
  <si>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</si>
  <si>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</si>
  <si>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</si>
  <si>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</si>
  <si>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</si>
  <si>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</si>
  <si>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</si>
  <si>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</si>
  <si>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</si>
  <si>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</si>
  <si>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</si>
  <si>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</si>
  <si>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</si>
  <si>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</si>
  <si>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</si>
  <si>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</si>
  <si>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</si>
  <si>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</si>
  <si>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</si>
  <si>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</si>
  <si>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</si>
  <si>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</si>
  <si>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</si>
  <si>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</si>
  <si>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</si>
  <si>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</si>
  <si>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</si>
  <si>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</si>
  <si>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</si>
  <si>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</si>
  <si>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</si>
  <si>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</si>
  <si>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</si>
  <si>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</si>
  <si>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</si>
  <si>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</si>
  <si>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</si>
  <si>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</si>
  <si>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EN.ATM.CO2E.PC</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</si>
  <si>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</si>
  <si>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</si>
  <si>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</si>
  <si>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</si>
  <si>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</si>
  <si>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</si>
  <si>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</si>
  <si>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</si>
  <si>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</si>
  <si>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</si>
  <si>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</si>
  <si>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</si>
  <si>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</si>
  <si>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</si>
  <si>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</si>
  <si>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</si>
  <si>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</si>
  <si>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</si>
  <si>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</si>
  <si>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</si>
  <si>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</si>
  <si>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</si>
  <si>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</si>
  <si>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</si>
  <si>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</si>
  <si>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</si>
  <si>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</si>
  <si>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</si>
  <si>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</si>
  <si>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</si>
  <si>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</si>
  <si>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</si>
  <si>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</si>
  <si>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</si>
  <si>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</si>
  <si>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</si>
  <si>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</si>
  <si>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</si>
  <si>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</si>
  <si>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</si>
  <si>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</si>
  <si>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</si>
  <si>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</si>
  <si>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</si>
  <si>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</si>
  <si>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</si>
  <si>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</si>
  <si>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</si>
  <si>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</si>
  <si>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</si>
  <si>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</si>
  <si>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</si>
  <si>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</si>
  <si>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</si>
  <si>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</si>
  <si>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</si>
  <si>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</si>
  <si>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</si>
  <si>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</si>
  <si>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</si>
  <si>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</si>
  <si>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</si>
  <si>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</si>
  <si>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</si>
  <si>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</si>
  <si>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</si>
  <si>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</si>
  <si>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</si>
  <si>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</si>
  <si>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</si>
  <si>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</si>
  <si>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</si>
  <si>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</si>
  <si>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</si>
  <si>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</si>
  <si>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</si>
  <si>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</si>
  <si>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</si>
  <si>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</si>
  <si>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</si>
  <si>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</si>
  <si>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</si>
  <si>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</si>
  <si>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</si>
  <si>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</si>
  <si>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</si>
  <si>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</si>
  <si>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</si>
  <si>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</si>
  <si>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</si>
  <si>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</si>
  <si>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</si>
  <si>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</si>
  <si>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</si>
  <si>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</si>
  <si>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</si>
  <si>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</si>
  <si>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</si>
  <si>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</si>
  <si>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</si>
  <si>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GRD</t>
  </si>
  <si>
    <t>MIC</t>
  </si>
  <si>
    <t>National account data were adjusted to reflect the new banknote (1 new Dobra STN = 1000 old Dobra STD)</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</si>
  <si>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</si>
  <si>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</si>
  <si>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</si>
  <si>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</si>
  <si>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</si>
  <si>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</si>
  <si>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</si>
  <si>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</si>
  <si>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</si>
  <si>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</si>
  <si>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</si>
  <si>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</si>
  <si>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</si>
  <si>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</si>
  <si>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</si>
  <si>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</si>
  <si>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</si>
  <si>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</si>
  <si>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</si>
  <si>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</si>
  <si>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Emissions data are sourced from Climate Watch Historical GHG Emissions (1990-2020). 2023. Washington, DC: World Resources Institute. Available online at: https://www.climatewatchdata.org/ghg-emissions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</si>
  <si>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</si>
  <si>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</si>
  <si>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</si>
  <si>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</si>
  <si>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</si>
  <si>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</si>
  <si>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</si>
  <si>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</si>
  <si>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Region</t>
  </si>
  <si>
    <t>Vanuatu</t>
  </si>
  <si>
    <t>Kiribati</t>
  </si>
  <si>
    <t>VNM</t>
  </si>
  <si>
    <t>HUN</t>
  </si>
  <si>
    <t>BMU</t>
  </si>
  <si>
    <t>MHL</t>
  </si>
  <si>
    <t>Data Source</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</si>
  <si>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</si>
  <si>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</si>
  <si>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</si>
  <si>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</si>
  <si>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</si>
  <si>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</si>
  <si>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</si>
  <si>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</si>
  <si>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</si>
  <si>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</si>
  <si>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</si>
  <si>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</si>
  <si>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</si>
  <si>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</si>
  <si>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</si>
  <si>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</si>
  <si>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</si>
  <si>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</si>
  <si>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</si>
  <si>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</si>
  <si>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</si>
  <si>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</si>
  <si>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</si>
  <si>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</si>
  <si>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</si>
  <si>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</si>
  <si>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</si>
  <si>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</si>
  <si>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</si>
  <si>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</si>
  <si>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</si>
  <si>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</si>
  <si>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</si>
  <si>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</si>
  <si>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</si>
  <si>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</si>
  <si>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</si>
  <si>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</si>
  <si>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</si>
  <si>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</si>
  <si>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</si>
  <si>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</si>
  <si>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</si>
  <si>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</si>
  <si>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</si>
  <si>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</si>
  <si>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</si>
  <si>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</si>
  <si>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</si>
  <si>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</si>
  <si>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</si>
  <si>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</si>
  <si>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</si>
  <si>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</si>
  <si>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</si>
  <si>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</si>
  <si>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</si>
  <si>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</si>
  <si>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</si>
  <si>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</si>
  <si>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</si>
  <si>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</si>
  <si>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</si>
  <si>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</si>
  <si>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</si>
  <si>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</si>
  <si>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</si>
  <si>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</si>
  <si>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</si>
  <si>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</si>
  <si>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</si>
  <si>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</si>
  <si>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</si>
  <si>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</si>
  <si>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</si>
  <si>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</si>
  <si>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</si>
  <si>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</si>
  <si>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</si>
  <si>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</si>
  <si>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</si>
  <si>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</si>
  <si>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</si>
  <si>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</si>
  <si>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</si>
  <si>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</si>
  <si>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Slovakia</t>
  </si>
  <si>
    <t>CO2 emissions (metric tons per capita) 2020</t>
  </si>
  <si>
    <t>zabójsta umyślne na 100 tys mieszkańców 2022</t>
  </si>
  <si>
    <t>GDP per capita PPP USD 2023</t>
  </si>
  <si>
    <t>health costs per inhabitant EUR 2021</t>
  </si>
  <si>
    <t>Lp.</t>
  </si>
  <si>
    <t>% wydatków rządowych przeznaczanych na edukację, 2021</t>
  </si>
  <si>
    <t>oczekiwana długość życia 2023</t>
  </si>
  <si>
    <t>ofiary w wypadkach drogowych/100 tys. mieszkańców 2021</t>
  </si>
  <si>
    <t>odchylenie</t>
  </si>
  <si>
    <t>średnia</t>
  </si>
  <si>
    <t>waga</t>
  </si>
  <si>
    <t>Vx (wsp. Zmien.)</t>
  </si>
  <si>
    <t>min</t>
  </si>
  <si>
    <t>max</t>
  </si>
  <si>
    <t>UNITARYZACJA</t>
  </si>
  <si>
    <t>KRAJ</t>
  </si>
  <si>
    <t>średnia + odch</t>
  </si>
  <si>
    <t>średnia - odch</t>
  </si>
  <si>
    <t>NORMALIZACJA TOPSIS</t>
  </si>
  <si>
    <t>di0+</t>
  </si>
  <si>
    <t>di0-</t>
  </si>
  <si>
    <t>TOPSIS</t>
  </si>
  <si>
    <t>wzorzec</t>
  </si>
  <si>
    <t>antywzorzec</t>
  </si>
  <si>
    <t>RANKING TOPSIS</t>
  </si>
  <si>
    <t>health costs jako % PKB 2021</t>
  </si>
  <si>
    <t>military expenditure (% of GDP), 2022</t>
  </si>
  <si>
    <t>destymulanta</t>
  </si>
  <si>
    <t>stymulanta</t>
  </si>
  <si>
    <t>topsis</t>
  </si>
  <si>
    <t>1,141787</t>
  </si>
  <si>
    <t>1,217942</t>
  </si>
  <si>
    <t>1,273928</t>
  </si>
  <si>
    <t>1,321883</t>
  </si>
  <si>
    <t>1,456591</t>
  </si>
  <si>
    <t>1,475076</t>
  </si>
  <si>
    <t>1,510694</t>
  </si>
  <si>
    <t>1,585477</t>
  </si>
  <si>
    <t>1,596653</t>
  </si>
  <si>
    <t>1,599360</t>
  </si>
  <si>
    <t>1,614386</t>
  </si>
  <si>
    <t>1,667783</t>
  </si>
  <si>
    <t>1,760071</t>
  </si>
  <si>
    <t>1,771790</t>
  </si>
  <si>
    <t>1,866325</t>
  </si>
  <si>
    <t>1,881731</t>
  </si>
  <si>
    <t>1,890341</t>
  </si>
  <si>
    <t>1,905939</t>
  </si>
  <si>
    <t>1,920132</t>
  </si>
  <si>
    <t>1,927835</t>
  </si>
  <si>
    <t>1,967565</t>
  </si>
  <si>
    <t>2,206883</t>
  </si>
  <si>
    <t>2,288110</t>
  </si>
  <si>
    <t>2,320823</t>
  </si>
  <si>
    <t>3,006329</t>
  </si>
  <si>
    <t>3,379826</t>
  </si>
  <si>
    <t>4,561090</t>
  </si>
  <si>
    <t>odległości</t>
  </si>
  <si>
    <t>przyrost bezwzględny</t>
  </si>
  <si>
    <t>przyrost względny</t>
  </si>
  <si>
    <t>pozycja</t>
  </si>
  <si>
    <t>między  2,32 a 3,006</t>
  </si>
  <si>
    <t>1,751645</t>
  </si>
  <si>
    <t>1,937933</t>
  </si>
  <si>
    <t>2,080869</t>
  </si>
  <si>
    <t>2,097240</t>
  </si>
  <si>
    <t>2,347680</t>
  </si>
  <si>
    <t>2,618005</t>
  </si>
  <si>
    <t>2,625077</t>
  </si>
  <si>
    <t>2,851859</t>
  </si>
  <si>
    <t>2,917056</t>
  </si>
  <si>
    <t>3,130476</t>
  </si>
  <si>
    <t>3,331206</t>
  </si>
  <si>
    <t>3,855620</t>
  </si>
  <si>
    <t>4,353243</t>
  </si>
  <si>
    <t>4,447370</t>
  </si>
  <si>
    <t>4,776974</t>
  </si>
  <si>
    <t>6,345181</t>
  </si>
  <si>
    <t>7,010530</t>
  </si>
  <si>
    <t>8,345924</t>
  </si>
  <si>
    <t>k=4</t>
  </si>
  <si>
    <t>1,726504</t>
  </si>
  <si>
    <t>1,792615</t>
  </si>
  <si>
    <t>2,099428</t>
  </si>
  <si>
    <t>2,282657</t>
  </si>
  <si>
    <t>2,312338</t>
  </si>
  <si>
    <t>2,422383</t>
  </si>
  <si>
    <t>2,650986</t>
  </si>
  <si>
    <t>2,787987</t>
  </si>
  <si>
    <t>2,849445</t>
  </si>
  <si>
    <t>3,686763</t>
  </si>
  <si>
    <t>4,315941</t>
  </si>
  <si>
    <t>4,418304</t>
  </si>
  <si>
    <t>5,155501</t>
  </si>
  <si>
    <t>6,465736</t>
  </si>
  <si>
    <t>8,031210</t>
  </si>
  <si>
    <t>8,578021</t>
  </si>
  <si>
    <t>9,233711</t>
  </si>
  <si>
    <t>17,26474</t>
  </si>
  <si>
    <t>k=5</t>
  </si>
  <si>
    <t>Skupienie</t>
  </si>
  <si>
    <t>odl SK1</t>
  </si>
  <si>
    <t>odl SK2</t>
  </si>
  <si>
    <t>odl SK3</t>
  </si>
  <si>
    <t>odl SK4</t>
  </si>
  <si>
    <t>odl SK5</t>
  </si>
  <si>
    <t xml:space="preserve">Luxembourg          </t>
  </si>
  <si>
    <t xml:space="preserve">Switzerland         </t>
  </si>
  <si>
    <t xml:space="preserve">Austria             </t>
  </si>
  <si>
    <t xml:space="preserve">Greece              </t>
  </si>
  <si>
    <t xml:space="preserve">Bulgaria            </t>
  </si>
  <si>
    <t xml:space="preserve">Cyprus              </t>
  </si>
  <si>
    <t xml:space="preserve">Belgium             </t>
  </si>
  <si>
    <t xml:space="preserve">Estonia             </t>
  </si>
  <si>
    <t xml:space="preserve">Denmark             </t>
  </si>
  <si>
    <t xml:space="preserve">Czechia             </t>
  </si>
  <si>
    <t xml:space="preserve">Croatia             </t>
  </si>
  <si>
    <t xml:space="preserve">Finland             </t>
  </si>
  <si>
    <t xml:space="preserve">Germany             </t>
  </si>
  <si>
    <t xml:space="preserve">Hungary             </t>
  </si>
  <si>
    <t xml:space="preserve">France              </t>
  </si>
  <si>
    <t xml:space="preserve">Spain               </t>
  </si>
  <si>
    <t xml:space="preserve">Lithuania           </t>
  </si>
  <si>
    <t xml:space="preserve">Iceland             </t>
  </si>
  <si>
    <t xml:space="preserve">Italy               </t>
  </si>
  <si>
    <t xml:space="preserve">Latvia              </t>
  </si>
  <si>
    <t xml:space="preserve">Malta               </t>
  </si>
  <si>
    <t xml:space="preserve">Portugal            </t>
  </si>
  <si>
    <t xml:space="preserve">Poland              </t>
  </si>
  <si>
    <t xml:space="preserve">Netherlands         </t>
  </si>
  <si>
    <t xml:space="preserve">Slovenia            </t>
  </si>
  <si>
    <t xml:space="preserve">Romania             </t>
  </si>
  <si>
    <t xml:space="preserve">Norway              </t>
  </si>
  <si>
    <t xml:space="preserve">Sweden              </t>
  </si>
  <si>
    <t>jednakowość wariancji</t>
  </si>
  <si>
    <t>nie</t>
  </si>
  <si>
    <t>tak</t>
  </si>
  <si>
    <t xml:space="preserve">nie </t>
  </si>
  <si>
    <t>test</t>
  </si>
  <si>
    <t>ANOVA</t>
  </si>
  <si>
    <t>Kraj</t>
  </si>
  <si>
    <t>SK1</t>
  </si>
  <si>
    <t>SK2</t>
  </si>
  <si>
    <t>SK3</t>
  </si>
  <si>
    <t>SK4</t>
  </si>
  <si>
    <t>SK5</t>
  </si>
  <si>
    <t>suma</t>
  </si>
  <si>
    <t>N</t>
  </si>
  <si>
    <t>średnia rang</t>
  </si>
  <si>
    <t>R^2/ni</t>
  </si>
  <si>
    <t>SUMA</t>
  </si>
  <si>
    <t>H</t>
  </si>
  <si>
    <t xml:space="preserve">C = </t>
  </si>
  <si>
    <t xml:space="preserve">H' = </t>
  </si>
  <si>
    <t>chikryt</t>
  </si>
  <si>
    <t>H'&gt;chikryt, więc przynajmniej 1 grupa różni się istotnie od pozostałych, odrzucam H0</t>
  </si>
  <si>
    <t>MOŻLIWE KOMBINACJE - chyba nie potrzeba skoro się nie różnią</t>
  </si>
  <si>
    <t>D</t>
  </si>
  <si>
    <t>Dkr</t>
  </si>
  <si>
    <t>nie odrzucamy hipotezy 0</t>
  </si>
  <si>
    <t>odrzucamy hipotezę 0</t>
  </si>
  <si>
    <t>istnieją różnice między oczekiwaną długością życia w skupieniach 1 i 5</t>
  </si>
  <si>
    <t>istnieją różnice między oczekiwaną długością życia w skupieniach 2 i 5</t>
  </si>
  <si>
    <t>istnieją różnice między oczekiwaną długością życia w skupieniach 3 i 5</t>
  </si>
  <si>
    <t>H&lt;chikryt, więc nie ma podstaw do odrzucenia H0, grupy nie różnią się istotnie między sobą</t>
  </si>
  <si>
    <t>istnieją różnice między oczekiwaną długością życia w skupieniach 1 i 4</t>
  </si>
  <si>
    <t>istnieją różnice między oczekiwaną długością życia w skupieniach 2 i 4</t>
  </si>
  <si>
    <t>H&gt;chikryt, więc przynajmniej 1 grupa różni się istotnie od pozostałych, odrzucam H0</t>
  </si>
  <si>
    <t>H'</t>
  </si>
  <si>
    <t>H'&lt;chikryt, więc nie ma podstaw do odrzucenia H0, grupy nie różnią się istotnie między sobą</t>
  </si>
  <si>
    <t>normalność</t>
  </si>
  <si>
    <t>Skupienie 1</t>
  </si>
  <si>
    <t>Skupienie 2</t>
  </si>
  <si>
    <t>Skupienie 3</t>
  </si>
  <si>
    <t>Skupienie 4</t>
  </si>
  <si>
    <t>Skupienie 5</t>
  </si>
  <si>
    <t>SSE</t>
  </si>
  <si>
    <t>v</t>
  </si>
  <si>
    <t>r</t>
  </si>
  <si>
    <t>SSTR</t>
  </si>
  <si>
    <t>Żródło zmienności</t>
  </si>
  <si>
    <t>Suma kwadratów odchyleń</t>
  </si>
  <si>
    <t>Liczba stopni swobody (df)</t>
  </si>
  <si>
    <t>Średnie odchylenie kwadratowe</t>
  </si>
  <si>
    <t>Statystyka F</t>
  </si>
  <si>
    <t>Zabiegi (grupy)</t>
  </si>
  <si>
    <t>r-1</t>
  </si>
  <si>
    <t>MSTR</t>
  </si>
  <si>
    <t>F</t>
  </si>
  <si>
    <t>Błedy losowe</t>
  </si>
  <si>
    <t>N-r</t>
  </si>
  <si>
    <t>MSE</t>
  </si>
  <si>
    <t>Razem</t>
  </si>
  <si>
    <t xml:space="preserve">SST </t>
  </si>
  <si>
    <t>N-1</t>
  </si>
  <si>
    <t>Femp</t>
  </si>
  <si>
    <t>Fkr</t>
  </si>
  <si>
    <t>Miernik bezwzorcowy</t>
  </si>
  <si>
    <t>odległości w SK1</t>
  </si>
  <si>
    <t>odl  w SK2</t>
  </si>
  <si>
    <t>odl w SK3</t>
  </si>
  <si>
    <t>odl w SK4</t>
  </si>
  <si>
    <t>macierz odległości euklidesowych skupień</t>
  </si>
  <si>
    <t>ds1</t>
  </si>
  <si>
    <t>DS1</t>
  </si>
  <si>
    <t>ds2</t>
  </si>
  <si>
    <t>DS2</t>
  </si>
  <si>
    <t>ds3</t>
  </si>
  <si>
    <t>DS3</t>
  </si>
  <si>
    <t>ds4</t>
  </si>
  <si>
    <t>DS4</t>
  </si>
  <si>
    <t>d</t>
  </si>
  <si>
    <t>MJG</t>
  </si>
  <si>
    <t>ds5</t>
  </si>
  <si>
    <t>DS5</t>
  </si>
  <si>
    <t>MIERNIK BEZWZORCOWY ZE ZRÓŻNICOWANYMI WAGAMI</t>
  </si>
  <si>
    <t>Założenie jednakowości wariancji jest niespełnione dla zmiennych: GDP per capita PPP USD 2023 i zabójstwa umyślne na 100 tys. mieszkańców 2022</t>
  </si>
  <si>
    <t>H0 próba badawcza pochodzi z populacji o rozdkładzie normalnym</t>
  </si>
  <si>
    <t>p&gt;0,05, więc nie odrzucam H0, czyli rozkład jest normalny</t>
  </si>
  <si>
    <t>p&lt;0,05, więc odrzucam H0, czyli rozkład nie jest normalny</t>
  </si>
  <si>
    <t xml:space="preserve">Wariant sortowania i obserwacji przy stałym interwale dla k=5 jest najlepszym wariantem metody k-średnich, ponieważ MJG osiąga w tym przypadku najniższą wartość. </t>
  </si>
  <si>
    <t>Składy poszczególnych skupień</t>
  </si>
  <si>
    <t>miediana</t>
  </si>
  <si>
    <t>odchylenie standardowe</t>
  </si>
  <si>
    <t>zabójstwa umyślne na 100 tys mieszkańców 2022</t>
  </si>
  <si>
    <t>zmienna</t>
  </si>
  <si>
    <t>`</t>
  </si>
  <si>
    <t>wychodzą tylko 2 skupienia, więc patrz drugi największy przyrost</t>
  </si>
  <si>
    <t>Skupienie 2 - zamożne i zrównoważone</t>
  </si>
  <si>
    <t>Skupienie 3 - kraje rozwijające się z wyzwaniami</t>
  </si>
  <si>
    <t>Skupienie 4 - kraj/e średnio rozwinięte z silnym sektorem wojskowym</t>
  </si>
  <si>
    <t>Skupienie 5- kraje mniej zamożne z wyzwaniami społecznymi</t>
  </si>
  <si>
    <t>założenia - czy spełnione</t>
  </si>
  <si>
    <t>Skupienie 1 - kraj/e najbogatsze i niezachwiane</t>
  </si>
  <si>
    <t>Miernik bezwzorcowy ze zróżnicowanymi wagami vs TOPSIS.</t>
  </si>
  <si>
    <t>- Podobieństwa w grupowaniu: Obie metody generują bardzo podobne grupy krajów, co świadczy o spójności wyników.</t>
  </si>
  <si>
    <t>- Stabilność liderów: Kraje o bardzo dobrych wskaźnikach (jak Cypr, Norwegia, Dania) tworzą tę samą grupę liderów w obu metodach.</t>
  </si>
  <si>
    <t>- Przetasowania w środku rankingu: Główne różnice w pozycjach dotyczą krajów ze średnimi wynikami, takich jak Polska, Grecja czy Włochy, które w zależności od metody mogą wypadać nieco lepiej lub gorzej.</t>
  </si>
  <si>
    <t>- Umiarkowanie stabilna liczebność grup, co wskazuje na niewielki wpływ metod na ostateczny podział.</t>
  </si>
  <si>
    <t>- W mierniku bezwzorcowym Polska znajduję się na średnio-wysokiej pozycji, natomiast w przypadku miernika TOPSIS Polska znajduję się w czołówce.</t>
  </si>
  <si>
    <t>- Belgia jest konsekwentnie oceniana jako najgorszy kraj do życia w obu metodach.</t>
  </si>
  <si>
    <t>UJEDNOLICENIE</t>
  </si>
  <si>
    <t>UJEDNOLICENIE CHARAKTERU ZMIENNYCH - DESTYMULANTY NA STYMULANTY</t>
  </si>
  <si>
    <t>Pojedyncze wiązanie</t>
  </si>
  <si>
    <t>Pełne wiązanie</t>
  </si>
  <si>
    <t>Metoda Warda</t>
  </si>
  <si>
    <t>WARIANT 1 - Maksymalizacja odległości skupień</t>
  </si>
  <si>
    <t>WARIANT 3 - Wybór pierwszych N obserwacji</t>
  </si>
  <si>
    <t>WARIANT 1 - Maksymalizacja odl egłości skupień</t>
  </si>
  <si>
    <t>WARIANT 2 - Sortowanie i obserwacje przy stałym interwale</t>
  </si>
  <si>
    <t>- H1 nie ma równości wariancji</t>
  </si>
  <si>
    <t>- H0 jest równość wariancji</t>
  </si>
  <si>
    <t>- GDP per capita PPP USD 2023, p&lt;0,05 więc odrzucam H0</t>
  </si>
  <si>
    <t>Kruskala-Wallisa</t>
  </si>
  <si>
    <t>p&lt;0,05, więc H1, czyli są istotne różnice między grupami dla tej zmiennej</t>
  </si>
  <si>
    <t>p&gt;0,05, więc H0, czyli nie ma istotnych różnic między grupami dla tej zmiennej</t>
  </si>
  <si>
    <t>Wartość empiryczna jest wyższa niż krytyczna, czyli na pewno mamy do czynienia z przynajmniej 1 istonym efektem oddziaływań, czyli grupy się różnią istotnie.</t>
  </si>
  <si>
    <t>Wartość empiryczna jest wyższa niż krytyczna, czyli na pewno mamy do czynienia z przynajmniej 1 istonym efektem oddziaływań, czyli grupy się różnią istotnie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</si>
</sst>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0.000"/>
    <numFmt numFmtId="165" formatCode="0.0"/>
    <numFmt numFmtId="166" formatCode="0.000000"/>
    <numFmt numFmtId="167" formatCode="0.00000"/>
    <numFmt numFmtId="168" formatCode="#,##0.0000"/>
    <numFmt numFmtId="169" formatCode="#,##0.00000"/>
    <numFmt numFmtId="170" formatCode="0.000"/>
    <numFmt numFmtId="171" formatCode="_-* #,##0.000_-;\-* #,##0.000_-;_-* &quot;-&quot;??_-;_-@_-"/>
    <numFmt numFmtId="172" formatCode="0.0000"/>
    <numFmt numFmtId="173" formatCode="_-* #,##0.0000000_-;\-* #,##0.0000000_-;_-* &quot;-&quot;??_-;_-@_-"/>
    <numFmt numFmtId="174" formatCode="#,##0.0"/>
    <numFmt numFmtId="175" formatCode="0.0000000"/>
  </numFmts>
  <fonts count="20" x14ac:knownFonts="1">
    <font>
      <sz val="11"/>
      <color theme="1"/>
      <name val="Calibri"/>
      <family val="2"/>
      <charset val="238"/>
      <scheme val="minor"/>
    </font>
    <font>
      <b/>
      <sz val="9"/>
      <name val="Arial"/>
      <family val="2"/>
      <charset val="238"/>
    </font>
    <font>
      <sz val="11"/>
      <color theme="1"/>
      <name val="Calibri"/>
      <family val="2"/>
      <charset val="238"/>
      <scheme val="minor"/>
    </font>
    <font>
      <i/>
      <sz val="11"/>
      <color theme="1"/>
      <name val="Calibri"/>
      <family val="2"/>
      <charset val="238"/>
      <scheme val="minor"/>
    </font>
    <font>
      <sz val="8"/>
      <name val="Calibri"/>
      <family val="2"/>
      <charset val="238"/>
      <scheme val="minor"/>
    </font>
    <font>
      <b/>
      <sz val="11"/>
      <color theme="1"/>
      <name val="Times New Roman"/>
      <family val="1"/>
      <charset val="238"/>
    </font>
    <font>
      <sz val="10"/>
      <name val="Arial"/>
      <family val="2"/>
      <charset val="238"/>
    </font>
    <font>
      <sz val="10"/>
      <name val="Arial"/>
      <family val="2"/>
      <charset val="238"/>
    </font>
    <font>
      <sz val="10"/>
      <color indexed="8"/>
      <name val="Arial"/>
      <family val="2"/>
      <charset val="238"/>
    </font>
    <font>
      <sz val="11"/>
      <name val="Calibri"/>
      <family val="2"/>
      <charset val="238"/>
    </font>
    <font>
      <sz val="11"/>
      <color indexed="8"/>
      <name val="Calibri"/>
      <family val="2"/>
      <charset val="238"/>
    </font>
    <font>
      <b/>
      <sz val="11"/>
      <color theme="1"/>
      <name val="Calibri"/>
      <family val="2"/>
      <charset val="238"/>
      <scheme val="minor"/>
    </font>
    <font>
      <sz val="11"/>
      <color theme="1"/>
      <name val="Times New Roman"/>
      <family val="1"/>
      <charset val="238"/>
    </font>
    <font>
      <b/>
      <sz val="11"/>
      <color theme="0"/>
      <name val="Calibri"/>
      <family val="2"/>
      <charset val="238"/>
      <scheme val="minor"/>
    </font>
    <font>
      <sz val="11"/>
      <color rgb="FFFF0000"/>
      <name val="Calibri"/>
      <family val="2"/>
      <charset val="238"/>
      <scheme val="minor"/>
    </font>
    <font>
      <b/>
      <sz val="10"/>
      <color indexed="8"/>
      <name val="Arial"/>
      <family val="2"/>
      <charset val="238"/>
    </font>
    <font>
      <b/>
      <sz val="11"/>
      <name val="Calibri"/>
      <family val="2"/>
      <charset val="238"/>
      <scheme val="minor"/>
    </font>
    <font>
      <sz val="11"/>
      <color theme="2"/>
      <name val="Calibri"/>
      <family val="2"/>
      <charset val="238"/>
      <scheme val="minor"/>
    </font>
    <font>
      <sz val="11"/>
      <color theme="2"/>
      <name val="Calibri"/>
      <family val="2"/>
      <charset val="238"/>
    </font>
    <font>
      <b/>
      <sz val="11"/>
      <color rgb="FFC00000"/>
      <name val="Calibri"/>
      <family val="2"/>
      <charset val="238"/>
      <scheme val="minor"/>
    </font>
  </fonts>
  <fills count="14">
    <fill>
      <patternFill patternType="none"/>
    </fill>
    <fill>
      <patternFill patternType="gray125"/>
    </fill>
    <fill>
      <patternFill patternType="solid">
        <fgColor rgb="FFDCE6F1"/>
      </patternFill>
    </fill>
    <fill>
      <patternFill patternType="solid">
        <fgColor rgb="FF00B0F0"/>
        <bgColor indexed="64"/>
      </patternFill>
    </fill>
    <fill>
      <patternFill patternType="solid">
        <fgColor theme="0"/>
        <bgColor indexed="64"/>
      </patternFill>
    </fill>
    <fill>
      <patternFill patternType="solid">
        <fgColor theme="6"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2" tint="-9.9978637043366805E-2"/>
        <bgColor indexed="64"/>
      </patternFill>
    </fill>
    <fill>
      <patternFill patternType="solid">
        <fgColor theme="8" tint="-0.499984740745262"/>
        <bgColor indexed="64"/>
      </patternFill>
    </fill>
  </fills>
  <borders count="35">
    <border>
      <left/>
      <right/>
      <top/>
      <bottom/>
      <diagonal/>
    </border>
    <border>
      <left style="thin">
        <color rgb="FFB0B0B0"/>
      </left>
      <right style="thin">
        <color rgb="FFB0B0B0"/>
      </right>
      <top style="thin">
        <color rgb="FFB0B0B0"/>
      </top>
      <bottom style="thin">
        <color rgb="FFB0B0B0"/>
      </bottom>
      <diagonal/>
    </border>
    <border>
      <left/>
      <right/>
      <top/>
      <bottom style="thin">
        <color indexed="64"/>
      </bottom>
      <diagonal/>
    </border>
    <border>
      <left style="thin">
        <color rgb="FFB0B0B0"/>
      </left>
      <right style="thin">
        <color rgb="FFB0B0B0"/>
      </right>
      <top/>
      <bottom style="thin">
        <color rgb="FFB0B0B0"/>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thin">
        <color indexed="64"/>
      </bottom>
      <diagonal/>
    </border>
    <border>
      <left/>
      <right style="medium">
        <color rgb="FFFF0000"/>
      </right>
      <top style="medium">
        <color rgb="FFFF0000"/>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rgb="FFB0B0B0"/>
      </left>
      <right style="thin">
        <color rgb="FFB0B0B0"/>
      </right>
      <top style="thin">
        <color indexed="64"/>
      </top>
      <bottom style="thin">
        <color indexed="64"/>
      </bottom>
      <diagonal/>
    </border>
    <border>
      <left style="thin">
        <color rgb="FFB0B0B0"/>
      </left>
      <right style="thin">
        <color rgb="FFB0B0B0"/>
      </right>
      <top style="thin">
        <color rgb="FFB0B0B0"/>
      </top>
      <bottom style="thin">
        <color indexed="64"/>
      </bottom>
      <diagonal/>
    </border>
    <border>
      <left style="thin">
        <color rgb="FFB0B0B0"/>
      </left>
      <right style="thin">
        <color rgb="FFB0B0B0"/>
      </right>
      <top style="thin">
        <color indexed="64"/>
      </top>
      <bottom/>
      <diagonal/>
    </border>
    <border>
      <left style="thin">
        <color rgb="FFB0B0B0"/>
      </left>
      <right style="thin">
        <color rgb="FFB0B0B0"/>
      </right>
      <top/>
      <bottom/>
      <diagonal/>
    </border>
    <border>
      <left style="thin">
        <color rgb="FFB0B0B0"/>
      </left>
      <right style="thin">
        <color rgb="FFB0B0B0"/>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0">
    <xf numFmtId="0" fontId="0" fillId="0" borderId="0"/>
    <xf numFmtId="9" fontId="2" fillId="0" borderId="0" applyFont="0" applyFill="0" applyBorder="0" applyAlignment="0" applyProtection="0"/>
    <xf numFmtId="0" fontId="7" fillId="0" borderId="0"/>
    <xf numFmtId="0" fontId="6" fillId="0" borderId="0"/>
    <xf numFmtId="0" fontId="6" fillId="0" borderId="0"/>
    <xf numFmtId="0" fontId="9" fillId="0" borderId="0"/>
    <xf numFmtId="0" fontId="9" fillId="0" borderId="0"/>
    <xf numFmtId="43" fontId="2" fillId="0" borderId="0" applyFont="0" applyFill="0" applyBorder="0" applyAlignment="0" applyProtection="0"/>
    <xf numFmtId="0" fontId="6" fillId="0" borderId="0"/>
    <xf numFmtId="0" fontId="6" fillId="0" borderId="0"/>
  </cellStyleXfs>
  <cellXfs count="181">
    <xf numFmtId="0" fontId="0" fillId="0" borderId="0" xfId="0"/>
    <xf numFmtId="0" fontId="0" fillId="0" borderId="0" xfId="0" applyAlignment="1">
      <alignment wrapText="1"/>
    </xf>
    <xf numFmtId="14" fontId="0" fillId="0" borderId="0" xfId="0" applyNumberFormat="1"/>
    <xf numFmtId="0" fontId="1" fillId="2" borderId="1" xfId="0" applyFont="1" applyFill="1" applyBorder="1" applyAlignment="1">
      <alignment horizontal="left" vertical="center"/>
    </xf>
    <xf numFmtId="0" fontId="1" fillId="2" borderId="3" xfId="0" applyFont="1" applyFill="1" applyBorder="1" applyAlignment="1">
      <alignment horizontal="left" vertical="center"/>
    </xf>
    <xf numFmtId="0" fontId="0" fillId="0" borderId="2" xfId="0" applyBorder="1"/>
    <xf numFmtId="0" fontId="0" fillId="0" borderId="2" xfId="0" applyBorder="1" applyAlignment="1">
      <alignment wrapText="1"/>
    </xf>
    <xf numFmtId="0" fontId="0" fillId="4" borderId="0" xfId="0" applyFill="1"/>
    <xf numFmtId="0" fontId="0" fillId="0" borderId="4" xfId="0" applyBorder="1"/>
    <xf numFmtId="0" fontId="3" fillId="0" borderId="5" xfId="0" applyFont="1" applyBorder="1" applyAlignment="1">
      <alignment horizontal="center"/>
    </xf>
    <xf numFmtId="0" fontId="0" fillId="0" borderId="0" xfId="0" applyAlignment="1">
      <alignment horizontal="left"/>
    </xf>
    <xf numFmtId="0" fontId="3" fillId="0" borderId="0" xfId="0" applyFont="1" applyAlignment="1">
      <alignment horizontal="center"/>
    </xf>
    <xf numFmtId="4" fontId="0" fillId="0" borderId="0" xfId="0" applyNumberFormat="1"/>
    <xf numFmtId="4" fontId="0" fillId="0" borderId="0" xfId="1" applyNumberFormat="1" applyFont="1"/>
    <xf numFmtId="164" fontId="0" fillId="0" borderId="0" xfId="0" applyNumberFormat="1"/>
    <xf numFmtId="165" fontId="0" fillId="0" borderId="0" xfId="0" applyNumberFormat="1"/>
    <xf numFmtId="0" fontId="8" fillId="0" borderId="0" xfId="2" applyFont="1" applyAlignment="1">
      <alignment horizontal="left" vertical="center"/>
    </xf>
    <xf numFmtId="0" fontId="8" fillId="0" borderId="0" xfId="3" applyFont="1" applyAlignment="1">
      <alignment horizontal="left" vertical="center"/>
    </xf>
    <xf numFmtId="2" fontId="8" fillId="0" borderId="0" xfId="3" applyNumberFormat="1" applyFont="1" applyAlignment="1">
      <alignment horizontal="right" vertical="center"/>
    </xf>
    <xf numFmtId="166" fontId="8" fillId="0" borderId="0" xfId="3" applyNumberFormat="1" applyFont="1" applyAlignment="1">
      <alignment horizontal="right" vertical="center"/>
    </xf>
    <xf numFmtId="0" fontId="10" fillId="0" borderId="0" xfId="5" applyFont="1"/>
    <xf numFmtId="0" fontId="10" fillId="0" borderId="0" xfId="6" applyFont="1"/>
    <xf numFmtId="0" fontId="10" fillId="0" borderId="2" xfId="6" applyFont="1" applyBorder="1"/>
    <xf numFmtId="167" fontId="0" fillId="0" borderId="0" xfId="0" applyNumberFormat="1"/>
    <xf numFmtId="0" fontId="11" fillId="0" borderId="0" xfId="0" applyFont="1"/>
    <xf numFmtId="166" fontId="0" fillId="0" borderId="0" xfId="0" applyNumberFormat="1"/>
    <xf numFmtId="0" fontId="12" fillId="0" borderId="6" xfId="0" applyFont="1" applyBorder="1" applyAlignment="1">
      <alignment horizontal="center" vertical="center" wrapText="1"/>
    </xf>
    <xf numFmtId="1" fontId="12" fillId="0" borderId="6" xfId="0" applyNumberFormat="1" applyFont="1" applyBorder="1" applyAlignment="1">
      <alignment horizontal="center" vertical="center" wrapText="1"/>
    </xf>
    <xf numFmtId="2" fontId="12" fillId="0" borderId="6" xfId="0" applyNumberFormat="1" applyFont="1" applyBorder="1" applyAlignment="1">
      <alignment horizontal="center" vertical="center" wrapText="1"/>
    </xf>
    <xf numFmtId="4" fontId="12" fillId="0" borderId="6" xfId="0" applyNumberFormat="1" applyFont="1" applyBorder="1" applyAlignment="1">
      <alignment horizontal="center" vertical="center" wrapText="1"/>
    </xf>
    <xf numFmtId="169" fontId="0" fillId="0" borderId="0" xfId="0" applyNumberFormat="1"/>
    <xf numFmtId="2" fontId="0" fillId="0" borderId="0" xfId="0" applyNumberFormat="1"/>
    <xf numFmtId="170" fontId="0" fillId="0" borderId="0" xfId="0" applyNumberFormat="1"/>
    <xf numFmtId="171" fontId="12" fillId="0" borderId="6" xfId="7" applyNumberFormat="1" applyFont="1" applyBorder="1" applyAlignment="1">
      <alignment horizontal="center" vertical="center" wrapText="1"/>
    </xf>
    <xf numFmtId="172" fontId="0" fillId="0" borderId="0" xfId="7" applyNumberFormat="1" applyFont="1"/>
    <xf numFmtId="173" fontId="12" fillId="0" borderId="6" xfId="7" applyNumberFormat="1" applyFont="1" applyBorder="1" applyAlignment="1">
      <alignment horizontal="center" vertical="center" wrapText="1"/>
    </xf>
    <xf numFmtId="174" fontId="0" fillId="0" borderId="0" xfId="0" applyNumberFormat="1"/>
    <xf numFmtId="0" fontId="0" fillId="0" borderId="2" xfId="0" applyBorder="1" applyAlignment="1">
      <alignment vertical="center" wrapText="1"/>
    </xf>
    <xf numFmtId="0" fontId="0" fillId="0" borderId="2" xfId="0" applyBorder="1" applyAlignment="1">
      <alignment horizontal="left" vertical="center" wrapText="1"/>
    </xf>
    <xf numFmtId="0" fontId="5" fillId="5" borderId="8" xfId="0" applyFont="1" applyFill="1" applyBorder="1" applyAlignment="1">
      <alignment horizontal="center" vertical="center" wrapText="1"/>
    </xf>
    <xf numFmtId="2" fontId="8" fillId="0" borderId="0" xfId="8" applyNumberFormat="1" applyFont="1" applyAlignment="1">
      <alignment horizontal="right" vertical="center"/>
    </xf>
    <xf numFmtId="0" fontId="8" fillId="0" borderId="0" xfId="8" applyFont="1" applyAlignment="1">
      <alignment horizontal="left" vertical="center"/>
    </xf>
    <xf numFmtId="166" fontId="8" fillId="0" borderId="0" xfId="8" applyNumberFormat="1" applyFont="1" applyAlignment="1">
      <alignment horizontal="right" vertical="center"/>
    </xf>
    <xf numFmtId="0" fontId="15" fillId="0" borderId="0" xfId="9" applyFont="1" applyAlignment="1">
      <alignment horizontal="left" vertical="center"/>
    </xf>
    <xf numFmtId="166" fontId="11" fillId="0" borderId="0" xfId="0" applyNumberFormat="1" applyFont="1"/>
    <xf numFmtId="166" fontId="8" fillId="3" borderId="0" xfId="8" applyNumberFormat="1" applyFont="1" applyFill="1" applyAlignment="1">
      <alignment horizontal="right" vertical="center"/>
    </xf>
    <xf numFmtId="166" fontId="16" fillId="0" borderId="0" xfId="0" applyNumberFormat="1" applyFont="1" applyAlignment="1">
      <alignment horizontal="center" vertical="center"/>
    </xf>
    <xf numFmtId="0" fontId="16" fillId="0" borderId="0" xfId="0" applyFont="1"/>
    <xf numFmtId="0" fontId="13" fillId="0" borderId="0" xfId="0" applyFont="1"/>
    <xf numFmtId="166" fontId="8" fillId="3" borderId="0" xfId="3" applyNumberFormat="1" applyFont="1" applyFill="1" applyAlignment="1">
      <alignment horizontal="right" vertical="center"/>
    </xf>
    <xf numFmtId="0" fontId="0" fillId="0" borderId="7" xfId="0" applyBorder="1"/>
    <xf numFmtId="0" fontId="0" fillId="0" borderId="9" xfId="0" applyBorder="1"/>
    <xf numFmtId="0" fontId="5" fillId="5" borderId="7" xfId="0" applyFont="1" applyFill="1" applyBorder="1" applyAlignment="1">
      <alignment horizontal="center" vertical="center" wrapText="1"/>
    </xf>
    <xf numFmtId="0" fontId="0" fillId="0" borderId="0" xfId="0" applyAlignment="1">
      <alignment vertical="center"/>
    </xf>
    <xf numFmtId="0" fontId="0" fillId="0" borderId="2" xfId="0" applyBorder="1" applyAlignment="1">
      <alignment horizontal="center" vertical="center" wrapText="1"/>
    </xf>
    <xf numFmtId="0" fontId="13" fillId="6" borderId="0" xfId="0" applyFont="1" applyFill="1"/>
    <xf numFmtId="1" fontId="8" fillId="0" borderId="14" xfId="3" applyNumberFormat="1" applyFont="1" applyBorder="1" applyAlignment="1">
      <alignment horizontal="center" vertical="center"/>
    </xf>
    <xf numFmtId="1" fontId="8" fillId="0" borderId="17" xfId="3" applyNumberFormat="1" applyFont="1" applyBorder="1" applyAlignment="1">
      <alignment horizontal="center" vertical="center"/>
    </xf>
    <xf numFmtId="0" fontId="0" fillId="0" borderId="20" xfId="0" applyBorder="1" applyAlignment="1">
      <alignment vertical="center"/>
    </xf>
    <xf numFmtId="0" fontId="0" fillId="0" borderId="20" xfId="0" applyBorder="1"/>
    <xf numFmtId="0" fontId="0" fillId="0" borderId="2" xfId="0" applyBorder="1" applyAlignment="1">
      <alignment vertical="center"/>
    </xf>
    <xf numFmtId="0" fontId="0" fillId="0" borderId="13" xfId="0" applyBorder="1" applyAlignment="1">
      <alignment vertical="center"/>
    </xf>
    <xf numFmtId="0" fontId="0" fillId="0" borderId="15" xfId="0" applyBorder="1" applyAlignment="1">
      <alignment vertical="center"/>
    </xf>
    <xf numFmtId="2" fontId="0" fillId="0" borderId="0" xfId="0" applyNumberFormat="1" applyAlignment="1">
      <alignment vertical="center"/>
    </xf>
    <xf numFmtId="2" fontId="0" fillId="0" borderId="2" xfId="0" applyNumberFormat="1" applyBorder="1" applyAlignment="1">
      <alignment vertical="center"/>
    </xf>
    <xf numFmtId="0" fontId="0" fillId="7" borderId="2" xfId="0" applyFill="1" applyBorder="1"/>
    <xf numFmtId="0" fontId="0" fillId="8" borderId="0" xfId="0" applyFill="1"/>
    <xf numFmtId="0" fontId="0" fillId="9" borderId="21" xfId="0" applyFill="1" applyBorder="1"/>
    <xf numFmtId="0" fontId="0" fillId="9" borderId="0" xfId="0" applyFill="1"/>
    <xf numFmtId="0" fontId="0" fillId="9" borderId="2" xfId="0" applyFill="1" applyBorder="1"/>
    <xf numFmtId="0" fontId="0" fillId="10" borderId="0" xfId="0" applyFill="1"/>
    <xf numFmtId="0" fontId="11" fillId="9" borderId="21" xfId="0" applyFont="1" applyFill="1" applyBorder="1"/>
    <xf numFmtId="0" fontId="11" fillId="9" borderId="0" xfId="0" applyFont="1" applyFill="1"/>
    <xf numFmtId="0" fontId="11" fillId="9" borderId="2" xfId="0" applyFont="1" applyFill="1" applyBorder="1"/>
    <xf numFmtId="0" fontId="11" fillId="8" borderId="0" xfId="0" applyFont="1" applyFill="1"/>
    <xf numFmtId="0" fontId="11" fillId="8" borderId="2" xfId="0" applyFont="1" applyFill="1" applyBorder="1"/>
    <xf numFmtId="0" fontId="11" fillId="10" borderId="0" xfId="0" applyFont="1" applyFill="1"/>
    <xf numFmtId="0" fontId="11" fillId="10" borderId="2" xfId="0" applyFont="1" applyFill="1" applyBorder="1"/>
    <xf numFmtId="0" fontId="11" fillId="11" borderId="0" xfId="0" applyFont="1" applyFill="1"/>
    <xf numFmtId="0" fontId="0" fillId="10" borderId="21" xfId="0" applyFill="1" applyBorder="1"/>
    <xf numFmtId="0" fontId="11" fillId="10" borderId="21" xfId="0" applyFont="1" applyFill="1" applyBorder="1"/>
    <xf numFmtId="0" fontId="16" fillId="11" borderId="0" xfId="0" applyFont="1" applyFill="1"/>
    <xf numFmtId="0" fontId="0" fillId="8" borderId="21" xfId="0" applyFill="1" applyBorder="1"/>
    <xf numFmtId="0" fontId="0" fillId="11" borderId="21" xfId="0" applyFill="1" applyBorder="1"/>
    <xf numFmtId="0" fontId="0" fillId="11" borderId="0" xfId="0" applyFill="1"/>
    <xf numFmtId="0" fontId="14" fillId="4" borderId="0" xfId="0" applyFont="1" applyFill="1"/>
    <xf numFmtId="0" fontId="0" fillId="4" borderId="0" xfId="0" quotePrefix="1" applyFill="1"/>
    <xf numFmtId="0" fontId="0" fillId="0" borderId="0" xfId="0" applyAlignment="1">
      <alignment horizontal="left" vertical="center"/>
    </xf>
    <xf numFmtId="0" fontId="0" fillId="0" borderId="2" xfId="0" applyBorder="1" applyAlignment="1">
      <alignment horizontal="left" vertical="center"/>
    </xf>
    <xf numFmtId="0" fontId="0" fillId="0" borderId="0" xfId="0" applyAlignment="1">
      <alignment vertical="center" wrapText="1"/>
    </xf>
    <xf numFmtId="0" fontId="0" fillId="0" borderId="7" xfId="0" applyBorder="1" applyAlignment="1">
      <alignment vertical="center" wrapText="1"/>
    </xf>
    <xf numFmtId="0" fontId="0" fillId="0" borderId="2" xfId="0" applyBorder="1" applyAlignment="1">
      <alignment horizontal="right" vertical="center" wrapText="1"/>
    </xf>
    <xf numFmtId="0" fontId="0" fillId="0" borderId="2" xfId="0" applyBorder="1" applyAlignment="1">
      <alignment horizontal="right" wrapText="1"/>
    </xf>
    <xf numFmtId="0" fontId="0" fillId="0" borderId="0" xfId="0" applyAlignment="1">
      <alignment horizontal="right" vertical="center" wrapText="1"/>
    </xf>
    <xf numFmtId="0" fontId="0" fillId="12" borderId="2" xfId="0" applyFill="1" applyBorder="1" applyAlignment="1">
      <alignment horizontal="right" vertical="center" wrapText="1"/>
    </xf>
    <xf numFmtId="166" fontId="0" fillId="10" borderId="0" xfId="0" applyNumberFormat="1" applyFill="1"/>
    <xf numFmtId="0" fontId="0" fillId="10" borderId="22" xfId="0" applyFill="1" applyBorder="1"/>
    <xf numFmtId="0" fontId="1" fillId="2" borderId="23" xfId="0" applyFont="1" applyFill="1" applyBorder="1" applyAlignment="1">
      <alignment horizontal="left" vertical="center"/>
    </xf>
    <xf numFmtId="0" fontId="1" fillId="2" borderId="24" xfId="0" applyFont="1" applyFill="1" applyBorder="1" applyAlignment="1">
      <alignment horizontal="left" vertical="center"/>
    </xf>
    <xf numFmtId="0" fontId="11" fillId="0" borderId="0" xfId="0" applyFont="1" applyAlignment="1">
      <alignment vertical="center"/>
    </xf>
    <xf numFmtId="0" fontId="11" fillId="4" borderId="0" xfId="0" applyFont="1" applyFill="1"/>
    <xf numFmtId="0" fontId="8" fillId="4" borderId="0" xfId="4" applyFont="1" applyFill="1" applyAlignment="1">
      <alignment horizontal="left" vertical="center"/>
    </xf>
    <xf numFmtId="0" fontId="11" fillId="4" borderId="0" xfId="0" quotePrefix="1" applyFont="1" applyFill="1"/>
    <xf numFmtId="0" fontId="0" fillId="4" borderId="2" xfId="0" applyFill="1" applyBorder="1"/>
    <xf numFmtId="0" fontId="11" fillId="4" borderId="28" xfId="0" applyFont="1" applyFill="1" applyBorder="1"/>
    <xf numFmtId="0" fontId="0" fillId="4" borderId="29" xfId="0" applyFill="1" applyBorder="1"/>
    <xf numFmtId="0" fontId="0" fillId="4" borderId="30" xfId="0" applyFill="1" applyBorder="1"/>
    <xf numFmtId="0" fontId="0" fillId="4" borderId="0" xfId="0" applyFill="1" applyAlignment="1">
      <alignment horizontal="left"/>
    </xf>
    <xf numFmtId="0" fontId="0" fillId="7" borderId="31" xfId="0" applyFill="1" applyBorder="1"/>
    <xf numFmtId="0" fontId="0" fillId="4" borderId="9" xfId="0" applyFill="1" applyBorder="1"/>
    <xf numFmtId="0" fontId="0" fillId="7" borderId="32" xfId="0" applyFill="1" applyBorder="1"/>
    <xf numFmtId="0" fontId="0" fillId="4" borderId="33" xfId="0" applyFill="1" applyBorder="1"/>
    <xf numFmtId="0" fontId="11" fillId="0" borderId="2" xfId="0" applyFont="1" applyBorder="1" applyAlignment="1">
      <alignment horizontal="left" vertical="center" wrapText="1"/>
    </xf>
    <xf numFmtId="0" fontId="11" fillId="0" borderId="2" xfId="0" applyFont="1" applyBorder="1" applyAlignment="1">
      <alignment horizontal="right" vertical="center" wrapText="1"/>
    </xf>
    <xf numFmtId="0" fontId="11" fillId="0" borderId="2" xfId="0" applyFont="1" applyBorder="1" applyAlignment="1">
      <alignment horizontal="right" vertical="center"/>
    </xf>
    <xf numFmtId="0" fontId="0" fillId="9" borderId="9" xfId="0" applyFill="1" applyBorder="1"/>
    <xf numFmtId="0" fontId="10" fillId="9" borderId="9" xfId="6" applyFont="1" applyFill="1" applyBorder="1"/>
    <xf numFmtId="0" fontId="10" fillId="8" borderId="34" xfId="6" applyFont="1" applyFill="1" applyBorder="1"/>
    <xf numFmtId="0" fontId="0" fillId="10" borderId="34" xfId="0" applyFill="1" applyBorder="1"/>
    <xf numFmtId="0" fontId="10" fillId="10" borderId="34" xfId="6" applyFont="1" applyFill="1" applyBorder="1"/>
    <xf numFmtId="0" fontId="0" fillId="11" borderId="34" xfId="0" applyFill="1" applyBorder="1"/>
    <xf numFmtId="0" fontId="10" fillId="11" borderId="34" xfId="6" applyFont="1" applyFill="1" applyBorder="1"/>
    <xf numFmtId="0" fontId="0" fillId="9" borderId="7" xfId="0" applyFill="1" applyBorder="1"/>
    <xf numFmtId="0" fontId="0" fillId="8" borderId="8" xfId="0" applyFill="1" applyBorder="1"/>
    <xf numFmtId="0" fontId="0" fillId="10" borderId="8" xfId="0" applyFill="1" applyBorder="1"/>
    <xf numFmtId="0" fontId="0" fillId="11" borderId="8" xfId="0" applyFill="1" applyBorder="1"/>
    <xf numFmtId="0" fontId="17" fillId="13" borderId="2" xfId="0" applyFont="1" applyFill="1" applyBorder="1"/>
    <xf numFmtId="0" fontId="18" fillId="13" borderId="0" xfId="6" applyFont="1" applyFill="1"/>
    <xf numFmtId="0" fontId="17" fillId="13" borderId="0" xfId="0" applyFont="1" applyFill="1"/>
    <xf numFmtId="0" fontId="11" fillId="0" borderId="2" xfId="0" applyFont="1" applyBorder="1" applyAlignment="1">
      <alignment horizontal="center" vertical="center"/>
    </xf>
    <xf numFmtId="0" fontId="10" fillId="8" borderId="8" xfId="6" applyFont="1" applyFill="1" applyBorder="1"/>
    <xf numFmtId="0" fontId="10" fillId="9" borderId="31" xfId="6" applyFont="1" applyFill="1" applyBorder="1"/>
    <xf numFmtId="0" fontId="10" fillId="8" borderId="6" xfId="6" applyFont="1" applyFill="1" applyBorder="1"/>
    <xf numFmtId="0" fontId="10" fillId="10" borderId="6" xfId="6" applyFont="1" applyFill="1" applyBorder="1"/>
    <xf numFmtId="0" fontId="10" fillId="11" borderId="6" xfId="6" applyFont="1" applyFill="1" applyBorder="1"/>
    <xf numFmtId="0" fontId="18" fillId="13" borderId="20" xfId="6" applyFont="1" applyFill="1" applyBorder="1"/>
    <xf numFmtId="4" fontId="11" fillId="0" borderId="0" xfId="0" applyNumberFormat="1" applyFont="1"/>
    <xf numFmtId="170" fontId="11" fillId="0" borderId="0" xfId="0" applyNumberFormat="1" applyFont="1"/>
    <xf numFmtId="0" fontId="19" fillId="0" borderId="0" xfId="0" applyFont="1"/>
    <xf numFmtId="0" fontId="11" fillId="0" borderId="28" xfId="0" applyFont="1" applyBorder="1"/>
    <xf numFmtId="0" fontId="0" fillId="0" borderId="29" xfId="0" applyBorder="1"/>
    <xf numFmtId="0" fontId="0" fillId="0" borderId="30" xfId="0" applyBorder="1"/>
    <xf numFmtId="0" fontId="11" fillId="0" borderId="28" xfId="0" applyFont="1" applyBorder="1" applyAlignment="1">
      <alignment horizontal="left"/>
    </xf>
    <xf numFmtId="169" fontId="11" fillId="0" borderId="0" xfId="0" applyNumberFormat="1" applyFont="1"/>
    <xf numFmtId="168" fontId="11" fillId="0" borderId="0" xfId="0" applyNumberFormat="1" applyFont="1"/>
    <xf numFmtId="175" fontId="0" fillId="0" borderId="0" xfId="0" applyNumberFormat="1"/>
    <xf numFmtId="175" fontId="0" fillId="9" borderId="7" xfId="0" applyNumberFormat="1" applyFill="1" applyBorder="1"/>
    <xf numFmtId="175" fontId="0" fillId="8" borderId="8" xfId="0" applyNumberFormat="1" applyFill="1" applyBorder="1"/>
    <xf numFmtId="175" fontId="0" fillId="10" borderId="8" xfId="0" applyNumberFormat="1" applyFill="1" applyBorder="1"/>
    <xf numFmtId="175" fontId="0" fillId="11" borderId="8" xfId="0" applyNumberFormat="1" applyFill="1" applyBorder="1"/>
    <xf numFmtId="175" fontId="17" fillId="13" borderId="2" xfId="0" applyNumberFormat="1" applyFont="1" applyFill="1" applyBorder="1"/>
    <xf numFmtId="175" fontId="10" fillId="9" borderId="9" xfId="6" applyNumberFormat="1" applyFont="1" applyFill="1" applyBorder="1"/>
    <xf numFmtId="175" fontId="10" fillId="8" borderId="34" xfId="6" applyNumberFormat="1" applyFont="1" applyFill="1" applyBorder="1"/>
    <xf numFmtId="175" fontId="10" fillId="10" borderId="34" xfId="6" applyNumberFormat="1" applyFont="1" applyFill="1" applyBorder="1"/>
    <xf numFmtId="175" fontId="10" fillId="11" borderId="34" xfId="6" applyNumberFormat="1" applyFont="1" applyFill="1" applyBorder="1"/>
    <xf numFmtId="175" fontId="18" fillId="13" borderId="0" xfId="6" applyNumberFormat="1" applyFont="1" applyFill="1"/>
    <xf numFmtId="175" fontId="0" fillId="9" borderId="9" xfId="0" applyNumberFormat="1" applyFill="1" applyBorder="1"/>
    <xf numFmtId="175" fontId="0" fillId="11" borderId="34" xfId="0" applyNumberFormat="1" applyFill="1" applyBorder="1"/>
    <xf numFmtId="175" fontId="0" fillId="10" borderId="34" xfId="0" applyNumberFormat="1" applyFill="1" applyBorder="1"/>
    <xf numFmtId="175" fontId="17" fillId="13" borderId="0" xfId="0" applyNumberFormat="1" applyFont="1" applyFill="1"/>
    <xf numFmtId="175" fontId="10" fillId="8" borderId="8" xfId="6" applyNumberFormat="1" applyFont="1" applyFill="1" applyBorder="1"/>
    <xf numFmtId="175" fontId="11" fillId="0" borderId="0" xfId="0" applyNumberFormat="1" applyFont="1"/>
    <xf numFmtId="174" fontId="11" fillId="0" borderId="0" xfId="0" applyNumberFormat="1" applyFont="1"/>
    <xf numFmtId="0" fontId="1" fillId="2" borderId="0" xfId="0" applyFont="1" applyFill="1" applyAlignment="1">
      <alignment horizontal="center" vertical="center"/>
    </xf>
    <xf numFmtId="0" fontId="0" fillId="0" borderId="0" xfId="0" applyAlignment="1">
      <alignment horizontal="center"/>
    </xf>
    <xf numFmtId="0" fontId="1" fillId="2" borderId="0" xfId="0" applyFont="1" applyFill="1" applyAlignment="1">
      <alignment horizontal="left" vertical="top"/>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0" xfId="0" applyFont="1" applyAlignment="1">
      <alignment horizontal="center" vertical="center" wrapText="1"/>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0" fillId="0" borderId="18" xfId="0" applyBorder="1" applyAlignment="1">
      <alignment horizontal="center"/>
    </xf>
    <xf numFmtId="0" fontId="0" fillId="0" borderId="19" xfId="0" applyBorder="1" applyAlignment="1">
      <alignment horizontal="center"/>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1" fillId="4" borderId="2" xfId="0" applyFont="1" applyFill="1" applyBorder="1" applyAlignment="1">
      <alignment horizontal="center"/>
    </xf>
  </cellXfs>
  <cellStyles count="10">
    <cellStyle name="Dziesiętny" xfId="7" builtinId="3"/>
    <cellStyle name="Normalny" xfId="0" builtinId="0"/>
    <cellStyle name="Normalny_Arkusz1" xfId="9" xr:uid="{A455221B-01AF-4556-903C-C24220B0DB3F}"/>
    <cellStyle name="Normalny_k = 4" xfId="8" xr:uid="{BEAA37DC-1C09-4D2C-99D4-39B203793A26}"/>
    <cellStyle name="Normalny_k = 5" xfId="3" xr:uid="{4F8E16D0-FDEF-46B8-818E-BD962E44AAC7}"/>
    <cellStyle name="Normalny_KW obliczenia" xfId="5" xr:uid="{0818549E-D24B-4757-B9DD-A9A270A8528F}"/>
    <cellStyle name="Normalny_KW oczek dług życia 2023" xfId="6" xr:uid="{5C758FEB-1565-4311-B688-5F510B81ED93}"/>
    <cellStyle name="Normalny_metody aglomeracyjne" xfId="2" xr:uid="{8E1E5997-ACB2-4475-A7BF-70F93D5F5943}"/>
    <cellStyle name="Normalny_test Levene'a" xfId="4" xr:uid="{9088DA87-0B75-4B18-AC70-5BC3392E1AC5}"/>
    <cellStyle name="Procentowy" xfId="1" builtinId="5"/>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4" Type="http://schemas.openxmlformats.org/officeDocument/2006/relationships/image" Target="../media/image17.png"/></Relationships>
</file>

<file path=xl/drawings/_rels/drawing7.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image" Target="../media/image17.png"/><Relationship Id="rId2" Type="http://schemas.openxmlformats.org/officeDocument/2006/relationships/image" Target="../media/image19.png"/><Relationship Id="rId1" Type="http://schemas.openxmlformats.org/officeDocument/2006/relationships/image" Target="../media/image18.png"/><Relationship Id="rId6" Type="http://schemas.openxmlformats.org/officeDocument/2006/relationships/image" Target="../media/image23.png"/><Relationship Id="rId11" Type="http://schemas.openxmlformats.org/officeDocument/2006/relationships/image" Target="../media/image16.png"/><Relationship Id="rId5" Type="http://schemas.openxmlformats.org/officeDocument/2006/relationships/image" Target="../media/image22.png"/><Relationship Id="rId10" Type="http://schemas.openxmlformats.org/officeDocument/2006/relationships/image" Target="../media/image15.png"/><Relationship Id="rId4" Type="http://schemas.openxmlformats.org/officeDocument/2006/relationships/image" Target="../media/image21.png"/><Relationship Id="rId9" Type="http://schemas.openxmlformats.org/officeDocument/2006/relationships/image" Target="../media/image14.png"/></Relationships>
</file>

<file path=xl/drawings/_rels/drawing8.xml.rels><?xml version="1.0" encoding="UTF-8" standalone="yes"?>
<Relationships xmlns="http://schemas.openxmlformats.org/package/2006/relationships"><Relationship Id="rId8" Type="http://schemas.openxmlformats.org/officeDocument/2006/relationships/image" Target="../media/image33.png"/><Relationship Id="rId3" Type="http://schemas.openxmlformats.org/officeDocument/2006/relationships/image" Target="../media/image28.png"/><Relationship Id="rId7" Type="http://schemas.openxmlformats.org/officeDocument/2006/relationships/image" Target="../media/image32.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11" Type="http://schemas.openxmlformats.org/officeDocument/2006/relationships/image" Target="../media/image36.png"/><Relationship Id="rId5" Type="http://schemas.openxmlformats.org/officeDocument/2006/relationships/image" Target="../media/image30.png"/><Relationship Id="rId10" Type="http://schemas.openxmlformats.org/officeDocument/2006/relationships/image" Target="../media/image35.png"/><Relationship Id="rId4" Type="http://schemas.openxmlformats.org/officeDocument/2006/relationships/image" Target="../media/image29.png"/><Relationship Id="rId9" Type="http://schemas.openxmlformats.org/officeDocument/2006/relationships/image" Target="../media/image34.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13.emf"/><Relationship Id="rId3" Type="http://schemas.openxmlformats.org/officeDocument/2006/relationships/image" Target="../media/image8.emf"/><Relationship Id="rId7" Type="http://schemas.openxmlformats.org/officeDocument/2006/relationships/image" Target="../media/image12.emf"/><Relationship Id="rId2" Type="http://schemas.openxmlformats.org/officeDocument/2006/relationships/image" Target="../media/image7.emf"/><Relationship Id="rId1" Type="http://schemas.openxmlformats.org/officeDocument/2006/relationships/image" Target="../media/image6.emf"/><Relationship Id="rId6" Type="http://schemas.openxmlformats.org/officeDocument/2006/relationships/image" Target="../media/image11.emf"/><Relationship Id="rId5" Type="http://schemas.openxmlformats.org/officeDocument/2006/relationships/image" Target="../media/image10.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4</xdr:col>
      <xdr:colOff>638736</xdr:colOff>
      <xdr:row>153</xdr:row>
      <xdr:rowOff>152400</xdr:rowOff>
    </xdr:from>
    <xdr:to>
      <xdr:col>6</xdr:col>
      <xdr:colOff>1322904</xdr:colOff>
      <xdr:row>165</xdr:row>
      <xdr:rowOff>147766</xdr:rowOff>
    </xdr:to>
    <xdr:pic>
      <xdr:nvPicPr>
        <xdr:cNvPr id="3" name="Obraz 2">
          <a:extLst>
            <a:ext uri="{FF2B5EF4-FFF2-40B4-BE49-F238E27FC236}">
              <a16:creationId xmlns:a16="http://schemas.microsoft.com/office/drawing/2014/main" id="{8D1BCB31-AB68-46B6-988C-34F065E43309}"/>
            </a:ext>
          </a:extLst>
        </xdr:cNvPr>
        <xdr:cNvPicPr>
          <a:picLocks noChangeAspect="1"/>
        </xdr:cNvPicPr>
      </xdr:nvPicPr>
      <xdr:blipFill>
        <a:blip xmlns:r="http://schemas.openxmlformats.org/officeDocument/2006/relationships" r:embed="rId1"/>
        <a:stretch>
          <a:fillRect/>
        </a:stretch>
      </xdr:blipFill>
      <xdr:spPr>
        <a:xfrm>
          <a:off x="9670677" y="30352253"/>
          <a:ext cx="4045933" cy="22813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56517</xdr:colOff>
      <xdr:row>120</xdr:row>
      <xdr:rowOff>165652</xdr:rowOff>
    </xdr:from>
    <xdr:to>
      <xdr:col>8</xdr:col>
      <xdr:colOff>220733</xdr:colOff>
      <xdr:row>132</xdr:row>
      <xdr:rowOff>149813</xdr:rowOff>
    </xdr:to>
    <xdr:pic>
      <xdr:nvPicPr>
        <xdr:cNvPr id="5" name="Obraz 4">
          <a:extLst>
            <a:ext uri="{FF2B5EF4-FFF2-40B4-BE49-F238E27FC236}">
              <a16:creationId xmlns:a16="http://schemas.microsoft.com/office/drawing/2014/main" id="{BC9A31D2-BD52-4E22-9F2D-A20CF067AB0F}"/>
            </a:ext>
          </a:extLst>
        </xdr:cNvPr>
        <xdr:cNvPicPr>
          <a:picLocks noChangeAspect="1"/>
        </xdr:cNvPicPr>
      </xdr:nvPicPr>
      <xdr:blipFill>
        <a:blip xmlns:r="http://schemas.openxmlformats.org/officeDocument/2006/relationships" r:embed="rId1"/>
        <a:stretch>
          <a:fillRect/>
        </a:stretch>
      </xdr:blipFill>
      <xdr:spPr>
        <a:xfrm>
          <a:off x="9399300" y="23489478"/>
          <a:ext cx="4057042" cy="22701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79612</xdr:colOff>
      <xdr:row>5</xdr:row>
      <xdr:rowOff>560</xdr:rowOff>
    </xdr:from>
    <xdr:to>
      <xdr:col>25</xdr:col>
      <xdr:colOff>280516</xdr:colOff>
      <xdr:row>29</xdr:row>
      <xdr:rowOff>112155</xdr:rowOff>
    </xdr:to>
    <xdr:pic>
      <xdr:nvPicPr>
        <xdr:cNvPr id="2" name="Obraz 1">
          <a:extLst>
            <a:ext uri="{FF2B5EF4-FFF2-40B4-BE49-F238E27FC236}">
              <a16:creationId xmlns:a16="http://schemas.microsoft.com/office/drawing/2014/main" id="{7CC13F75-5606-6AE4-43A4-57146BE25C88}"/>
            </a:ext>
          </a:extLst>
        </xdr:cNvPr>
        <xdr:cNvPicPr>
          <a:picLocks noChangeAspect="1"/>
        </xdr:cNvPicPr>
      </xdr:nvPicPr>
      <xdr:blipFill>
        <a:blip xmlns:r="http://schemas.openxmlformats.org/officeDocument/2006/relationships" r:embed="rId1"/>
        <a:stretch>
          <a:fillRect/>
        </a:stretch>
      </xdr:blipFill>
      <xdr:spPr>
        <a:xfrm>
          <a:off x="7486700" y="953060"/>
          <a:ext cx="6252081" cy="4706007"/>
        </a:xfrm>
        <a:prstGeom prst="rect">
          <a:avLst/>
        </a:prstGeom>
      </xdr:spPr>
    </xdr:pic>
    <xdr:clientData/>
  </xdr:twoCellAnchor>
  <xdr:twoCellAnchor>
    <xdr:from>
      <xdr:col>15</xdr:col>
      <xdr:colOff>79612</xdr:colOff>
      <xdr:row>17</xdr:row>
      <xdr:rowOff>67564</xdr:rowOff>
    </xdr:from>
    <xdr:to>
      <xdr:col>25</xdr:col>
      <xdr:colOff>280516</xdr:colOff>
      <xdr:row>17</xdr:row>
      <xdr:rowOff>67564</xdr:rowOff>
    </xdr:to>
    <xdr:cxnSp macro="">
      <xdr:nvCxnSpPr>
        <xdr:cNvPr id="4" name="Łącznik prosty 3">
          <a:extLst>
            <a:ext uri="{FF2B5EF4-FFF2-40B4-BE49-F238E27FC236}">
              <a16:creationId xmlns:a16="http://schemas.microsoft.com/office/drawing/2014/main" id="{DA55A631-FD3F-6D60-F4E6-E0F8A15D7046}"/>
            </a:ext>
          </a:extLst>
        </xdr:cNvPr>
        <xdr:cNvCxnSpPr>
          <a:stCxn id="2" idx="1"/>
          <a:endCxn id="2" idx="3"/>
        </xdr:cNvCxnSpPr>
      </xdr:nvCxnSpPr>
      <xdr:spPr>
        <a:xfrm>
          <a:off x="7486700" y="3306064"/>
          <a:ext cx="625208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39780</xdr:colOff>
      <xdr:row>34</xdr:row>
      <xdr:rowOff>17930</xdr:rowOff>
    </xdr:from>
    <xdr:to>
      <xdr:col>25</xdr:col>
      <xdr:colOff>326421</xdr:colOff>
      <xdr:row>59</xdr:row>
      <xdr:rowOff>62867</xdr:rowOff>
    </xdr:to>
    <xdr:pic>
      <xdr:nvPicPr>
        <xdr:cNvPr id="6" name="Obraz 5">
          <a:extLst>
            <a:ext uri="{FF2B5EF4-FFF2-40B4-BE49-F238E27FC236}">
              <a16:creationId xmlns:a16="http://schemas.microsoft.com/office/drawing/2014/main" id="{C228FC94-4644-0AC4-9216-3D7DF6484D0F}"/>
            </a:ext>
          </a:extLst>
        </xdr:cNvPr>
        <xdr:cNvPicPr>
          <a:picLocks noChangeAspect="1"/>
        </xdr:cNvPicPr>
      </xdr:nvPicPr>
      <xdr:blipFill>
        <a:blip xmlns:r="http://schemas.openxmlformats.org/officeDocument/2006/relationships" r:embed="rId2"/>
        <a:stretch>
          <a:fillRect/>
        </a:stretch>
      </xdr:blipFill>
      <xdr:spPr>
        <a:xfrm>
          <a:off x="7446868" y="6494930"/>
          <a:ext cx="6337818" cy="4829849"/>
        </a:xfrm>
        <a:prstGeom prst="rect">
          <a:avLst/>
        </a:prstGeom>
      </xdr:spPr>
    </xdr:pic>
    <xdr:clientData/>
  </xdr:twoCellAnchor>
  <xdr:twoCellAnchor>
    <xdr:from>
      <xdr:col>15</xdr:col>
      <xdr:colOff>142875</xdr:colOff>
      <xdr:row>43</xdr:row>
      <xdr:rowOff>171450</xdr:rowOff>
    </xdr:from>
    <xdr:to>
      <xdr:col>25</xdr:col>
      <xdr:colOff>343779</xdr:colOff>
      <xdr:row>43</xdr:row>
      <xdr:rowOff>171450</xdr:rowOff>
    </xdr:to>
    <xdr:cxnSp macro="">
      <xdr:nvCxnSpPr>
        <xdr:cNvPr id="7" name="Łącznik prosty 6">
          <a:extLst>
            <a:ext uri="{FF2B5EF4-FFF2-40B4-BE49-F238E27FC236}">
              <a16:creationId xmlns:a16="http://schemas.microsoft.com/office/drawing/2014/main" id="{70E0E8E0-6A90-4008-8D1E-285049C45A5A}"/>
            </a:ext>
          </a:extLst>
        </xdr:cNvPr>
        <xdr:cNvCxnSpPr/>
      </xdr:nvCxnSpPr>
      <xdr:spPr>
        <a:xfrm>
          <a:off x="10610850" y="8172450"/>
          <a:ext cx="629690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103655</xdr:colOff>
      <xdr:row>65</xdr:row>
      <xdr:rowOff>29135</xdr:rowOff>
    </xdr:from>
    <xdr:to>
      <xdr:col>25</xdr:col>
      <xdr:colOff>237874</xdr:colOff>
      <xdr:row>89</xdr:row>
      <xdr:rowOff>54994</xdr:rowOff>
    </xdr:to>
    <xdr:pic>
      <xdr:nvPicPr>
        <xdr:cNvPr id="8" name="Obraz 7">
          <a:extLst>
            <a:ext uri="{FF2B5EF4-FFF2-40B4-BE49-F238E27FC236}">
              <a16:creationId xmlns:a16="http://schemas.microsoft.com/office/drawing/2014/main" id="{8FC91890-E25B-C4B0-7CCE-C92DDDDE9BD3}"/>
            </a:ext>
          </a:extLst>
        </xdr:cNvPr>
        <xdr:cNvPicPr>
          <a:picLocks noChangeAspect="1"/>
        </xdr:cNvPicPr>
      </xdr:nvPicPr>
      <xdr:blipFill>
        <a:blip xmlns:r="http://schemas.openxmlformats.org/officeDocument/2006/relationships" r:embed="rId3"/>
        <a:stretch>
          <a:fillRect/>
        </a:stretch>
      </xdr:blipFill>
      <xdr:spPr>
        <a:xfrm>
          <a:off x="7510743" y="12411635"/>
          <a:ext cx="6185396" cy="4620270"/>
        </a:xfrm>
        <a:prstGeom prst="rect">
          <a:avLst/>
        </a:prstGeom>
      </xdr:spPr>
    </xdr:pic>
    <xdr:clientData/>
  </xdr:twoCellAnchor>
  <xdr:twoCellAnchor>
    <xdr:from>
      <xdr:col>15</xdr:col>
      <xdr:colOff>161925</xdr:colOff>
      <xdr:row>79</xdr:row>
      <xdr:rowOff>38100</xdr:rowOff>
    </xdr:from>
    <xdr:to>
      <xdr:col>25</xdr:col>
      <xdr:colOff>362829</xdr:colOff>
      <xdr:row>79</xdr:row>
      <xdr:rowOff>38100</xdr:rowOff>
    </xdr:to>
    <xdr:cxnSp macro="">
      <xdr:nvCxnSpPr>
        <xdr:cNvPr id="10" name="Łącznik prosty 9">
          <a:extLst>
            <a:ext uri="{FF2B5EF4-FFF2-40B4-BE49-F238E27FC236}">
              <a16:creationId xmlns:a16="http://schemas.microsoft.com/office/drawing/2014/main" id="{108C2370-2EEA-4123-BFC0-93C1F2B0CFF9}"/>
            </a:ext>
          </a:extLst>
        </xdr:cNvPr>
        <xdr:cNvCxnSpPr/>
      </xdr:nvCxnSpPr>
      <xdr:spPr>
        <a:xfrm>
          <a:off x="10629900" y="14897100"/>
          <a:ext cx="629690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36634</xdr:colOff>
      <xdr:row>0</xdr:row>
      <xdr:rowOff>0</xdr:rowOff>
    </xdr:from>
    <xdr:to>
      <xdr:col>12</xdr:col>
      <xdr:colOff>107145</xdr:colOff>
      <xdr:row>12</xdr:row>
      <xdr:rowOff>129864</xdr:rowOff>
    </xdr:to>
    <xdr:pic>
      <xdr:nvPicPr>
        <xdr:cNvPr id="2" name="Obraz 1">
          <a:extLst>
            <a:ext uri="{FF2B5EF4-FFF2-40B4-BE49-F238E27FC236}">
              <a16:creationId xmlns:a16="http://schemas.microsoft.com/office/drawing/2014/main" id="{6AB40967-F1A0-C033-A651-1DDFBB42B430}"/>
            </a:ext>
          </a:extLst>
        </xdr:cNvPr>
        <xdr:cNvPicPr>
          <a:picLocks noChangeAspect="1"/>
        </xdr:cNvPicPr>
      </xdr:nvPicPr>
      <xdr:blipFill>
        <a:blip xmlns:r="http://schemas.openxmlformats.org/officeDocument/2006/relationships" r:embed="rId1"/>
        <a:stretch>
          <a:fillRect/>
        </a:stretch>
      </xdr:blipFill>
      <xdr:spPr>
        <a:xfrm>
          <a:off x="36634" y="0"/>
          <a:ext cx="11727646" cy="24158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457200</xdr:colOff>
          <xdr:row>24</xdr:row>
          <xdr:rowOff>47625</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B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9</xdr:col>
          <xdr:colOff>457200</xdr:colOff>
          <xdr:row>50</xdr:row>
          <xdr:rowOff>66675</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B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9</xdr:col>
          <xdr:colOff>457200</xdr:colOff>
          <xdr:row>77</xdr:row>
          <xdr:rowOff>66675</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B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9</xdr:col>
          <xdr:colOff>457200</xdr:colOff>
          <xdr:row>103</xdr:row>
          <xdr:rowOff>66675</xdr:rowOff>
        </xdr:to>
        <xdr:sp macro="" textlink="">
          <xdr:nvSpPr>
            <xdr:cNvPr id="4100" name="Object 4" hidden="1">
              <a:extLst>
                <a:ext uri="{63B3BB69-23CF-44E3-9099-C40C66FF867C}">
                  <a14:compatExt spid="_x0000_s4100"/>
                </a:ext>
                <a:ext uri="{FF2B5EF4-FFF2-40B4-BE49-F238E27FC236}">
                  <a16:creationId xmlns:a16="http://schemas.microsoft.com/office/drawing/2014/main" id="{00000000-0008-0000-0B00-000004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9</xdr:col>
          <xdr:colOff>457200</xdr:colOff>
          <xdr:row>129</xdr:row>
          <xdr:rowOff>66675</xdr:rowOff>
        </xdr:to>
        <xdr:sp macro="" textlink="">
          <xdr:nvSpPr>
            <xdr:cNvPr id="4101" name="Object 5" hidden="1">
              <a:extLst>
                <a:ext uri="{63B3BB69-23CF-44E3-9099-C40C66FF867C}">
                  <a14:compatExt spid="_x0000_s4101"/>
                </a:ext>
                <a:ext uri="{FF2B5EF4-FFF2-40B4-BE49-F238E27FC236}">
                  <a16:creationId xmlns:a16="http://schemas.microsoft.com/office/drawing/2014/main" id="{00000000-0008-0000-0B00-000005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9</xdr:col>
          <xdr:colOff>457200</xdr:colOff>
          <xdr:row>155</xdr:row>
          <xdr:rowOff>66675</xdr:rowOff>
        </xdr:to>
        <xdr:sp macro="" textlink="">
          <xdr:nvSpPr>
            <xdr:cNvPr id="4102" name="Object 6" hidden="1">
              <a:extLst>
                <a:ext uri="{63B3BB69-23CF-44E3-9099-C40C66FF867C}">
                  <a14:compatExt spid="_x0000_s4102"/>
                </a:ext>
                <a:ext uri="{FF2B5EF4-FFF2-40B4-BE49-F238E27FC236}">
                  <a16:creationId xmlns:a16="http://schemas.microsoft.com/office/drawing/2014/main" id="{00000000-0008-0000-0B00-000006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157</xdr:row>
          <xdr:rowOff>0</xdr:rowOff>
        </xdr:from>
        <xdr:to>
          <xdr:col>9</xdr:col>
          <xdr:colOff>457200</xdr:colOff>
          <xdr:row>181</xdr:row>
          <xdr:rowOff>66675</xdr:rowOff>
        </xdr:to>
        <xdr:sp macro="" textlink="">
          <xdr:nvSpPr>
            <xdr:cNvPr id="4103" name="Object 7" hidden="1">
              <a:extLst>
                <a:ext uri="{63B3BB69-23CF-44E3-9099-C40C66FF867C}">
                  <a14:compatExt spid="_x0000_s4103"/>
                </a:ext>
                <a:ext uri="{FF2B5EF4-FFF2-40B4-BE49-F238E27FC236}">
                  <a16:creationId xmlns:a16="http://schemas.microsoft.com/office/drawing/2014/main" id="{00000000-0008-0000-0B00-000007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9</xdr:col>
          <xdr:colOff>457200</xdr:colOff>
          <xdr:row>207</xdr:row>
          <xdr:rowOff>66675</xdr:rowOff>
        </xdr:to>
        <xdr:sp macro="" textlink="">
          <xdr:nvSpPr>
            <xdr:cNvPr id="4104" name="Object 8" hidden="1">
              <a:extLst>
                <a:ext uri="{63B3BB69-23CF-44E3-9099-C40C66FF867C}">
                  <a14:compatExt spid="_x0000_s4104"/>
                </a:ext>
                <a:ext uri="{FF2B5EF4-FFF2-40B4-BE49-F238E27FC236}">
                  <a16:creationId xmlns:a16="http://schemas.microsoft.com/office/drawing/2014/main" id="{00000000-0008-0000-0B00-000008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11</xdr:col>
      <xdr:colOff>220038</xdr:colOff>
      <xdr:row>10</xdr:row>
      <xdr:rowOff>133624</xdr:rowOff>
    </xdr:to>
    <xdr:pic>
      <xdr:nvPicPr>
        <xdr:cNvPr id="2" name="Obraz 1">
          <a:extLst>
            <a:ext uri="{FF2B5EF4-FFF2-40B4-BE49-F238E27FC236}">
              <a16:creationId xmlns:a16="http://schemas.microsoft.com/office/drawing/2014/main" id="{59515196-81BE-173C-8790-52F8E90324A9}"/>
            </a:ext>
          </a:extLst>
        </xdr:cNvPr>
        <xdr:cNvPicPr>
          <a:picLocks noChangeAspect="1"/>
        </xdr:cNvPicPr>
      </xdr:nvPicPr>
      <xdr:blipFill>
        <a:blip xmlns:r="http://schemas.openxmlformats.org/officeDocument/2006/relationships" r:embed="rId1"/>
        <a:stretch>
          <a:fillRect/>
        </a:stretch>
      </xdr:blipFill>
      <xdr:spPr>
        <a:xfrm>
          <a:off x="28575" y="0"/>
          <a:ext cx="6897063" cy="2038624"/>
        </a:xfrm>
        <a:prstGeom prst="rect">
          <a:avLst/>
        </a:prstGeom>
      </xdr:spPr>
    </xdr:pic>
    <xdr:clientData/>
  </xdr:twoCellAnchor>
  <xdr:twoCellAnchor editAs="oneCell">
    <xdr:from>
      <xdr:col>0</xdr:col>
      <xdr:colOff>28575</xdr:colOff>
      <xdr:row>16</xdr:row>
      <xdr:rowOff>9525</xdr:rowOff>
    </xdr:from>
    <xdr:to>
      <xdr:col>14</xdr:col>
      <xdr:colOff>258398</xdr:colOff>
      <xdr:row>26</xdr:row>
      <xdr:rowOff>152675</xdr:rowOff>
    </xdr:to>
    <xdr:pic>
      <xdr:nvPicPr>
        <xdr:cNvPr id="3" name="Obraz 2">
          <a:extLst>
            <a:ext uri="{FF2B5EF4-FFF2-40B4-BE49-F238E27FC236}">
              <a16:creationId xmlns:a16="http://schemas.microsoft.com/office/drawing/2014/main" id="{E556E469-4BC4-4985-26C2-9D11B73EB63C}"/>
            </a:ext>
          </a:extLst>
        </xdr:cNvPr>
        <xdr:cNvPicPr>
          <a:picLocks noChangeAspect="1"/>
        </xdr:cNvPicPr>
      </xdr:nvPicPr>
      <xdr:blipFill>
        <a:blip xmlns:r="http://schemas.openxmlformats.org/officeDocument/2006/relationships" r:embed="rId2"/>
        <a:stretch>
          <a:fillRect/>
        </a:stretch>
      </xdr:blipFill>
      <xdr:spPr>
        <a:xfrm>
          <a:off x="28575" y="3057525"/>
          <a:ext cx="8764223" cy="2048150"/>
        </a:xfrm>
        <a:prstGeom prst="rect">
          <a:avLst/>
        </a:prstGeom>
      </xdr:spPr>
    </xdr:pic>
    <xdr:clientData/>
  </xdr:twoCellAnchor>
  <xdr:twoCellAnchor editAs="oneCell">
    <xdr:from>
      <xdr:col>0</xdr:col>
      <xdr:colOff>0</xdr:colOff>
      <xdr:row>32</xdr:row>
      <xdr:rowOff>0</xdr:rowOff>
    </xdr:from>
    <xdr:to>
      <xdr:col>11</xdr:col>
      <xdr:colOff>191463</xdr:colOff>
      <xdr:row>42</xdr:row>
      <xdr:rowOff>171729</xdr:rowOff>
    </xdr:to>
    <xdr:pic>
      <xdr:nvPicPr>
        <xdr:cNvPr id="4" name="Obraz 3">
          <a:extLst>
            <a:ext uri="{FF2B5EF4-FFF2-40B4-BE49-F238E27FC236}">
              <a16:creationId xmlns:a16="http://schemas.microsoft.com/office/drawing/2014/main" id="{EBF99B6D-B71C-FB75-FCC1-1DF6D2B80F94}"/>
            </a:ext>
          </a:extLst>
        </xdr:cNvPr>
        <xdr:cNvPicPr>
          <a:picLocks noChangeAspect="1"/>
        </xdr:cNvPicPr>
      </xdr:nvPicPr>
      <xdr:blipFill>
        <a:blip xmlns:r="http://schemas.openxmlformats.org/officeDocument/2006/relationships" r:embed="rId3"/>
        <a:stretch>
          <a:fillRect/>
        </a:stretch>
      </xdr:blipFill>
      <xdr:spPr>
        <a:xfrm>
          <a:off x="0" y="5852160"/>
          <a:ext cx="6897063" cy="2000529"/>
        </a:xfrm>
        <a:prstGeom prst="rect">
          <a:avLst/>
        </a:prstGeom>
      </xdr:spPr>
    </xdr:pic>
    <xdr:clientData/>
  </xdr:twoCellAnchor>
  <xdr:twoCellAnchor editAs="oneCell">
    <xdr:from>
      <xdr:col>0</xdr:col>
      <xdr:colOff>0</xdr:colOff>
      <xdr:row>46</xdr:row>
      <xdr:rowOff>0</xdr:rowOff>
    </xdr:from>
    <xdr:to>
      <xdr:col>14</xdr:col>
      <xdr:colOff>229914</xdr:colOff>
      <xdr:row>56</xdr:row>
      <xdr:rowOff>124098</xdr:rowOff>
    </xdr:to>
    <xdr:pic>
      <xdr:nvPicPr>
        <xdr:cNvPr id="5" name="Obraz 4">
          <a:extLst>
            <a:ext uri="{FF2B5EF4-FFF2-40B4-BE49-F238E27FC236}">
              <a16:creationId xmlns:a16="http://schemas.microsoft.com/office/drawing/2014/main" id="{FF064AB3-FFFA-5E6B-6AAC-70E366D4A528}"/>
            </a:ext>
          </a:extLst>
        </xdr:cNvPr>
        <xdr:cNvPicPr>
          <a:picLocks noChangeAspect="1"/>
        </xdr:cNvPicPr>
      </xdr:nvPicPr>
      <xdr:blipFill>
        <a:blip xmlns:r="http://schemas.openxmlformats.org/officeDocument/2006/relationships" r:embed="rId4"/>
        <a:stretch>
          <a:fillRect/>
        </a:stretch>
      </xdr:blipFill>
      <xdr:spPr>
        <a:xfrm>
          <a:off x="0" y="8763000"/>
          <a:ext cx="8782707" cy="20290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190500</xdr:colOff>
      <xdr:row>6</xdr:row>
      <xdr:rowOff>106680</xdr:rowOff>
    </xdr:from>
    <xdr:to>
      <xdr:col>7</xdr:col>
      <xdr:colOff>1270</xdr:colOff>
      <xdr:row>9</xdr:row>
      <xdr:rowOff>34290</xdr:rowOff>
    </xdr:to>
    <xdr:pic>
      <xdr:nvPicPr>
        <xdr:cNvPr id="2" name="Obraz 1">
          <a:extLst>
            <a:ext uri="{FF2B5EF4-FFF2-40B4-BE49-F238E27FC236}">
              <a16:creationId xmlns:a16="http://schemas.microsoft.com/office/drawing/2014/main" id="{AABC0404-94F7-4E84-A885-963786C84AC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19300" y="1059180"/>
          <a:ext cx="2249170" cy="499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2</xdr:row>
      <xdr:rowOff>0</xdr:rowOff>
    </xdr:from>
    <xdr:to>
      <xdr:col>10</xdr:col>
      <xdr:colOff>475343</xdr:colOff>
      <xdr:row>3</xdr:row>
      <xdr:rowOff>156996</xdr:rowOff>
    </xdr:to>
    <xdr:pic>
      <xdr:nvPicPr>
        <xdr:cNvPr id="3" name="Obraz 2">
          <a:extLst>
            <a:ext uri="{FF2B5EF4-FFF2-40B4-BE49-F238E27FC236}">
              <a16:creationId xmlns:a16="http://schemas.microsoft.com/office/drawing/2014/main" id="{DEAD7CD6-B50C-420C-BAF7-CA13D2410CF3}"/>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876800" y="190500"/>
          <a:ext cx="1723118" cy="347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5</xdr:row>
      <xdr:rowOff>0</xdr:rowOff>
    </xdr:from>
    <xdr:to>
      <xdr:col>9</xdr:col>
      <xdr:colOff>168728</xdr:colOff>
      <xdr:row>6</xdr:row>
      <xdr:rowOff>125246</xdr:rowOff>
    </xdr:to>
    <xdr:pic>
      <xdr:nvPicPr>
        <xdr:cNvPr id="4" name="Obraz 3">
          <a:extLst>
            <a:ext uri="{FF2B5EF4-FFF2-40B4-BE49-F238E27FC236}">
              <a16:creationId xmlns:a16="http://schemas.microsoft.com/office/drawing/2014/main" id="{69BC9362-7790-489D-A9D9-B9F349211F4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876800" y="762000"/>
          <a:ext cx="806903" cy="3157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134471</xdr:colOff>
      <xdr:row>8</xdr:row>
      <xdr:rowOff>22412</xdr:rowOff>
    </xdr:from>
    <xdr:to>
      <xdr:col>10</xdr:col>
      <xdr:colOff>495514</xdr:colOff>
      <xdr:row>10</xdr:row>
      <xdr:rowOff>179166</xdr:rowOff>
    </xdr:to>
    <xdr:pic>
      <xdr:nvPicPr>
        <xdr:cNvPr id="5" name="Obraz 4">
          <a:extLst>
            <a:ext uri="{FF2B5EF4-FFF2-40B4-BE49-F238E27FC236}">
              <a16:creationId xmlns:a16="http://schemas.microsoft.com/office/drawing/2014/main" id="{BF5A82EE-38BE-4909-B2DB-0766DD291884}"/>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614147" y="1355912"/>
          <a:ext cx="1997102" cy="5377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13</xdr:row>
      <xdr:rowOff>0</xdr:rowOff>
    </xdr:from>
    <xdr:to>
      <xdr:col>9</xdr:col>
      <xdr:colOff>568778</xdr:colOff>
      <xdr:row>15</xdr:row>
      <xdr:rowOff>12216</xdr:rowOff>
    </xdr:to>
    <xdr:pic>
      <xdr:nvPicPr>
        <xdr:cNvPr id="6" name="Obraz 5">
          <a:extLst>
            <a:ext uri="{FF2B5EF4-FFF2-40B4-BE49-F238E27FC236}">
              <a16:creationId xmlns:a16="http://schemas.microsoft.com/office/drawing/2014/main" id="{CBC83CA8-BDE8-42AD-A9A6-0D4B14FB3995}"/>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876800" y="2286000"/>
          <a:ext cx="1206953" cy="393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12</xdr:row>
      <xdr:rowOff>0</xdr:rowOff>
    </xdr:from>
    <xdr:to>
      <xdr:col>6</xdr:col>
      <xdr:colOff>412750</xdr:colOff>
      <xdr:row>15</xdr:row>
      <xdr:rowOff>16510</xdr:rowOff>
    </xdr:to>
    <xdr:pic>
      <xdr:nvPicPr>
        <xdr:cNvPr id="7" name="Obraz 6">
          <a:extLst>
            <a:ext uri="{FF2B5EF4-FFF2-40B4-BE49-F238E27FC236}">
              <a16:creationId xmlns:a16="http://schemas.microsoft.com/office/drawing/2014/main" id="{27AB0AA1-A4BA-4D46-8D97-B49A83BB071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38400" y="2095500"/>
          <a:ext cx="1631950" cy="5880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0</xdr:colOff>
      <xdr:row>20</xdr:row>
      <xdr:rowOff>0</xdr:rowOff>
    </xdr:from>
    <xdr:to>
      <xdr:col>22</xdr:col>
      <xdr:colOff>2116</xdr:colOff>
      <xdr:row>22</xdr:row>
      <xdr:rowOff>108373</xdr:rowOff>
    </xdr:to>
    <xdr:pic>
      <xdr:nvPicPr>
        <xdr:cNvPr id="8" name="Obraz 7">
          <a:extLst>
            <a:ext uri="{FF2B5EF4-FFF2-40B4-BE49-F238E27FC236}">
              <a16:creationId xmlns:a16="http://schemas.microsoft.com/office/drawing/2014/main" id="{EE73A8BD-E3C1-4BE0-8661-3E04A56E3461}"/>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001375" y="3619500"/>
          <a:ext cx="2440516" cy="489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0</xdr:colOff>
      <xdr:row>25</xdr:row>
      <xdr:rowOff>0</xdr:rowOff>
    </xdr:from>
    <xdr:to>
      <xdr:col>20</xdr:col>
      <xdr:colOff>131233</xdr:colOff>
      <xdr:row>26</xdr:row>
      <xdr:rowOff>176954</xdr:rowOff>
    </xdr:to>
    <xdr:pic>
      <xdr:nvPicPr>
        <xdr:cNvPr id="9" name="Obraz 8">
          <a:extLst>
            <a:ext uri="{FF2B5EF4-FFF2-40B4-BE49-F238E27FC236}">
              <a16:creationId xmlns:a16="http://schemas.microsoft.com/office/drawing/2014/main" id="{97EF35AC-0B2F-4B7C-AEDD-E0791179BE8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001375" y="4572000"/>
          <a:ext cx="1350433" cy="3674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40</xdr:row>
      <xdr:rowOff>0</xdr:rowOff>
    </xdr:from>
    <xdr:to>
      <xdr:col>7</xdr:col>
      <xdr:colOff>482414</xdr:colOff>
      <xdr:row>49</xdr:row>
      <xdr:rowOff>64824</xdr:rowOff>
    </xdr:to>
    <xdr:pic>
      <xdr:nvPicPr>
        <xdr:cNvPr id="10" name="Obraz 9">
          <a:extLst>
            <a:ext uri="{FF2B5EF4-FFF2-40B4-BE49-F238E27FC236}">
              <a16:creationId xmlns:a16="http://schemas.microsoft.com/office/drawing/2014/main" id="{139DE0FD-88E7-4844-BB8B-042CAAC6B79E}"/>
            </a:ext>
          </a:extLst>
        </xdr:cNvPr>
        <xdr:cNvPicPr>
          <a:picLocks noChangeAspect="1"/>
        </xdr:cNvPicPr>
      </xdr:nvPicPr>
      <xdr:blipFill>
        <a:blip xmlns:r="http://schemas.openxmlformats.org/officeDocument/2006/relationships" r:embed="rId9"/>
        <a:stretch>
          <a:fillRect/>
        </a:stretch>
      </xdr:blipFill>
      <xdr:spPr>
        <a:xfrm>
          <a:off x="1" y="7429500"/>
          <a:ext cx="6019800" cy="1779324"/>
        </a:xfrm>
        <a:prstGeom prst="rect">
          <a:avLst/>
        </a:prstGeom>
      </xdr:spPr>
    </xdr:pic>
    <xdr:clientData/>
  </xdr:twoCellAnchor>
  <xdr:twoCellAnchor editAs="oneCell">
    <xdr:from>
      <xdr:col>10</xdr:col>
      <xdr:colOff>313765</xdr:colOff>
      <xdr:row>72</xdr:row>
      <xdr:rowOff>156883</xdr:rowOff>
    </xdr:from>
    <xdr:to>
      <xdr:col>23</xdr:col>
      <xdr:colOff>460984</xdr:colOff>
      <xdr:row>83</xdr:row>
      <xdr:rowOff>109533</xdr:rowOff>
    </xdr:to>
    <xdr:pic>
      <xdr:nvPicPr>
        <xdr:cNvPr id="11" name="Obraz 10">
          <a:extLst>
            <a:ext uri="{FF2B5EF4-FFF2-40B4-BE49-F238E27FC236}">
              <a16:creationId xmlns:a16="http://schemas.microsoft.com/office/drawing/2014/main" id="{3AA90209-6926-4D59-8DEB-9BDA8E6C3298}"/>
            </a:ext>
          </a:extLst>
        </xdr:cNvPr>
        <xdr:cNvPicPr>
          <a:picLocks noChangeAspect="1"/>
        </xdr:cNvPicPr>
      </xdr:nvPicPr>
      <xdr:blipFill>
        <a:blip xmlns:r="http://schemas.openxmlformats.org/officeDocument/2006/relationships" r:embed="rId10"/>
        <a:stretch>
          <a:fillRect/>
        </a:stretch>
      </xdr:blipFill>
      <xdr:spPr>
        <a:xfrm>
          <a:off x="6398559" y="13682383"/>
          <a:ext cx="8764223" cy="2048150"/>
        </a:xfrm>
        <a:prstGeom prst="rect">
          <a:avLst/>
        </a:prstGeom>
      </xdr:spPr>
    </xdr:pic>
    <xdr:clientData/>
  </xdr:twoCellAnchor>
  <xdr:twoCellAnchor editAs="oneCell">
    <xdr:from>
      <xdr:col>4</xdr:col>
      <xdr:colOff>313764</xdr:colOff>
      <xdr:row>119</xdr:row>
      <xdr:rowOff>156883</xdr:rowOff>
    </xdr:from>
    <xdr:to>
      <xdr:col>12</xdr:col>
      <xdr:colOff>794338</xdr:colOff>
      <xdr:row>130</xdr:row>
      <xdr:rowOff>138112</xdr:rowOff>
    </xdr:to>
    <xdr:pic>
      <xdr:nvPicPr>
        <xdr:cNvPr id="12" name="Obraz 11">
          <a:extLst>
            <a:ext uri="{FF2B5EF4-FFF2-40B4-BE49-F238E27FC236}">
              <a16:creationId xmlns:a16="http://schemas.microsoft.com/office/drawing/2014/main" id="{95C50394-411B-436E-ABA1-4EEA89A0DC8A}"/>
            </a:ext>
          </a:extLst>
        </xdr:cNvPr>
        <xdr:cNvPicPr>
          <a:picLocks noChangeAspect="1"/>
        </xdr:cNvPicPr>
      </xdr:nvPicPr>
      <xdr:blipFill>
        <a:blip xmlns:r="http://schemas.openxmlformats.org/officeDocument/2006/relationships" r:embed="rId11"/>
        <a:stretch>
          <a:fillRect/>
        </a:stretch>
      </xdr:blipFill>
      <xdr:spPr>
        <a:xfrm>
          <a:off x="2734235" y="22635883"/>
          <a:ext cx="6897063" cy="2076729"/>
        </a:xfrm>
        <a:prstGeom prst="rect">
          <a:avLst/>
        </a:prstGeom>
      </xdr:spPr>
    </xdr:pic>
    <xdr:clientData/>
  </xdr:twoCellAnchor>
  <xdr:twoCellAnchor editAs="oneCell">
    <xdr:from>
      <xdr:col>4</xdr:col>
      <xdr:colOff>11205</xdr:colOff>
      <xdr:row>157</xdr:row>
      <xdr:rowOff>100853</xdr:rowOff>
    </xdr:from>
    <xdr:to>
      <xdr:col>16</xdr:col>
      <xdr:colOff>151764</xdr:colOff>
      <xdr:row>168</xdr:row>
      <xdr:rowOff>34451</xdr:rowOff>
    </xdr:to>
    <xdr:pic>
      <xdr:nvPicPr>
        <xdr:cNvPr id="13" name="Obraz 12">
          <a:extLst>
            <a:ext uri="{FF2B5EF4-FFF2-40B4-BE49-F238E27FC236}">
              <a16:creationId xmlns:a16="http://schemas.microsoft.com/office/drawing/2014/main" id="{CEA690E0-AF94-4280-B9FA-6479EAB2F831}"/>
            </a:ext>
          </a:extLst>
        </xdr:cNvPr>
        <xdr:cNvPicPr>
          <a:picLocks noChangeAspect="1"/>
        </xdr:cNvPicPr>
      </xdr:nvPicPr>
      <xdr:blipFill>
        <a:blip xmlns:r="http://schemas.openxmlformats.org/officeDocument/2006/relationships" r:embed="rId12"/>
        <a:stretch>
          <a:fillRect/>
        </a:stretch>
      </xdr:blipFill>
      <xdr:spPr>
        <a:xfrm>
          <a:off x="2431676" y="29818853"/>
          <a:ext cx="9221487" cy="202909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133350</xdr:colOff>
      <xdr:row>1</xdr:row>
      <xdr:rowOff>171450</xdr:rowOff>
    </xdr:from>
    <xdr:to>
      <xdr:col>15</xdr:col>
      <xdr:colOff>174252</xdr:colOff>
      <xdr:row>4</xdr:row>
      <xdr:rowOff>9525</xdr:rowOff>
    </xdr:to>
    <xdr:pic>
      <xdr:nvPicPr>
        <xdr:cNvPr id="2" name="Picture 2">
          <a:extLst>
            <a:ext uri="{FF2B5EF4-FFF2-40B4-BE49-F238E27FC236}">
              <a16:creationId xmlns:a16="http://schemas.microsoft.com/office/drawing/2014/main" id="{C4F5B9CB-5159-4E1B-AF8F-766E026E936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7448550" y="361950"/>
          <a:ext cx="1260102" cy="409575"/>
        </a:xfrm>
        <a:prstGeom prst="rect">
          <a:avLst/>
        </a:prstGeom>
        <a:noFill/>
      </xdr:spPr>
    </xdr:pic>
    <xdr:clientData/>
  </xdr:twoCellAnchor>
  <xdr:twoCellAnchor>
    <xdr:from>
      <xdr:col>13</xdr:col>
      <xdr:colOff>95250</xdr:colOff>
      <xdr:row>4</xdr:row>
      <xdr:rowOff>133350</xdr:rowOff>
    </xdr:from>
    <xdr:to>
      <xdr:col>15</xdr:col>
      <xdr:colOff>193302</xdr:colOff>
      <xdr:row>7</xdr:row>
      <xdr:rowOff>19050</xdr:rowOff>
    </xdr:to>
    <xdr:pic>
      <xdr:nvPicPr>
        <xdr:cNvPr id="3" name="Picture 3">
          <a:extLst>
            <a:ext uri="{FF2B5EF4-FFF2-40B4-BE49-F238E27FC236}">
              <a16:creationId xmlns:a16="http://schemas.microsoft.com/office/drawing/2014/main" id="{829208A0-047B-4DDB-882D-2793436AD5F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7410450" y="895350"/>
          <a:ext cx="1317252" cy="457200"/>
        </a:xfrm>
        <a:prstGeom prst="rect">
          <a:avLst/>
        </a:prstGeom>
        <a:noFill/>
      </xdr:spPr>
    </xdr:pic>
    <xdr:clientData/>
  </xdr:twoCellAnchor>
  <xdr:twoCellAnchor>
    <xdr:from>
      <xdr:col>13</xdr:col>
      <xdr:colOff>114300</xdr:colOff>
      <xdr:row>7</xdr:row>
      <xdr:rowOff>161925</xdr:rowOff>
    </xdr:from>
    <xdr:to>
      <xdr:col>15</xdr:col>
      <xdr:colOff>174252</xdr:colOff>
      <xdr:row>10</xdr:row>
      <xdr:rowOff>47625</xdr:rowOff>
    </xdr:to>
    <xdr:pic>
      <xdr:nvPicPr>
        <xdr:cNvPr id="4" name="Picture 4">
          <a:extLst>
            <a:ext uri="{FF2B5EF4-FFF2-40B4-BE49-F238E27FC236}">
              <a16:creationId xmlns:a16="http://schemas.microsoft.com/office/drawing/2014/main" id="{D23993C9-07A5-4D7B-9AF4-457AD4071471}"/>
            </a:ext>
          </a:extLst>
        </xdr:cNvPr>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7429500" y="1495425"/>
          <a:ext cx="1279152" cy="457200"/>
        </a:xfrm>
        <a:prstGeom prst="rect">
          <a:avLst/>
        </a:prstGeom>
        <a:noFill/>
      </xdr:spPr>
    </xdr:pic>
    <xdr:clientData/>
  </xdr:twoCellAnchor>
  <xdr:twoCellAnchor>
    <xdr:from>
      <xdr:col>16</xdr:col>
      <xdr:colOff>400050</xdr:colOff>
      <xdr:row>1</xdr:row>
      <xdr:rowOff>142875</xdr:rowOff>
    </xdr:from>
    <xdr:to>
      <xdr:col>17</xdr:col>
      <xdr:colOff>463177</xdr:colOff>
      <xdr:row>3</xdr:row>
      <xdr:rowOff>123825</xdr:rowOff>
    </xdr:to>
    <xdr:pic>
      <xdr:nvPicPr>
        <xdr:cNvPr id="6" name="Picture 9">
          <a:extLst>
            <a:ext uri="{FF2B5EF4-FFF2-40B4-BE49-F238E27FC236}">
              <a16:creationId xmlns:a16="http://schemas.microsoft.com/office/drawing/2014/main" id="{1EE8DBF9-728A-40E0-8D30-79E1085CC19A}"/>
            </a:ext>
          </a:extLst>
        </xdr:cNvPr>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blip>
        <a:srcRect/>
        <a:stretch>
          <a:fillRect/>
        </a:stretch>
      </xdr:blipFill>
      <xdr:spPr bwMode="auto">
        <a:xfrm>
          <a:off x="9544050" y="333375"/>
          <a:ext cx="672727" cy="361950"/>
        </a:xfrm>
        <a:prstGeom prst="rect">
          <a:avLst/>
        </a:prstGeom>
        <a:noFill/>
      </xdr:spPr>
    </xdr:pic>
    <xdr:clientData/>
  </xdr:twoCellAnchor>
  <xdr:twoCellAnchor>
    <xdr:from>
      <xdr:col>16</xdr:col>
      <xdr:colOff>219075</xdr:colOff>
      <xdr:row>4</xdr:row>
      <xdr:rowOff>85725</xdr:rowOff>
    </xdr:from>
    <xdr:to>
      <xdr:col>17</xdr:col>
      <xdr:colOff>501277</xdr:colOff>
      <xdr:row>6</xdr:row>
      <xdr:rowOff>38100</xdr:rowOff>
    </xdr:to>
    <xdr:pic>
      <xdr:nvPicPr>
        <xdr:cNvPr id="7" name="Picture 10">
          <a:extLst>
            <a:ext uri="{FF2B5EF4-FFF2-40B4-BE49-F238E27FC236}">
              <a16:creationId xmlns:a16="http://schemas.microsoft.com/office/drawing/2014/main" id="{428F28E3-146E-44DA-A68A-3B66C094882F}"/>
            </a:ext>
          </a:extLst>
        </xdr:cNvPr>
        <xdr:cNvPicPr>
          <a:picLocks noChangeAspect="1" noChangeArrowheads="1"/>
        </xdr:cNvPicPr>
      </xdr:nvPicPr>
      <xdr:blipFill>
        <a:blip xmlns:r="http://schemas.openxmlformats.org/officeDocument/2006/relationships" r:embed="rId5" cstate="print">
          <a:clrChange>
            <a:clrFrom>
              <a:srgbClr val="FFFFFF"/>
            </a:clrFrom>
            <a:clrTo>
              <a:srgbClr val="FFFFFF">
                <a:alpha val="0"/>
              </a:srgbClr>
            </a:clrTo>
          </a:clrChange>
        </a:blip>
        <a:srcRect/>
        <a:stretch>
          <a:fillRect/>
        </a:stretch>
      </xdr:blipFill>
      <xdr:spPr bwMode="auto">
        <a:xfrm>
          <a:off x="9363075" y="847725"/>
          <a:ext cx="891802" cy="333375"/>
        </a:xfrm>
        <a:prstGeom prst="rect">
          <a:avLst/>
        </a:prstGeom>
        <a:noFill/>
      </xdr:spPr>
    </xdr:pic>
    <xdr:clientData/>
  </xdr:twoCellAnchor>
  <xdr:twoCellAnchor>
    <xdr:from>
      <xdr:col>16</xdr:col>
      <xdr:colOff>228600</xdr:colOff>
      <xdr:row>8</xdr:row>
      <xdr:rowOff>85725</xdr:rowOff>
    </xdr:from>
    <xdr:to>
      <xdr:col>18</xdr:col>
      <xdr:colOff>136606</xdr:colOff>
      <xdr:row>9</xdr:row>
      <xdr:rowOff>94796</xdr:rowOff>
    </xdr:to>
    <xdr:pic>
      <xdr:nvPicPr>
        <xdr:cNvPr id="8" name="Obraz 7">
          <a:extLst>
            <a:ext uri="{FF2B5EF4-FFF2-40B4-BE49-F238E27FC236}">
              <a16:creationId xmlns:a16="http://schemas.microsoft.com/office/drawing/2014/main" id="{A1BFC3C3-5190-4C6B-B9DF-3FA3935439E1}"/>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372600" y="1609725"/>
          <a:ext cx="1127206" cy="199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114300</xdr:colOff>
      <xdr:row>11</xdr:row>
      <xdr:rowOff>142875</xdr:rowOff>
    </xdr:from>
    <xdr:to>
      <xdr:col>15</xdr:col>
      <xdr:colOff>174252</xdr:colOff>
      <xdr:row>14</xdr:row>
      <xdr:rowOff>104775</xdr:rowOff>
    </xdr:to>
    <xdr:pic>
      <xdr:nvPicPr>
        <xdr:cNvPr id="9" name="Picture 15">
          <a:extLst>
            <a:ext uri="{FF2B5EF4-FFF2-40B4-BE49-F238E27FC236}">
              <a16:creationId xmlns:a16="http://schemas.microsoft.com/office/drawing/2014/main" id="{D4FC8BBE-8246-4ADE-B56A-4804DCC59514}"/>
            </a:ext>
          </a:extLst>
        </xdr:cNvPr>
        <xdr:cNvPicPr>
          <a:picLocks noChangeAspect="1" noChangeArrowheads="1"/>
        </xdr:cNvPicPr>
      </xdr:nvPicPr>
      <xdr:blipFill>
        <a:blip xmlns:r="http://schemas.openxmlformats.org/officeDocument/2006/relationships" r:embed="rId7" cstate="print">
          <a:clrChange>
            <a:clrFrom>
              <a:srgbClr val="FFFFFF"/>
            </a:clrFrom>
            <a:clrTo>
              <a:srgbClr val="FFFFFF">
                <a:alpha val="0"/>
              </a:srgbClr>
            </a:clrTo>
          </a:clrChange>
        </a:blip>
        <a:srcRect/>
        <a:stretch>
          <a:fillRect/>
        </a:stretch>
      </xdr:blipFill>
      <xdr:spPr bwMode="auto">
        <a:xfrm>
          <a:off x="7429500" y="2238375"/>
          <a:ext cx="1279152" cy="533400"/>
        </a:xfrm>
        <a:prstGeom prst="rect">
          <a:avLst/>
        </a:prstGeom>
        <a:noFill/>
      </xdr:spPr>
    </xdr:pic>
    <xdr:clientData/>
  </xdr:twoCellAnchor>
  <xdr:twoCellAnchor>
    <xdr:from>
      <xdr:col>16</xdr:col>
      <xdr:colOff>228600</xdr:colOff>
      <xdr:row>11</xdr:row>
      <xdr:rowOff>38100</xdr:rowOff>
    </xdr:from>
    <xdr:to>
      <xdr:col>18</xdr:col>
      <xdr:colOff>123906</xdr:colOff>
      <xdr:row>13</xdr:row>
      <xdr:rowOff>183242</xdr:rowOff>
    </xdr:to>
    <xdr:pic>
      <xdr:nvPicPr>
        <xdr:cNvPr id="10" name="Obraz 9">
          <a:extLst>
            <a:ext uri="{FF2B5EF4-FFF2-40B4-BE49-F238E27FC236}">
              <a16:creationId xmlns:a16="http://schemas.microsoft.com/office/drawing/2014/main" id="{2D28C4F5-D293-4431-9A37-6513BF9675B3}"/>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372600" y="2133600"/>
          <a:ext cx="1114506" cy="526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428625</xdr:colOff>
      <xdr:row>28</xdr:row>
      <xdr:rowOff>85725</xdr:rowOff>
    </xdr:from>
    <xdr:to>
      <xdr:col>8</xdr:col>
      <xdr:colOff>57150</xdr:colOff>
      <xdr:row>29</xdr:row>
      <xdr:rowOff>66675</xdr:rowOff>
    </xdr:to>
    <xdr:pic>
      <xdr:nvPicPr>
        <xdr:cNvPr id="12" name="Picture 12">
          <a:extLst>
            <a:ext uri="{FF2B5EF4-FFF2-40B4-BE49-F238E27FC236}">
              <a16:creationId xmlns:a16="http://schemas.microsoft.com/office/drawing/2014/main" id="{844CFECE-BADE-43BE-8F38-9B0667726107}"/>
            </a:ext>
          </a:extLst>
        </xdr:cNvPr>
        <xdr:cNvPicPr>
          <a:picLocks noChangeAspect="1" noChangeArrowheads="1"/>
        </xdr:cNvPicPr>
      </xdr:nvPicPr>
      <xdr:blipFill>
        <a:blip xmlns:r="http://schemas.openxmlformats.org/officeDocument/2006/relationships" r:embed="rId9" cstate="print">
          <a:clrChange>
            <a:clrFrom>
              <a:srgbClr val="FFFFFF"/>
            </a:clrFrom>
            <a:clrTo>
              <a:srgbClr val="FFFFFF">
                <a:alpha val="0"/>
              </a:srgbClr>
            </a:clrTo>
          </a:clrChange>
        </a:blip>
        <a:srcRect/>
        <a:stretch>
          <a:fillRect/>
        </a:stretch>
      </xdr:blipFill>
      <xdr:spPr bwMode="auto">
        <a:xfrm>
          <a:off x="7877175" y="6324600"/>
          <a:ext cx="238125" cy="171450"/>
        </a:xfrm>
        <a:prstGeom prst="rect">
          <a:avLst/>
        </a:prstGeom>
        <a:noFill/>
      </xdr:spPr>
    </xdr:pic>
    <xdr:clientData/>
  </xdr:twoCellAnchor>
  <xdr:twoCellAnchor>
    <xdr:from>
      <xdr:col>7</xdr:col>
      <xdr:colOff>360269</xdr:colOff>
      <xdr:row>29</xdr:row>
      <xdr:rowOff>19050</xdr:rowOff>
    </xdr:from>
    <xdr:to>
      <xdr:col>7</xdr:col>
      <xdr:colOff>560294</xdr:colOff>
      <xdr:row>30</xdr:row>
      <xdr:rowOff>0</xdr:rowOff>
    </xdr:to>
    <xdr:pic>
      <xdr:nvPicPr>
        <xdr:cNvPr id="13" name="Picture 13">
          <a:extLst>
            <a:ext uri="{FF2B5EF4-FFF2-40B4-BE49-F238E27FC236}">
              <a16:creationId xmlns:a16="http://schemas.microsoft.com/office/drawing/2014/main" id="{38353A1B-CC4C-4CE0-84CC-DB030E36AAB6}"/>
            </a:ext>
          </a:extLst>
        </xdr:cNvPr>
        <xdr:cNvPicPr>
          <a:picLocks noChangeAspect="1" noChangeArrowheads="1"/>
        </xdr:cNvPicPr>
      </xdr:nvPicPr>
      <xdr:blipFill>
        <a:blip xmlns:r="http://schemas.openxmlformats.org/officeDocument/2006/relationships" r:embed="rId10" cstate="print">
          <a:clrChange>
            <a:clrFrom>
              <a:srgbClr val="FFFFFF"/>
            </a:clrFrom>
            <a:clrTo>
              <a:srgbClr val="FFFFFF">
                <a:alpha val="0"/>
              </a:srgbClr>
            </a:clrTo>
          </a:clrChange>
        </a:blip>
        <a:srcRect/>
        <a:stretch>
          <a:fillRect/>
        </a:stretch>
      </xdr:blipFill>
      <xdr:spPr bwMode="auto">
        <a:xfrm>
          <a:off x="4596093" y="5543550"/>
          <a:ext cx="200025" cy="171450"/>
        </a:xfrm>
        <a:prstGeom prst="rect">
          <a:avLst/>
        </a:prstGeom>
        <a:noFill/>
      </xdr:spPr>
    </xdr:pic>
    <xdr:clientData/>
  </xdr:twoCellAnchor>
  <xdr:twoCellAnchor>
    <xdr:from>
      <xdr:col>7</xdr:col>
      <xdr:colOff>302559</xdr:colOff>
      <xdr:row>77</xdr:row>
      <xdr:rowOff>33617</xdr:rowOff>
    </xdr:from>
    <xdr:to>
      <xdr:col>7</xdr:col>
      <xdr:colOff>540684</xdr:colOff>
      <xdr:row>78</xdr:row>
      <xdr:rowOff>14567</xdr:rowOff>
    </xdr:to>
    <xdr:pic>
      <xdr:nvPicPr>
        <xdr:cNvPr id="5" name="Picture 12">
          <a:extLst>
            <a:ext uri="{FF2B5EF4-FFF2-40B4-BE49-F238E27FC236}">
              <a16:creationId xmlns:a16="http://schemas.microsoft.com/office/drawing/2014/main" id="{1B47F849-4AC0-4AF0-B1C2-41AD626700C9}"/>
            </a:ext>
          </a:extLst>
        </xdr:cNvPr>
        <xdr:cNvPicPr>
          <a:picLocks noChangeAspect="1" noChangeArrowheads="1"/>
        </xdr:cNvPicPr>
      </xdr:nvPicPr>
      <xdr:blipFill>
        <a:blip xmlns:r="http://schemas.openxmlformats.org/officeDocument/2006/relationships" r:embed="rId9" cstate="print">
          <a:clrChange>
            <a:clrFrom>
              <a:srgbClr val="FFFFFF"/>
            </a:clrFrom>
            <a:clrTo>
              <a:srgbClr val="FFFFFF">
                <a:alpha val="0"/>
              </a:srgbClr>
            </a:clrTo>
          </a:clrChange>
        </a:blip>
        <a:srcRect/>
        <a:stretch>
          <a:fillRect/>
        </a:stretch>
      </xdr:blipFill>
      <xdr:spPr bwMode="auto">
        <a:xfrm>
          <a:off x="4538383" y="8415617"/>
          <a:ext cx="238125" cy="171450"/>
        </a:xfrm>
        <a:prstGeom prst="rect">
          <a:avLst/>
        </a:prstGeom>
        <a:noFill/>
      </xdr:spPr>
    </xdr:pic>
    <xdr:clientData/>
  </xdr:twoCellAnchor>
  <xdr:twoCellAnchor>
    <xdr:from>
      <xdr:col>7</xdr:col>
      <xdr:colOff>324971</xdr:colOff>
      <xdr:row>78</xdr:row>
      <xdr:rowOff>11206</xdr:rowOff>
    </xdr:from>
    <xdr:to>
      <xdr:col>7</xdr:col>
      <xdr:colOff>524996</xdr:colOff>
      <xdr:row>78</xdr:row>
      <xdr:rowOff>182656</xdr:rowOff>
    </xdr:to>
    <xdr:pic>
      <xdr:nvPicPr>
        <xdr:cNvPr id="14" name="Picture 13">
          <a:extLst>
            <a:ext uri="{FF2B5EF4-FFF2-40B4-BE49-F238E27FC236}">
              <a16:creationId xmlns:a16="http://schemas.microsoft.com/office/drawing/2014/main" id="{6E48DB86-7802-476A-A49D-CCE62BA817C7}"/>
            </a:ext>
          </a:extLst>
        </xdr:cNvPr>
        <xdr:cNvPicPr>
          <a:picLocks noChangeAspect="1" noChangeArrowheads="1"/>
        </xdr:cNvPicPr>
      </xdr:nvPicPr>
      <xdr:blipFill>
        <a:blip xmlns:r="http://schemas.openxmlformats.org/officeDocument/2006/relationships" r:embed="rId10" cstate="print">
          <a:clrChange>
            <a:clrFrom>
              <a:srgbClr val="FFFFFF"/>
            </a:clrFrom>
            <a:clrTo>
              <a:srgbClr val="FFFFFF">
                <a:alpha val="0"/>
              </a:srgbClr>
            </a:clrTo>
          </a:clrChange>
        </a:blip>
        <a:srcRect/>
        <a:stretch>
          <a:fillRect/>
        </a:stretch>
      </xdr:blipFill>
      <xdr:spPr bwMode="auto">
        <a:xfrm>
          <a:off x="4560795" y="8583706"/>
          <a:ext cx="200025" cy="171450"/>
        </a:xfrm>
        <a:prstGeom prst="rect">
          <a:avLst/>
        </a:prstGeom>
        <a:noFill/>
      </xdr:spPr>
    </xdr:pic>
    <xdr:clientData/>
  </xdr:twoCellAnchor>
  <xdr:twoCellAnchor>
    <xdr:from>
      <xdr:col>7</xdr:col>
      <xdr:colOff>336176</xdr:colOff>
      <xdr:row>117</xdr:row>
      <xdr:rowOff>0</xdr:rowOff>
    </xdr:from>
    <xdr:to>
      <xdr:col>7</xdr:col>
      <xdr:colOff>574301</xdr:colOff>
      <xdr:row>117</xdr:row>
      <xdr:rowOff>171450</xdr:rowOff>
    </xdr:to>
    <xdr:pic>
      <xdr:nvPicPr>
        <xdr:cNvPr id="15" name="Picture 12">
          <a:extLst>
            <a:ext uri="{FF2B5EF4-FFF2-40B4-BE49-F238E27FC236}">
              <a16:creationId xmlns:a16="http://schemas.microsoft.com/office/drawing/2014/main" id="{9327D319-C8E8-46F9-8B06-6FF0360075B8}"/>
            </a:ext>
          </a:extLst>
        </xdr:cNvPr>
        <xdr:cNvPicPr>
          <a:picLocks noChangeAspect="1" noChangeArrowheads="1"/>
        </xdr:cNvPicPr>
      </xdr:nvPicPr>
      <xdr:blipFill>
        <a:blip xmlns:r="http://schemas.openxmlformats.org/officeDocument/2006/relationships" r:embed="rId9" cstate="print">
          <a:clrChange>
            <a:clrFrom>
              <a:srgbClr val="FFFFFF"/>
            </a:clrFrom>
            <a:clrTo>
              <a:srgbClr val="FFFFFF">
                <a:alpha val="0"/>
              </a:srgbClr>
            </a:clrTo>
          </a:clrChange>
        </a:blip>
        <a:srcRect/>
        <a:stretch>
          <a:fillRect/>
        </a:stretch>
      </xdr:blipFill>
      <xdr:spPr bwMode="auto">
        <a:xfrm>
          <a:off x="4572000" y="19240500"/>
          <a:ext cx="238125" cy="171450"/>
        </a:xfrm>
        <a:prstGeom prst="rect">
          <a:avLst/>
        </a:prstGeom>
        <a:noFill/>
      </xdr:spPr>
    </xdr:pic>
    <xdr:clientData/>
  </xdr:twoCellAnchor>
  <xdr:twoCellAnchor>
    <xdr:from>
      <xdr:col>7</xdr:col>
      <xdr:colOff>369794</xdr:colOff>
      <xdr:row>118</xdr:row>
      <xdr:rowOff>0</xdr:rowOff>
    </xdr:from>
    <xdr:to>
      <xdr:col>7</xdr:col>
      <xdr:colOff>569819</xdr:colOff>
      <xdr:row>118</xdr:row>
      <xdr:rowOff>171450</xdr:rowOff>
    </xdr:to>
    <xdr:pic>
      <xdr:nvPicPr>
        <xdr:cNvPr id="16" name="Picture 13">
          <a:extLst>
            <a:ext uri="{FF2B5EF4-FFF2-40B4-BE49-F238E27FC236}">
              <a16:creationId xmlns:a16="http://schemas.microsoft.com/office/drawing/2014/main" id="{6BCF1DD4-A044-4872-8874-9A7D3DC677E4}"/>
            </a:ext>
          </a:extLst>
        </xdr:cNvPr>
        <xdr:cNvPicPr>
          <a:picLocks noChangeAspect="1" noChangeArrowheads="1"/>
        </xdr:cNvPicPr>
      </xdr:nvPicPr>
      <xdr:blipFill>
        <a:blip xmlns:r="http://schemas.openxmlformats.org/officeDocument/2006/relationships" r:embed="rId10" cstate="print">
          <a:clrChange>
            <a:clrFrom>
              <a:srgbClr val="FFFFFF"/>
            </a:clrFrom>
            <a:clrTo>
              <a:srgbClr val="FFFFFF">
                <a:alpha val="0"/>
              </a:srgbClr>
            </a:clrTo>
          </a:clrChange>
        </a:blip>
        <a:srcRect/>
        <a:stretch>
          <a:fillRect/>
        </a:stretch>
      </xdr:blipFill>
      <xdr:spPr bwMode="auto">
        <a:xfrm>
          <a:off x="4605618" y="19431000"/>
          <a:ext cx="200025" cy="171450"/>
        </a:xfrm>
        <a:prstGeom prst="rect">
          <a:avLst/>
        </a:prstGeom>
        <a:noFill/>
      </xdr:spPr>
    </xdr:pic>
    <xdr:clientData/>
  </xdr:twoCellAnchor>
  <xdr:twoCellAnchor>
    <xdr:from>
      <xdr:col>7</xdr:col>
      <xdr:colOff>336176</xdr:colOff>
      <xdr:row>157</xdr:row>
      <xdr:rowOff>0</xdr:rowOff>
    </xdr:from>
    <xdr:to>
      <xdr:col>7</xdr:col>
      <xdr:colOff>574301</xdr:colOff>
      <xdr:row>157</xdr:row>
      <xdr:rowOff>171450</xdr:rowOff>
    </xdr:to>
    <xdr:pic>
      <xdr:nvPicPr>
        <xdr:cNvPr id="17" name="Picture 12">
          <a:extLst>
            <a:ext uri="{FF2B5EF4-FFF2-40B4-BE49-F238E27FC236}">
              <a16:creationId xmlns:a16="http://schemas.microsoft.com/office/drawing/2014/main" id="{95B8AE61-9E77-4346-BB49-B58A0C660FE2}"/>
            </a:ext>
          </a:extLst>
        </xdr:cNvPr>
        <xdr:cNvPicPr>
          <a:picLocks noChangeAspect="1" noChangeArrowheads="1"/>
        </xdr:cNvPicPr>
      </xdr:nvPicPr>
      <xdr:blipFill>
        <a:blip xmlns:r="http://schemas.openxmlformats.org/officeDocument/2006/relationships" r:embed="rId9" cstate="print">
          <a:clrChange>
            <a:clrFrom>
              <a:srgbClr val="FFFFFF"/>
            </a:clrFrom>
            <a:clrTo>
              <a:srgbClr val="FFFFFF">
                <a:alpha val="0"/>
              </a:srgbClr>
            </a:clrTo>
          </a:clrChange>
        </a:blip>
        <a:srcRect/>
        <a:stretch>
          <a:fillRect/>
        </a:stretch>
      </xdr:blipFill>
      <xdr:spPr bwMode="auto">
        <a:xfrm>
          <a:off x="4572000" y="19240500"/>
          <a:ext cx="238125" cy="171450"/>
        </a:xfrm>
        <a:prstGeom prst="rect">
          <a:avLst/>
        </a:prstGeom>
        <a:noFill/>
      </xdr:spPr>
    </xdr:pic>
    <xdr:clientData/>
  </xdr:twoCellAnchor>
  <xdr:twoCellAnchor>
    <xdr:from>
      <xdr:col>7</xdr:col>
      <xdr:colOff>369794</xdr:colOff>
      <xdr:row>158</xdr:row>
      <xdr:rowOff>0</xdr:rowOff>
    </xdr:from>
    <xdr:to>
      <xdr:col>7</xdr:col>
      <xdr:colOff>569819</xdr:colOff>
      <xdr:row>158</xdr:row>
      <xdr:rowOff>171450</xdr:rowOff>
    </xdr:to>
    <xdr:pic>
      <xdr:nvPicPr>
        <xdr:cNvPr id="18" name="Picture 13">
          <a:extLst>
            <a:ext uri="{FF2B5EF4-FFF2-40B4-BE49-F238E27FC236}">
              <a16:creationId xmlns:a16="http://schemas.microsoft.com/office/drawing/2014/main" id="{D7715021-60D6-4872-9F39-97E1F0CB67D5}"/>
            </a:ext>
          </a:extLst>
        </xdr:cNvPr>
        <xdr:cNvPicPr>
          <a:picLocks noChangeAspect="1" noChangeArrowheads="1"/>
        </xdr:cNvPicPr>
      </xdr:nvPicPr>
      <xdr:blipFill>
        <a:blip xmlns:r="http://schemas.openxmlformats.org/officeDocument/2006/relationships" r:embed="rId10" cstate="print">
          <a:clrChange>
            <a:clrFrom>
              <a:srgbClr val="FFFFFF"/>
            </a:clrFrom>
            <a:clrTo>
              <a:srgbClr val="FFFFFF">
                <a:alpha val="0"/>
              </a:srgbClr>
            </a:clrTo>
          </a:clrChange>
        </a:blip>
        <a:srcRect/>
        <a:stretch>
          <a:fillRect/>
        </a:stretch>
      </xdr:blipFill>
      <xdr:spPr bwMode="auto">
        <a:xfrm>
          <a:off x="4605618" y="19431000"/>
          <a:ext cx="200025" cy="171450"/>
        </a:xfrm>
        <a:prstGeom prst="rect">
          <a:avLst/>
        </a:prstGeom>
        <a:noFill/>
      </xdr:spPr>
    </xdr:pic>
    <xdr:clientData/>
  </xdr:twoCellAnchor>
  <xdr:twoCellAnchor editAs="oneCell">
    <xdr:from>
      <xdr:col>18</xdr:col>
      <xdr:colOff>609600</xdr:colOff>
      <xdr:row>11</xdr:row>
      <xdr:rowOff>134471</xdr:rowOff>
    </xdr:from>
    <xdr:to>
      <xdr:col>33</xdr:col>
      <xdr:colOff>514252</xdr:colOff>
      <xdr:row>20</xdr:row>
      <xdr:rowOff>54566</xdr:rowOff>
    </xdr:to>
    <xdr:pic>
      <xdr:nvPicPr>
        <xdr:cNvPr id="11" name="Obraz 10">
          <a:extLst>
            <a:ext uri="{FF2B5EF4-FFF2-40B4-BE49-F238E27FC236}">
              <a16:creationId xmlns:a16="http://schemas.microsoft.com/office/drawing/2014/main" id="{34F3900A-6926-800F-4A7F-643C85814198}"/>
            </a:ext>
          </a:extLst>
        </xdr:cNvPr>
        <xdr:cNvPicPr>
          <a:picLocks noChangeAspect="1"/>
        </xdr:cNvPicPr>
      </xdr:nvPicPr>
      <xdr:blipFill>
        <a:blip xmlns:r="http://schemas.openxmlformats.org/officeDocument/2006/relationships" r:embed="rId11"/>
        <a:stretch>
          <a:fillRect/>
        </a:stretch>
      </xdr:blipFill>
      <xdr:spPr>
        <a:xfrm>
          <a:off x="13187082" y="2106706"/>
          <a:ext cx="11345858" cy="1552792"/>
        </a:xfrm>
        <a:prstGeom prst="rect">
          <a:avLst/>
        </a:prstGeom>
      </xdr:spPr>
    </xdr:pic>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oleObject" Target="../embeddings/oleObject6.bin"/><Relationship Id="rId18" Type="http://schemas.openxmlformats.org/officeDocument/2006/relationships/image" Target="../media/image13.emf"/><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image" Target="../media/image10.emf"/><Relationship Id="rId17" Type="http://schemas.openxmlformats.org/officeDocument/2006/relationships/oleObject" Target="../embeddings/oleObject8.bin"/><Relationship Id="rId2" Type="http://schemas.openxmlformats.org/officeDocument/2006/relationships/vmlDrawing" Target="../drawings/vmlDrawing1.vml"/><Relationship Id="rId16" Type="http://schemas.openxmlformats.org/officeDocument/2006/relationships/image" Target="../media/image12.emf"/><Relationship Id="rId1" Type="http://schemas.openxmlformats.org/officeDocument/2006/relationships/drawing" Target="../drawings/drawing5.xml"/><Relationship Id="rId6" Type="http://schemas.openxmlformats.org/officeDocument/2006/relationships/image" Target="../media/image7.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7.bin"/><Relationship Id="rId10" Type="http://schemas.openxmlformats.org/officeDocument/2006/relationships/image" Target="../media/image9.emf"/><Relationship Id="rId4" Type="http://schemas.openxmlformats.org/officeDocument/2006/relationships/image" Target="../media/image6.emf"/><Relationship Id="rId9" Type="http://schemas.openxmlformats.org/officeDocument/2006/relationships/oleObject" Target="../embeddings/oleObject4.bin"/><Relationship Id="rId14" Type="http://schemas.openxmlformats.org/officeDocument/2006/relationships/image" Target="../media/image11.emf"/></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A5C2-49D3-4851-A3D1-1B46AD67E157}">
  <sheetPr filterMode="1"/>
  <dimension ref="A1:F270"/>
  <sheetViews>
    <sheetView workbookViewId="0"/>
  </sheetViews>
  <sheetFormatPr defaultRowHeight="15" x14ac:dyDescent="0.25"/>
  <cols>
    <col min="2" max="2" width="44.140625" bestFit="1" customWidth="1"/>
    <col min="3" max="3" width="25.7109375" bestFit="1" customWidth="1"/>
    <col min="4" max="4" width="25.7109375" customWidth="1"/>
    <col min="5" max="5" width="31.85546875" bestFit="1" customWidth="1"/>
    <col min="6" max="6" width="11.42578125" bestFit="1" customWidth="1"/>
  </cols>
  <sheetData>
    <row r="1" spans="1:6" x14ac:dyDescent="0.25">
      <c r="B1" t="s">
        <v>586</v>
      </c>
      <c r="C1" t="s">
        <v>367</v>
      </c>
    </row>
    <row r="2" spans="1:6" x14ac:dyDescent="0.25">
      <c r="B2" t="s">
        <v>57</v>
      </c>
      <c r="C2" s="2">
        <v>45554</v>
      </c>
      <c r="D2" s="2"/>
    </row>
    <row r="4" spans="1:6" x14ac:dyDescent="0.25">
      <c r="B4" t="s">
        <v>653</v>
      </c>
      <c r="C4" t="s">
        <v>438</v>
      </c>
      <c r="E4" t="s">
        <v>200</v>
      </c>
      <c r="F4" t="s">
        <v>652</v>
      </c>
    </row>
    <row r="5" spans="1:6" hidden="1" x14ac:dyDescent="0.25">
      <c r="A5" s="3" t="s">
        <v>587</v>
      </c>
      <c r="B5" t="s">
        <v>480</v>
      </c>
      <c r="C5" t="s">
        <v>12</v>
      </c>
      <c r="D5" t="e">
        <f t="shared" ref="D5:D42" si="0">VLOOKUP(B5,$A$5:$A$50,1,0)</f>
        <v>#N/A</v>
      </c>
      <c r="E5" t="s">
        <v>110</v>
      </c>
    </row>
    <row r="6" spans="1:6" hidden="1" x14ac:dyDescent="0.25">
      <c r="A6" s="3" t="s">
        <v>556</v>
      </c>
      <c r="B6" t="s">
        <v>493</v>
      </c>
      <c r="C6" t="s">
        <v>463</v>
      </c>
      <c r="D6" t="e">
        <f t="shared" si="0"/>
        <v>#N/A</v>
      </c>
      <c r="E6" t="s">
        <v>110</v>
      </c>
      <c r="F6">
        <v>0.79541990840024634</v>
      </c>
    </row>
    <row r="7" spans="1:6" hidden="1" x14ac:dyDescent="0.25">
      <c r="A7" s="3" t="s">
        <v>311</v>
      </c>
      <c r="B7" t="s">
        <v>295</v>
      </c>
      <c r="C7" t="s">
        <v>576</v>
      </c>
      <c r="D7" t="e">
        <f t="shared" si="0"/>
        <v>#N/A</v>
      </c>
      <c r="E7" t="s">
        <v>110</v>
      </c>
      <c r="F7">
        <v>0.22347887200706759</v>
      </c>
    </row>
    <row r="8" spans="1:6" hidden="1" x14ac:dyDescent="0.25">
      <c r="A8" s="3" t="s">
        <v>274</v>
      </c>
      <c r="B8" t="s">
        <v>642</v>
      </c>
      <c r="C8" t="s">
        <v>157</v>
      </c>
      <c r="D8" t="e">
        <f t="shared" si="0"/>
        <v>#N/A</v>
      </c>
      <c r="E8" t="s">
        <v>110</v>
      </c>
      <c r="F8">
        <v>0.46315027329832359</v>
      </c>
    </row>
    <row r="9" spans="1:6" hidden="1" x14ac:dyDescent="0.25">
      <c r="A9" s="3" t="s">
        <v>436</v>
      </c>
      <c r="B9" t="s">
        <v>287</v>
      </c>
      <c r="C9" t="s">
        <v>17</v>
      </c>
      <c r="D9" t="e">
        <f t="shared" si="0"/>
        <v>#N/A</v>
      </c>
      <c r="E9" t="s">
        <v>110</v>
      </c>
      <c r="F9">
        <v>0.59274296777903734</v>
      </c>
    </row>
    <row r="10" spans="1:6" hidden="1" x14ac:dyDescent="0.25">
      <c r="A10" s="3" t="s">
        <v>468</v>
      </c>
      <c r="B10" t="s">
        <v>180</v>
      </c>
      <c r="C10" t="s">
        <v>414</v>
      </c>
      <c r="D10" t="e">
        <f t="shared" si="0"/>
        <v>#N/A</v>
      </c>
      <c r="E10" t="s">
        <v>110</v>
      </c>
      <c r="F10">
        <v>1.5445501152457373</v>
      </c>
    </row>
    <row r="11" spans="1:6" hidden="1" x14ac:dyDescent="0.25">
      <c r="A11" s="3" t="s">
        <v>631</v>
      </c>
      <c r="B11" t="s">
        <v>309</v>
      </c>
      <c r="C11" t="s">
        <v>668</v>
      </c>
      <c r="D11" t="e">
        <f t="shared" si="0"/>
        <v>#N/A</v>
      </c>
      <c r="E11" t="s">
        <v>110</v>
      </c>
      <c r="F11">
        <v>5.7771479922779925</v>
      </c>
    </row>
    <row r="12" spans="1:6" hidden="1" x14ac:dyDescent="0.25">
      <c r="A12" s="3" t="s">
        <v>72</v>
      </c>
      <c r="B12" t="s">
        <v>103</v>
      </c>
      <c r="C12" t="s">
        <v>565</v>
      </c>
      <c r="D12" t="e">
        <f t="shared" si="0"/>
        <v>#N/A</v>
      </c>
      <c r="E12" t="s">
        <v>110</v>
      </c>
      <c r="F12">
        <v>3.9290777444704865</v>
      </c>
    </row>
    <row r="13" spans="1:6" hidden="1" x14ac:dyDescent="0.25">
      <c r="A13" s="3" t="s">
        <v>337</v>
      </c>
      <c r="B13" t="s">
        <v>39</v>
      </c>
      <c r="C13" t="s">
        <v>187</v>
      </c>
      <c r="D13" t="e">
        <f t="shared" si="0"/>
        <v>#N/A</v>
      </c>
      <c r="E13" t="s">
        <v>110</v>
      </c>
      <c r="F13">
        <v>20.252271680142616</v>
      </c>
    </row>
    <row r="14" spans="1:6" hidden="1" x14ac:dyDescent="0.25">
      <c r="A14" s="3" t="s">
        <v>473</v>
      </c>
      <c r="B14" t="s">
        <v>280</v>
      </c>
      <c r="C14" t="s">
        <v>452</v>
      </c>
      <c r="D14" t="e">
        <f t="shared" si="0"/>
        <v>#N/A</v>
      </c>
      <c r="E14" t="s">
        <v>110</v>
      </c>
      <c r="F14">
        <v>3.4056175404138016</v>
      </c>
    </row>
    <row r="15" spans="1:6" hidden="1" x14ac:dyDescent="0.25">
      <c r="A15" s="3" t="s">
        <v>155</v>
      </c>
      <c r="B15" t="s">
        <v>79</v>
      </c>
      <c r="C15" t="s">
        <v>254</v>
      </c>
      <c r="D15" t="e">
        <f t="shared" si="0"/>
        <v>#N/A</v>
      </c>
      <c r="E15" t="s">
        <v>110</v>
      </c>
      <c r="F15">
        <v>2.4046837619510639</v>
      </c>
    </row>
    <row r="16" spans="1:6" hidden="1" x14ac:dyDescent="0.25">
      <c r="A16" s="3" t="s">
        <v>401</v>
      </c>
      <c r="B16" t="s">
        <v>100</v>
      </c>
      <c r="C16" t="s">
        <v>317</v>
      </c>
      <c r="D16" t="e">
        <f t="shared" si="0"/>
        <v>#N/A</v>
      </c>
      <c r="E16" t="s">
        <v>110</v>
      </c>
    </row>
    <row r="17" spans="1:6" hidden="1" x14ac:dyDescent="0.25">
      <c r="A17" s="3" t="s">
        <v>240</v>
      </c>
      <c r="B17" t="s">
        <v>372</v>
      </c>
      <c r="C17" t="s">
        <v>451</v>
      </c>
      <c r="D17" t="e">
        <f t="shared" si="0"/>
        <v>#N/A</v>
      </c>
      <c r="E17" t="s">
        <v>110</v>
      </c>
      <c r="F17">
        <v>5.1217301217301223</v>
      </c>
    </row>
    <row r="18" spans="1:6" hidden="1" x14ac:dyDescent="0.25">
      <c r="A18" s="3" t="s">
        <v>379</v>
      </c>
      <c r="B18" t="s">
        <v>394</v>
      </c>
      <c r="C18" t="s">
        <v>271</v>
      </c>
      <c r="D18" t="e">
        <f t="shared" si="0"/>
        <v>#N/A</v>
      </c>
      <c r="E18" t="s">
        <v>110</v>
      </c>
      <c r="F18">
        <v>14.776136906625878</v>
      </c>
    </row>
    <row r="19" spans="1:6" x14ac:dyDescent="0.25">
      <c r="A19" s="3" t="s">
        <v>263</v>
      </c>
      <c r="B19" t="s">
        <v>54</v>
      </c>
      <c r="C19" t="s">
        <v>318</v>
      </c>
      <c r="D19" t="str">
        <f t="shared" si="0"/>
        <v>Austria</v>
      </c>
      <c r="E19" t="s">
        <v>110</v>
      </c>
      <c r="F19">
        <v>6.6326457373354577</v>
      </c>
    </row>
    <row r="20" spans="1:6" hidden="1" x14ac:dyDescent="0.25">
      <c r="A20" s="3" t="s">
        <v>46</v>
      </c>
      <c r="B20" t="s">
        <v>487</v>
      </c>
      <c r="C20" t="s">
        <v>479</v>
      </c>
      <c r="D20" t="e">
        <f t="shared" si="0"/>
        <v>#N/A</v>
      </c>
      <c r="E20" t="s">
        <v>110</v>
      </c>
      <c r="F20">
        <v>3.3988495728922699</v>
      </c>
    </row>
    <row r="21" spans="1:6" hidden="1" x14ac:dyDescent="0.25">
      <c r="A21" s="3" t="s">
        <v>361</v>
      </c>
      <c r="B21" t="s">
        <v>428</v>
      </c>
      <c r="C21" t="s">
        <v>499</v>
      </c>
      <c r="D21" t="e">
        <f t="shared" si="0"/>
        <v>#N/A</v>
      </c>
      <c r="E21" t="s">
        <v>110</v>
      </c>
      <c r="F21">
        <v>5.8384021835273602E-2</v>
      </c>
    </row>
    <row r="22" spans="1:6" x14ac:dyDescent="0.25">
      <c r="A22" s="3" t="s">
        <v>14</v>
      </c>
      <c r="B22" t="s">
        <v>587</v>
      </c>
      <c r="C22" t="s">
        <v>41</v>
      </c>
      <c r="D22" t="str">
        <f t="shared" si="0"/>
        <v>Belgium</v>
      </c>
      <c r="E22" t="s">
        <v>110</v>
      </c>
      <c r="F22">
        <v>7.3981306577468127</v>
      </c>
    </row>
    <row r="23" spans="1:6" hidden="1" x14ac:dyDescent="0.25">
      <c r="A23" s="3" t="s">
        <v>54</v>
      </c>
      <c r="B23" t="s">
        <v>577</v>
      </c>
      <c r="C23" t="s">
        <v>301</v>
      </c>
      <c r="D23" t="e">
        <f t="shared" si="0"/>
        <v>#N/A</v>
      </c>
      <c r="E23" t="s">
        <v>110</v>
      </c>
      <c r="F23">
        <v>0.6312048059644757</v>
      </c>
    </row>
    <row r="24" spans="1:6" hidden="1" x14ac:dyDescent="0.25">
      <c r="A24" s="3" t="s">
        <v>65</v>
      </c>
      <c r="B24" t="s">
        <v>108</v>
      </c>
      <c r="C24" t="s">
        <v>415</v>
      </c>
      <c r="D24" t="e">
        <f t="shared" si="0"/>
        <v>#N/A</v>
      </c>
      <c r="E24" t="s">
        <v>110</v>
      </c>
      <c r="F24">
        <v>0.25353318874750691</v>
      </c>
    </row>
    <row r="25" spans="1:6" hidden="1" x14ac:dyDescent="0.25">
      <c r="A25" s="3" t="s">
        <v>388</v>
      </c>
      <c r="B25" t="s">
        <v>33</v>
      </c>
      <c r="C25" t="s">
        <v>137</v>
      </c>
      <c r="D25" t="e">
        <f t="shared" si="0"/>
        <v>#N/A</v>
      </c>
      <c r="E25" t="s">
        <v>110</v>
      </c>
      <c r="F25">
        <v>0.51064755927709427</v>
      </c>
    </row>
    <row r="26" spans="1:6" x14ac:dyDescent="0.25">
      <c r="A26" s="3" t="s">
        <v>503</v>
      </c>
      <c r="B26" t="s">
        <v>556</v>
      </c>
      <c r="C26" t="s">
        <v>138</v>
      </c>
      <c r="D26" t="str">
        <f t="shared" si="0"/>
        <v>Bulgaria</v>
      </c>
      <c r="E26" t="s">
        <v>110</v>
      </c>
      <c r="F26">
        <v>4.9232803794050053</v>
      </c>
    </row>
    <row r="27" spans="1:6" hidden="1" x14ac:dyDescent="0.25">
      <c r="A27" s="3" t="s">
        <v>334</v>
      </c>
      <c r="B27" t="s">
        <v>328</v>
      </c>
      <c r="C27" t="s">
        <v>61</v>
      </c>
      <c r="D27" t="e">
        <f t="shared" si="0"/>
        <v>#N/A</v>
      </c>
      <c r="E27" t="s">
        <v>110</v>
      </c>
      <c r="F27">
        <v>21.97690780652589</v>
      </c>
    </row>
    <row r="28" spans="1:6" hidden="1" x14ac:dyDescent="0.25">
      <c r="A28" s="3" t="s">
        <v>673</v>
      </c>
      <c r="B28" t="s">
        <v>151</v>
      </c>
      <c r="C28" t="s">
        <v>264</v>
      </c>
      <c r="D28" t="e">
        <f t="shared" si="0"/>
        <v>#N/A</v>
      </c>
      <c r="E28" t="s">
        <v>110</v>
      </c>
      <c r="F28">
        <v>6.0422514767351174</v>
      </c>
    </row>
    <row r="29" spans="1:6" hidden="1" x14ac:dyDescent="0.25">
      <c r="A29" s="3" t="s">
        <v>47</v>
      </c>
      <c r="B29" t="s">
        <v>353</v>
      </c>
      <c r="C29" t="s">
        <v>505</v>
      </c>
      <c r="D29" t="e">
        <f t="shared" si="0"/>
        <v>#N/A</v>
      </c>
      <c r="E29" t="s">
        <v>110</v>
      </c>
      <c r="F29">
        <v>6.3123058744753129</v>
      </c>
    </row>
    <row r="30" spans="1:6" hidden="1" x14ac:dyDescent="0.25">
      <c r="A30" s="3" t="s">
        <v>63</v>
      </c>
      <c r="B30" t="s">
        <v>538</v>
      </c>
      <c r="C30" t="s">
        <v>195</v>
      </c>
      <c r="D30" t="e">
        <f t="shared" si="0"/>
        <v>#N/A</v>
      </c>
      <c r="E30" t="s">
        <v>110</v>
      </c>
      <c r="F30">
        <v>5.842407295900875</v>
      </c>
    </row>
    <row r="31" spans="1:6" hidden="1" x14ac:dyDescent="0.25">
      <c r="A31" s="3" t="s">
        <v>25</v>
      </c>
      <c r="B31" t="s">
        <v>284</v>
      </c>
      <c r="C31" t="s">
        <v>261</v>
      </c>
      <c r="D31" t="e">
        <f t="shared" si="0"/>
        <v>#N/A</v>
      </c>
      <c r="E31" t="s">
        <v>110</v>
      </c>
      <c r="F31">
        <v>1.7411077152139289</v>
      </c>
    </row>
    <row r="32" spans="1:6" hidden="1" x14ac:dyDescent="0.25">
      <c r="A32" s="3" t="s">
        <v>562</v>
      </c>
      <c r="B32" t="s">
        <v>336</v>
      </c>
      <c r="C32" t="s">
        <v>584</v>
      </c>
      <c r="D32" t="e">
        <f t="shared" si="0"/>
        <v>#N/A</v>
      </c>
      <c r="E32" t="s">
        <v>110</v>
      </c>
    </row>
    <row r="33" spans="1:6" hidden="1" x14ac:dyDescent="0.25">
      <c r="A33" s="3" t="s">
        <v>619</v>
      </c>
      <c r="B33" t="s">
        <v>49</v>
      </c>
      <c r="C33" t="s">
        <v>470</v>
      </c>
      <c r="D33" t="e">
        <f t="shared" si="0"/>
        <v>#N/A</v>
      </c>
      <c r="E33" t="s">
        <v>110</v>
      </c>
      <c r="F33">
        <v>1.5394646956031595</v>
      </c>
    </row>
    <row r="34" spans="1:6" hidden="1" x14ac:dyDescent="0.25">
      <c r="A34" s="3" t="s">
        <v>169</v>
      </c>
      <c r="B34" t="s">
        <v>541</v>
      </c>
      <c r="C34" t="s">
        <v>299</v>
      </c>
      <c r="D34" t="e">
        <f t="shared" si="0"/>
        <v>#N/A</v>
      </c>
      <c r="E34" t="s">
        <v>110</v>
      </c>
      <c r="F34">
        <v>1.942523356314845</v>
      </c>
    </row>
    <row r="35" spans="1:6" hidden="1" x14ac:dyDescent="0.25">
      <c r="A35" s="3"/>
      <c r="B35" t="s">
        <v>512</v>
      </c>
      <c r="C35" t="s">
        <v>350</v>
      </c>
      <c r="D35" t="e">
        <f t="shared" si="0"/>
        <v>#N/A</v>
      </c>
      <c r="E35" t="s">
        <v>110</v>
      </c>
      <c r="F35">
        <v>3.9048711581692452</v>
      </c>
    </row>
    <row r="36" spans="1:6" hidden="1" x14ac:dyDescent="0.25">
      <c r="A36" s="3"/>
      <c r="B36" t="s">
        <v>390</v>
      </c>
      <c r="C36" t="s">
        <v>117</v>
      </c>
      <c r="D36" t="e">
        <f t="shared" si="0"/>
        <v>#N/A</v>
      </c>
      <c r="E36" t="s">
        <v>110</v>
      </c>
      <c r="F36">
        <v>21.705812439866431</v>
      </c>
    </row>
    <row r="37" spans="1:6" hidden="1" x14ac:dyDescent="0.25">
      <c r="A37" s="3"/>
      <c r="B37" t="s">
        <v>522</v>
      </c>
      <c r="C37" t="s">
        <v>111</v>
      </c>
      <c r="D37" t="e">
        <f t="shared" si="0"/>
        <v>#N/A</v>
      </c>
      <c r="E37" t="s">
        <v>110</v>
      </c>
      <c r="F37">
        <v>1.3400543167302261</v>
      </c>
    </row>
    <row r="38" spans="1:6" hidden="1" x14ac:dyDescent="0.25">
      <c r="A38" s="3"/>
      <c r="B38" t="s">
        <v>44</v>
      </c>
      <c r="C38" t="s">
        <v>357</v>
      </c>
      <c r="D38" t="e">
        <f t="shared" si="0"/>
        <v>#N/A</v>
      </c>
      <c r="E38" t="s">
        <v>110</v>
      </c>
      <c r="F38">
        <v>2.2634631138366998</v>
      </c>
    </row>
    <row r="39" spans="1:6" hidden="1" x14ac:dyDescent="0.25">
      <c r="A39" s="3"/>
      <c r="B39" t="s">
        <v>166</v>
      </c>
      <c r="C39" t="s">
        <v>443</v>
      </c>
      <c r="D39" t="e">
        <f t="shared" si="0"/>
        <v>#N/A</v>
      </c>
      <c r="E39" t="s">
        <v>110</v>
      </c>
      <c r="F39">
        <v>4.4282072685484987E-2</v>
      </c>
    </row>
    <row r="40" spans="1:6" hidden="1" x14ac:dyDescent="0.25">
      <c r="A40" s="3"/>
      <c r="B40" t="s">
        <v>177</v>
      </c>
      <c r="C40" t="s">
        <v>513</v>
      </c>
      <c r="D40" t="e">
        <f t="shared" si="0"/>
        <v>#N/A</v>
      </c>
      <c r="E40" t="s">
        <v>110</v>
      </c>
      <c r="F40">
        <v>13.591696342109334</v>
      </c>
    </row>
    <row r="41" spans="1:6" hidden="1" x14ac:dyDescent="0.25">
      <c r="A41" s="3"/>
      <c r="B41" t="s">
        <v>398</v>
      </c>
      <c r="C41" t="s">
        <v>207</v>
      </c>
      <c r="D41" t="e">
        <f t="shared" si="0"/>
        <v>#N/A</v>
      </c>
      <c r="E41" t="s">
        <v>110</v>
      </c>
      <c r="F41">
        <v>5.8572058495446733</v>
      </c>
    </row>
    <row r="42" spans="1:6" x14ac:dyDescent="0.25">
      <c r="A42" s="3"/>
      <c r="B42" t="s">
        <v>169</v>
      </c>
      <c r="C42" t="s">
        <v>592</v>
      </c>
      <c r="D42" t="str">
        <f t="shared" si="0"/>
        <v>Switzerland</v>
      </c>
      <c r="E42" t="s">
        <v>110</v>
      </c>
      <c r="F42">
        <v>4.042072814753408</v>
      </c>
    </row>
    <row r="43" spans="1:6" hidden="1" x14ac:dyDescent="0.25">
      <c r="A43" s="3"/>
      <c r="B43" t="s">
        <v>351</v>
      </c>
      <c r="C43" t="s">
        <v>281</v>
      </c>
      <c r="D43" t="e">
        <f t="shared" ref="D43:D69" si="1">VLOOKUP(B43,$A$5:$A$50,1,0)</f>
        <v>#N/A</v>
      </c>
      <c r="E43" t="s">
        <v>110</v>
      </c>
    </row>
    <row r="44" spans="1:6" hidden="1" x14ac:dyDescent="0.25">
      <c r="A44" s="3"/>
      <c r="B44" t="s">
        <v>149</v>
      </c>
      <c r="C44" t="s">
        <v>598</v>
      </c>
      <c r="D44" t="e">
        <f t="shared" si="1"/>
        <v>#N/A</v>
      </c>
      <c r="E44" t="s">
        <v>110</v>
      </c>
      <c r="F44">
        <v>4.3951510635966304</v>
      </c>
    </row>
    <row r="45" spans="1:6" hidden="1" x14ac:dyDescent="0.25">
      <c r="A45" s="3"/>
      <c r="B45" t="s">
        <v>458</v>
      </c>
      <c r="C45" t="s">
        <v>167</v>
      </c>
      <c r="D45" t="e">
        <f t="shared" si="1"/>
        <v>#N/A</v>
      </c>
      <c r="E45" t="s">
        <v>110</v>
      </c>
      <c r="F45">
        <v>7.7561379065976892</v>
      </c>
    </row>
    <row r="46" spans="1:6" hidden="1" x14ac:dyDescent="0.25">
      <c r="A46" s="3"/>
      <c r="B46" t="s">
        <v>628</v>
      </c>
      <c r="C46" t="s">
        <v>296</v>
      </c>
      <c r="D46" t="e">
        <f t="shared" si="1"/>
        <v>#N/A</v>
      </c>
      <c r="E46" t="s">
        <v>110</v>
      </c>
      <c r="F46">
        <v>0.40634735689038293</v>
      </c>
    </row>
    <row r="47" spans="1:6" hidden="1" x14ac:dyDescent="0.25">
      <c r="A47" s="3"/>
      <c r="B47" t="s">
        <v>672</v>
      </c>
      <c r="C47" t="s">
        <v>69</v>
      </c>
      <c r="D47" t="e">
        <f t="shared" si="1"/>
        <v>#N/A</v>
      </c>
      <c r="E47" t="s">
        <v>110</v>
      </c>
      <c r="F47">
        <v>0.37478265803135974</v>
      </c>
    </row>
    <row r="48" spans="1:6" hidden="1" x14ac:dyDescent="0.25">
      <c r="A48" s="3"/>
      <c r="B48" t="s">
        <v>450</v>
      </c>
      <c r="C48" t="s">
        <v>199</v>
      </c>
      <c r="D48" t="e">
        <f t="shared" si="1"/>
        <v>#N/A</v>
      </c>
      <c r="E48" t="s">
        <v>110</v>
      </c>
      <c r="F48">
        <v>3.2584780848178743E-2</v>
      </c>
    </row>
    <row r="49" spans="1:6" hidden="1" x14ac:dyDescent="0.25">
      <c r="A49" s="3"/>
      <c r="B49" t="s">
        <v>349</v>
      </c>
      <c r="C49" t="s">
        <v>365</v>
      </c>
      <c r="D49" t="e">
        <f t="shared" si="1"/>
        <v>#N/A</v>
      </c>
      <c r="E49" t="s">
        <v>110</v>
      </c>
      <c r="F49">
        <v>1.2545916697736688</v>
      </c>
    </row>
    <row r="50" spans="1:6" hidden="1" x14ac:dyDescent="0.25">
      <c r="A50" s="3"/>
      <c r="B50" t="s">
        <v>507</v>
      </c>
      <c r="C50" t="s">
        <v>267</v>
      </c>
      <c r="D50" t="e">
        <f t="shared" si="1"/>
        <v>#N/A</v>
      </c>
      <c r="E50" t="s">
        <v>110</v>
      </c>
      <c r="F50">
        <v>1.5522594228207756</v>
      </c>
    </row>
    <row r="51" spans="1:6" hidden="1" x14ac:dyDescent="0.25">
      <c r="B51" t="s">
        <v>319</v>
      </c>
      <c r="C51" t="s">
        <v>315</v>
      </c>
      <c r="D51" t="e">
        <f t="shared" si="1"/>
        <v>#N/A</v>
      </c>
      <c r="E51" t="s">
        <v>110</v>
      </c>
      <c r="F51">
        <v>0.40711218285067841</v>
      </c>
    </row>
    <row r="52" spans="1:6" hidden="1" x14ac:dyDescent="0.25">
      <c r="B52" t="s">
        <v>448</v>
      </c>
      <c r="C52" t="s">
        <v>518</v>
      </c>
      <c r="D52" t="e">
        <f t="shared" si="1"/>
        <v>#N/A</v>
      </c>
      <c r="E52" t="s">
        <v>110</v>
      </c>
      <c r="F52">
        <v>1.0651517231909928</v>
      </c>
    </row>
    <row r="53" spans="1:6" hidden="1" x14ac:dyDescent="0.25">
      <c r="B53" t="s">
        <v>304</v>
      </c>
      <c r="C53" t="s">
        <v>11</v>
      </c>
      <c r="D53" t="e">
        <f t="shared" si="1"/>
        <v>#N/A</v>
      </c>
      <c r="E53" t="s">
        <v>110</v>
      </c>
      <c r="F53">
        <v>1.35999554957394</v>
      </c>
    </row>
    <row r="54" spans="1:6" hidden="1" x14ac:dyDescent="0.25">
      <c r="B54" t="s">
        <v>305</v>
      </c>
      <c r="C54" t="s">
        <v>262</v>
      </c>
      <c r="D54" t="e">
        <f t="shared" si="1"/>
        <v>#N/A</v>
      </c>
      <c r="E54" t="s">
        <v>110</v>
      </c>
      <c r="F54">
        <v>10.552169300927023</v>
      </c>
    </row>
    <row r="55" spans="1:6" hidden="1" x14ac:dyDescent="0.25">
      <c r="B55" t="s">
        <v>89</v>
      </c>
      <c r="C55" t="s">
        <v>224</v>
      </c>
      <c r="D55" t="e">
        <f t="shared" si="1"/>
        <v>#N/A</v>
      </c>
      <c r="E55" t="s">
        <v>110</v>
      </c>
      <c r="F55">
        <v>2.1527696784747281</v>
      </c>
    </row>
    <row r="56" spans="1:6" hidden="1" x14ac:dyDescent="0.25">
      <c r="B56" t="s">
        <v>331</v>
      </c>
      <c r="C56" t="s">
        <v>90</v>
      </c>
      <c r="D56" t="e">
        <f t="shared" si="1"/>
        <v>#N/A</v>
      </c>
      <c r="E56" t="s">
        <v>110</v>
      </c>
    </row>
    <row r="57" spans="1:6" hidden="1" x14ac:dyDescent="0.25">
      <c r="B57" t="s">
        <v>433</v>
      </c>
      <c r="C57" t="s">
        <v>595</v>
      </c>
      <c r="D57" t="e">
        <f t="shared" si="1"/>
        <v>#N/A</v>
      </c>
      <c r="E57" t="s">
        <v>110</v>
      </c>
    </row>
    <row r="58" spans="1:6" x14ac:dyDescent="0.25">
      <c r="B58" t="s">
        <v>401</v>
      </c>
      <c r="C58" t="s">
        <v>225</v>
      </c>
      <c r="D58" t="str">
        <f>VLOOKUP(B58,$A$5:$A$50,1,0)</f>
        <v>Cyprus</v>
      </c>
      <c r="E58" t="s">
        <v>110</v>
      </c>
      <c r="F58">
        <v>5.4719980089484199</v>
      </c>
    </row>
    <row r="59" spans="1:6" x14ac:dyDescent="0.25">
      <c r="B59" t="s">
        <v>311</v>
      </c>
      <c r="C59" t="s">
        <v>608</v>
      </c>
      <c r="D59" t="str">
        <f>VLOOKUP(B59,$A$5:$A$50,1,0)</f>
        <v>Czechia</v>
      </c>
      <c r="E59" t="s">
        <v>110</v>
      </c>
      <c r="F59">
        <v>8.3040174958388864</v>
      </c>
    </row>
    <row r="60" spans="1:6" x14ac:dyDescent="0.25">
      <c r="B60" t="s">
        <v>436</v>
      </c>
      <c r="C60" t="s">
        <v>439</v>
      </c>
      <c r="D60" t="str">
        <f>VLOOKUP(B60,$A$5:$A$50,1,0)</f>
        <v>Germany</v>
      </c>
      <c r="E60" t="s">
        <v>110</v>
      </c>
      <c r="F60">
        <v>7.2552210281684033</v>
      </c>
    </row>
    <row r="61" spans="1:6" hidden="1" x14ac:dyDescent="0.25">
      <c r="B61" t="s">
        <v>20</v>
      </c>
      <c r="C61" t="s">
        <v>217</v>
      </c>
      <c r="D61" t="e">
        <f t="shared" si="1"/>
        <v>#N/A</v>
      </c>
      <c r="E61" t="s">
        <v>110</v>
      </c>
      <c r="F61">
        <v>0.39232917123787786</v>
      </c>
    </row>
    <row r="62" spans="1:6" hidden="1" x14ac:dyDescent="0.25">
      <c r="B62" t="s">
        <v>630</v>
      </c>
      <c r="C62" t="s">
        <v>231</v>
      </c>
      <c r="D62" t="e">
        <f t="shared" si="1"/>
        <v>#N/A</v>
      </c>
      <c r="E62" t="s">
        <v>110</v>
      </c>
      <c r="F62">
        <v>2.2612681436210851</v>
      </c>
    </row>
    <row r="63" spans="1:6" x14ac:dyDescent="0.25">
      <c r="B63" t="s">
        <v>274</v>
      </c>
      <c r="C63" t="s">
        <v>481</v>
      </c>
      <c r="D63" t="str">
        <f>VLOOKUP(B63,$A$5:$A$50,1,0)</f>
        <v>Denmark</v>
      </c>
      <c r="E63" t="s">
        <v>110</v>
      </c>
      <c r="F63">
        <v>4.6912373075163369</v>
      </c>
    </row>
    <row r="64" spans="1:6" hidden="1" x14ac:dyDescent="0.25">
      <c r="B64" t="s">
        <v>377</v>
      </c>
      <c r="C64" t="s">
        <v>649</v>
      </c>
      <c r="D64" t="e">
        <f t="shared" si="1"/>
        <v>#N/A</v>
      </c>
      <c r="E64" t="s">
        <v>110</v>
      </c>
      <c r="F64">
        <v>2.080181721914415</v>
      </c>
    </row>
    <row r="65" spans="2:6" hidden="1" x14ac:dyDescent="0.25">
      <c r="B65" t="s">
        <v>629</v>
      </c>
      <c r="C65" t="s">
        <v>27</v>
      </c>
      <c r="D65" t="e">
        <f t="shared" si="1"/>
        <v>#N/A</v>
      </c>
      <c r="E65" t="s">
        <v>110</v>
      </c>
      <c r="F65">
        <v>3.7182233703075962</v>
      </c>
    </row>
    <row r="66" spans="2:6" hidden="1" x14ac:dyDescent="0.25">
      <c r="B66" t="s">
        <v>183</v>
      </c>
      <c r="C66" t="s">
        <v>209</v>
      </c>
      <c r="D66" t="e">
        <f t="shared" si="1"/>
        <v>#N/A</v>
      </c>
      <c r="E66" t="s">
        <v>110</v>
      </c>
      <c r="F66">
        <v>5.9822969261645929</v>
      </c>
    </row>
    <row r="67" spans="2:6" hidden="1" x14ac:dyDescent="0.25">
      <c r="B67" t="s">
        <v>632</v>
      </c>
      <c r="C67" t="s">
        <v>320</v>
      </c>
      <c r="D67" t="e">
        <f t="shared" si="1"/>
        <v>#N/A</v>
      </c>
      <c r="E67" t="s">
        <v>110</v>
      </c>
      <c r="F67">
        <v>2.0168567830325186</v>
      </c>
    </row>
    <row r="68" spans="2:6" hidden="1" x14ac:dyDescent="0.25">
      <c r="B68" t="s">
        <v>441</v>
      </c>
      <c r="C68" t="s">
        <v>534</v>
      </c>
      <c r="D68" t="e">
        <f t="shared" si="1"/>
        <v>#N/A</v>
      </c>
      <c r="E68" t="s">
        <v>110</v>
      </c>
      <c r="F68">
        <v>6.2218883953144521</v>
      </c>
    </row>
    <row r="69" spans="2:6" hidden="1" x14ac:dyDescent="0.25">
      <c r="B69" t="s">
        <v>242</v>
      </c>
      <c r="C69" t="s">
        <v>289</v>
      </c>
      <c r="D69" t="e">
        <f t="shared" si="1"/>
        <v>#N/A</v>
      </c>
      <c r="E69" t="s">
        <v>110</v>
      </c>
      <c r="F69">
        <v>11.372298356559018</v>
      </c>
    </row>
    <row r="70" spans="2:6" hidden="1" x14ac:dyDescent="0.25">
      <c r="B70" t="s">
        <v>355</v>
      </c>
      <c r="C70" t="s">
        <v>533</v>
      </c>
      <c r="D70" t="e">
        <f t="shared" ref="D70:D133" si="2">VLOOKUP(B70,$A$5:$A$50,1,0)</f>
        <v>#N/A</v>
      </c>
      <c r="E70" t="s">
        <v>110</v>
      </c>
      <c r="F70">
        <v>6.1098834229858205</v>
      </c>
    </row>
    <row r="71" spans="2:6" hidden="1" x14ac:dyDescent="0.25">
      <c r="B71" t="s">
        <v>218</v>
      </c>
      <c r="C71" t="s">
        <v>99</v>
      </c>
      <c r="D71" t="e">
        <f t="shared" si="2"/>
        <v>#N/A</v>
      </c>
      <c r="E71" t="s">
        <v>110</v>
      </c>
      <c r="F71">
        <v>1.9575753492533086</v>
      </c>
    </row>
    <row r="72" spans="2:6" hidden="1" x14ac:dyDescent="0.25">
      <c r="B72" t="s">
        <v>229</v>
      </c>
      <c r="C72" t="s">
        <v>612</v>
      </c>
      <c r="D72" t="e">
        <f t="shared" si="2"/>
        <v>#N/A</v>
      </c>
      <c r="E72" t="s">
        <v>110</v>
      </c>
      <c r="F72">
        <v>1.961122572089288</v>
      </c>
    </row>
    <row r="73" spans="2:6" hidden="1" x14ac:dyDescent="0.25">
      <c r="B73" t="s">
        <v>131</v>
      </c>
      <c r="C73" t="s">
        <v>364</v>
      </c>
      <c r="D73" t="e">
        <f t="shared" si="2"/>
        <v>#N/A</v>
      </c>
      <c r="E73" t="s">
        <v>110</v>
      </c>
      <c r="F73">
        <v>5.3978252151573178</v>
      </c>
    </row>
    <row r="74" spans="2:6" hidden="1" x14ac:dyDescent="0.25">
      <c r="B74" t="s">
        <v>658</v>
      </c>
      <c r="C74" t="s">
        <v>153</v>
      </c>
      <c r="D74" t="e">
        <f t="shared" si="2"/>
        <v>#N/A</v>
      </c>
      <c r="E74" t="s">
        <v>110</v>
      </c>
      <c r="F74">
        <v>0.19865754296841165</v>
      </c>
    </row>
    <row r="75" spans="2:6" x14ac:dyDescent="0.25">
      <c r="B75" t="s">
        <v>72</v>
      </c>
      <c r="C75" t="s">
        <v>223</v>
      </c>
      <c r="D75" t="str">
        <f>VLOOKUP(B75,$A$5:$A$50,1,0)</f>
        <v>Spain</v>
      </c>
      <c r="E75" t="s">
        <v>110</v>
      </c>
      <c r="F75">
        <v>4.2795945712140995</v>
      </c>
    </row>
    <row r="76" spans="2:6" x14ac:dyDescent="0.25">
      <c r="B76" t="s">
        <v>468</v>
      </c>
      <c r="C76" t="s">
        <v>600</v>
      </c>
      <c r="D76" t="str">
        <f>VLOOKUP(B76,$A$5:$A$50,1,0)</f>
        <v>Estonia</v>
      </c>
      <c r="E76" t="s">
        <v>110</v>
      </c>
      <c r="F76">
        <v>5.3383998158736761</v>
      </c>
    </row>
    <row r="77" spans="2:6" hidden="1" x14ac:dyDescent="0.25">
      <c r="B77" t="s">
        <v>142</v>
      </c>
      <c r="C77" t="s">
        <v>92</v>
      </c>
      <c r="D77" t="e">
        <f t="shared" si="2"/>
        <v>#N/A</v>
      </c>
      <c r="E77" t="s">
        <v>110</v>
      </c>
      <c r="F77">
        <v>0.15443177159020463</v>
      </c>
    </row>
    <row r="78" spans="2:6" hidden="1" x14ac:dyDescent="0.25">
      <c r="B78" t="s">
        <v>36</v>
      </c>
      <c r="C78" t="s">
        <v>641</v>
      </c>
      <c r="D78" t="e">
        <f t="shared" si="2"/>
        <v>#N/A</v>
      </c>
      <c r="E78" t="s">
        <v>110</v>
      </c>
      <c r="F78">
        <v>5.5060704358974748</v>
      </c>
    </row>
    <row r="79" spans="2:6" hidden="1" x14ac:dyDescent="0.25">
      <c r="B79" t="s">
        <v>191</v>
      </c>
      <c r="C79" t="s">
        <v>316</v>
      </c>
      <c r="D79" t="e">
        <f t="shared" si="2"/>
        <v>#N/A</v>
      </c>
      <c r="E79" t="s">
        <v>110</v>
      </c>
      <c r="F79">
        <v>0.77495095175480888</v>
      </c>
    </row>
    <row r="80" spans="2:6" x14ac:dyDescent="0.25">
      <c r="B80" t="s">
        <v>47</v>
      </c>
      <c r="C80" t="s">
        <v>24</v>
      </c>
      <c r="D80" t="str">
        <f>VLOOKUP(B80,$A$5:$A$50,1,0)</f>
        <v>Finland</v>
      </c>
      <c r="E80" t="s">
        <v>110</v>
      </c>
      <c r="F80">
        <v>6.5701451277257457</v>
      </c>
    </row>
    <row r="81" spans="2:6" hidden="1" x14ac:dyDescent="0.25">
      <c r="B81" t="s">
        <v>135</v>
      </c>
      <c r="C81" t="s">
        <v>347</v>
      </c>
      <c r="D81" t="e">
        <f t="shared" si="2"/>
        <v>#N/A</v>
      </c>
      <c r="E81" t="s">
        <v>110</v>
      </c>
      <c r="F81">
        <v>1.1170962884416062</v>
      </c>
    </row>
    <row r="82" spans="2:6" x14ac:dyDescent="0.25">
      <c r="B82" t="s">
        <v>337</v>
      </c>
      <c r="C82" t="s">
        <v>575</v>
      </c>
      <c r="D82" t="str">
        <f>VLOOKUP(B82,$A$5:$A$50,1,0)</f>
        <v>France</v>
      </c>
      <c r="E82" t="s">
        <v>110</v>
      </c>
      <c r="F82">
        <v>3.9536824518799136</v>
      </c>
    </row>
    <row r="83" spans="2:6" hidden="1" x14ac:dyDescent="0.25">
      <c r="B83" t="s">
        <v>303</v>
      </c>
      <c r="C83" t="s">
        <v>424</v>
      </c>
      <c r="D83" t="e">
        <f t="shared" si="2"/>
        <v>#N/A</v>
      </c>
      <c r="E83" t="s">
        <v>110</v>
      </c>
    </row>
    <row r="84" spans="2:6" hidden="1" x14ac:dyDescent="0.25">
      <c r="B84" t="s">
        <v>345</v>
      </c>
      <c r="C84" t="s">
        <v>247</v>
      </c>
      <c r="D84" t="e">
        <f t="shared" si="2"/>
        <v>#N/A</v>
      </c>
      <c r="E84" t="s">
        <v>110</v>
      </c>
      <c r="F84">
        <v>0.95891388507305586</v>
      </c>
    </row>
    <row r="85" spans="2:6" hidden="1" x14ac:dyDescent="0.25">
      <c r="B85" t="s">
        <v>453</v>
      </c>
      <c r="C85" t="s">
        <v>329</v>
      </c>
      <c r="D85" t="e">
        <f t="shared" si="2"/>
        <v>#N/A</v>
      </c>
      <c r="E85" t="s">
        <v>110</v>
      </c>
      <c r="F85">
        <v>2.3332735751489699</v>
      </c>
    </row>
    <row r="86" spans="2:6" hidden="1" x14ac:dyDescent="0.25">
      <c r="B86" t="s">
        <v>609</v>
      </c>
      <c r="C86" t="s">
        <v>535</v>
      </c>
      <c r="D86" t="e">
        <f t="shared" si="2"/>
        <v>#N/A</v>
      </c>
      <c r="E86" t="s">
        <v>110</v>
      </c>
      <c r="F86">
        <v>4.6011422509013471</v>
      </c>
    </row>
    <row r="87" spans="2:6" hidden="1" x14ac:dyDescent="0.25">
      <c r="B87" t="s">
        <v>567</v>
      </c>
      <c r="C87" t="s">
        <v>419</v>
      </c>
      <c r="D87" t="e">
        <f t="shared" si="2"/>
        <v>#N/A</v>
      </c>
      <c r="E87" t="s">
        <v>110</v>
      </c>
      <c r="F87">
        <v>2.7547091961890193</v>
      </c>
    </row>
    <row r="88" spans="2:6" hidden="1" x14ac:dyDescent="0.25">
      <c r="B88" t="s">
        <v>152</v>
      </c>
      <c r="C88" t="s">
        <v>500</v>
      </c>
      <c r="D88" t="e">
        <f t="shared" si="2"/>
        <v>#N/A</v>
      </c>
      <c r="E88" t="s">
        <v>110</v>
      </c>
      <c r="F88">
        <v>0.60288745314267522</v>
      </c>
    </row>
    <row r="89" spans="2:6" hidden="1" x14ac:dyDescent="0.25">
      <c r="B89" t="s">
        <v>121</v>
      </c>
      <c r="C89" t="s">
        <v>623</v>
      </c>
      <c r="D89" t="e">
        <f t="shared" si="2"/>
        <v>#N/A</v>
      </c>
      <c r="E89" t="s">
        <v>110</v>
      </c>
    </row>
    <row r="90" spans="2:6" hidden="1" x14ac:dyDescent="0.25">
      <c r="B90" t="s">
        <v>526</v>
      </c>
      <c r="C90" t="s">
        <v>521</v>
      </c>
      <c r="D90" t="e">
        <f t="shared" si="2"/>
        <v>#N/A</v>
      </c>
      <c r="E90" t="s">
        <v>110</v>
      </c>
      <c r="F90">
        <v>0.34364615086247013</v>
      </c>
    </row>
    <row r="91" spans="2:6" hidden="1" x14ac:dyDescent="0.25">
      <c r="B91" t="s">
        <v>23</v>
      </c>
      <c r="C91" t="s">
        <v>76</v>
      </c>
      <c r="D91" t="e">
        <f t="shared" si="2"/>
        <v>#N/A</v>
      </c>
      <c r="E91" t="s">
        <v>110</v>
      </c>
      <c r="F91">
        <v>0.23752959893084485</v>
      </c>
    </row>
    <row r="92" spans="2:6" hidden="1" x14ac:dyDescent="0.25">
      <c r="B92" t="s">
        <v>531</v>
      </c>
      <c r="C92" t="s">
        <v>145</v>
      </c>
      <c r="D92" t="e">
        <f t="shared" si="2"/>
        <v>#N/A</v>
      </c>
      <c r="E92" t="s">
        <v>110</v>
      </c>
      <c r="F92">
        <v>0.16320836896798735</v>
      </c>
    </row>
    <row r="93" spans="2:6" hidden="1" x14ac:dyDescent="0.25">
      <c r="B93" t="s">
        <v>590</v>
      </c>
      <c r="C93" t="s">
        <v>203</v>
      </c>
      <c r="D93" t="e">
        <f t="shared" si="2"/>
        <v>#N/A</v>
      </c>
      <c r="E93" t="s">
        <v>110</v>
      </c>
      <c r="F93">
        <v>2.7257308516217233</v>
      </c>
    </row>
    <row r="94" spans="2:6" x14ac:dyDescent="0.25">
      <c r="B94" t="s">
        <v>631</v>
      </c>
      <c r="C94" t="s">
        <v>495</v>
      </c>
      <c r="D94" t="str">
        <f>VLOOKUP(B94,$A$5:$A$50,1,0)</f>
        <v>Greece</v>
      </c>
      <c r="E94" t="s">
        <v>110</v>
      </c>
      <c r="F94">
        <v>4.7671849370183885</v>
      </c>
    </row>
    <row r="95" spans="2:6" hidden="1" x14ac:dyDescent="0.25">
      <c r="B95" t="s">
        <v>66</v>
      </c>
      <c r="C95" t="s">
        <v>547</v>
      </c>
      <c r="D95" t="e">
        <f t="shared" si="2"/>
        <v>#N/A</v>
      </c>
      <c r="E95" t="s">
        <v>110</v>
      </c>
      <c r="F95">
        <v>2.6240670208550658</v>
      </c>
    </row>
    <row r="96" spans="2:6" hidden="1" x14ac:dyDescent="0.25">
      <c r="B96" t="s">
        <v>477</v>
      </c>
      <c r="C96" t="s">
        <v>603</v>
      </c>
      <c r="D96" t="e">
        <f t="shared" si="2"/>
        <v>#N/A</v>
      </c>
      <c r="E96" t="s">
        <v>110</v>
      </c>
    </row>
    <row r="97" spans="2:6" hidden="1" x14ac:dyDescent="0.25">
      <c r="B97" t="s">
        <v>234</v>
      </c>
      <c r="C97" t="s">
        <v>127</v>
      </c>
      <c r="D97" t="e">
        <f t="shared" si="2"/>
        <v>#N/A</v>
      </c>
      <c r="E97" t="s">
        <v>110</v>
      </c>
      <c r="F97">
        <v>1.0004073356481926</v>
      </c>
    </row>
    <row r="98" spans="2:6" hidden="1" x14ac:dyDescent="0.25">
      <c r="B98" t="s">
        <v>665</v>
      </c>
      <c r="C98" t="s">
        <v>35</v>
      </c>
      <c r="D98" t="e">
        <f t="shared" si="2"/>
        <v>#N/A</v>
      </c>
      <c r="E98" t="s">
        <v>110</v>
      </c>
    </row>
    <row r="99" spans="2:6" hidden="1" x14ac:dyDescent="0.25">
      <c r="B99" t="s">
        <v>322</v>
      </c>
      <c r="C99" t="s">
        <v>483</v>
      </c>
      <c r="D99" t="e">
        <f t="shared" si="2"/>
        <v>#N/A</v>
      </c>
      <c r="E99" t="s">
        <v>110</v>
      </c>
      <c r="F99">
        <v>3.472771016630666</v>
      </c>
    </row>
    <row r="100" spans="2:6" hidden="1" x14ac:dyDescent="0.25">
      <c r="B100" t="s">
        <v>310</v>
      </c>
      <c r="C100" t="s">
        <v>484</v>
      </c>
      <c r="D100" t="e">
        <f t="shared" si="2"/>
        <v>#N/A</v>
      </c>
      <c r="E100" t="s">
        <v>110</v>
      </c>
      <c r="F100">
        <v>7.7943896911180452</v>
      </c>
    </row>
    <row r="101" spans="2:6" hidden="1" x14ac:dyDescent="0.25">
      <c r="B101" t="s">
        <v>238</v>
      </c>
      <c r="C101" t="s">
        <v>300</v>
      </c>
      <c r="D101" t="e">
        <f t="shared" si="2"/>
        <v>#N/A</v>
      </c>
      <c r="E101" t="s">
        <v>110</v>
      </c>
    </row>
    <row r="102" spans="2:6" hidden="1" x14ac:dyDescent="0.25">
      <c r="B102" t="s">
        <v>501</v>
      </c>
      <c r="C102" t="s">
        <v>56</v>
      </c>
      <c r="D102" t="e">
        <f t="shared" si="2"/>
        <v>#N/A</v>
      </c>
      <c r="E102" t="s">
        <v>110</v>
      </c>
      <c r="F102">
        <v>0.87291117170002896</v>
      </c>
    </row>
    <row r="103" spans="2:6" hidden="1" x14ac:dyDescent="0.25">
      <c r="B103" t="s">
        <v>624</v>
      </c>
      <c r="C103" t="s">
        <v>143</v>
      </c>
      <c r="D103" t="e">
        <f t="shared" si="2"/>
        <v>#N/A</v>
      </c>
      <c r="E103" t="s">
        <v>110</v>
      </c>
      <c r="F103">
        <v>0.2684710529884467</v>
      </c>
    </row>
    <row r="104" spans="2:6" x14ac:dyDescent="0.25">
      <c r="B104" t="s">
        <v>473</v>
      </c>
      <c r="C104" t="s">
        <v>574</v>
      </c>
      <c r="D104" t="str">
        <f>VLOOKUP(B104,$A$5:$A$50,1,0)</f>
        <v>Croatia</v>
      </c>
      <c r="E104" t="s">
        <v>110</v>
      </c>
      <c r="F104">
        <v>3.8607053917305714</v>
      </c>
    </row>
    <row r="105" spans="2:6" hidden="1" x14ac:dyDescent="0.25">
      <c r="B105" t="s">
        <v>5</v>
      </c>
      <c r="C105" t="s">
        <v>83</v>
      </c>
      <c r="D105" t="e">
        <f t="shared" si="2"/>
        <v>#N/A</v>
      </c>
      <c r="E105" t="s">
        <v>110</v>
      </c>
      <c r="F105">
        <v>0.28381502424956445</v>
      </c>
    </row>
    <row r="106" spans="2:6" x14ac:dyDescent="0.25">
      <c r="B106" t="s">
        <v>46</v>
      </c>
      <c r="C106" t="s">
        <v>583</v>
      </c>
      <c r="D106" t="str">
        <f>VLOOKUP(B106,$A$5:$A$50,1,0)</f>
        <v>Hungary</v>
      </c>
      <c r="E106" t="s">
        <v>110</v>
      </c>
      <c r="F106">
        <v>4.591652907047882</v>
      </c>
    </row>
    <row r="107" spans="2:6" hidden="1" x14ac:dyDescent="0.25">
      <c r="B107" t="s">
        <v>650</v>
      </c>
      <c r="C107" t="s">
        <v>132</v>
      </c>
      <c r="D107" t="e">
        <f t="shared" si="2"/>
        <v>#N/A</v>
      </c>
      <c r="E107" t="s">
        <v>110</v>
      </c>
      <c r="F107">
        <v>4.305188678868066</v>
      </c>
    </row>
    <row r="108" spans="2:6" hidden="1" x14ac:dyDescent="0.25">
      <c r="B108" t="s">
        <v>70</v>
      </c>
      <c r="C108" t="s">
        <v>241</v>
      </c>
      <c r="D108" t="e">
        <f t="shared" si="2"/>
        <v>#N/A</v>
      </c>
      <c r="E108" t="s">
        <v>110</v>
      </c>
      <c r="F108">
        <v>3.2982645879209675</v>
      </c>
    </row>
    <row r="109" spans="2:6" hidden="1" x14ac:dyDescent="0.25">
      <c r="B109" t="s">
        <v>667</v>
      </c>
      <c r="C109" t="s">
        <v>498</v>
      </c>
      <c r="D109" t="e">
        <f t="shared" si="2"/>
        <v>#N/A</v>
      </c>
      <c r="E109" t="s">
        <v>110</v>
      </c>
      <c r="F109">
        <v>0.51672149016584124</v>
      </c>
    </row>
    <row r="110" spans="2:6" hidden="1" x14ac:dyDescent="0.25">
      <c r="B110" t="s">
        <v>455</v>
      </c>
      <c r="C110" t="s">
        <v>1</v>
      </c>
      <c r="D110" t="e">
        <f t="shared" si="2"/>
        <v>#N/A</v>
      </c>
      <c r="E110" t="s">
        <v>110</v>
      </c>
      <c r="F110">
        <v>0.79645888836484269</v>
      </c>
    </row>
    <row r="111" spans="2:6" hidden="1" x14ac:dyDescent="0.25">
      <c r="B111" t="s">
        <v>423</v>
      </c>
      <c r="C111" t="s">
        <v>430</v>
      </c>
      <c r="D111" t="e">
        <f t="shared" si="2"/>
        <v>#N/A</v>
      </c>
      <c r="E111" t="s">
        <v>110</v>
      </c>
      <c r="F111">
        <v>2.0716589622147183</v>
      </c>
    </row>
    <row r="112" spans="2:6" hidden="1" x14ac:dyDescent="0.25">
      <c r="B112" t="s">
        <v>662</v>
      </c>
      <c r="C112" t="s">
        <v>615</v>
      </c>
      <c r="D112" t="e">
        <f t="shared" si="2"/>
        <v>#N/A</v>
      </c>
      <c r="E112" t="s">
        <v>110</v>
      </c>
      <c r="F112">
        <v>0.37794116363278879</v>
      </c>
    </row>
    <row r="113" spans="2:6" hidden="1" x14ac:dyDescent="0.25">
      <c r="B113" t="s">
        <v>265</v>
      </c>
      <c r="C113" t="s">
        <v>104</v>
      </c>
      <c r="D113" t="e">
        <f t="shared" si="2"/>
        <v>#N/A</v>
      </c>
      <c r="E113" t="s">
        <v>110</v>
      </c>
    </row>
    <row r="114" spans="2:6" hidden="1" x14ac:dyDescent="0.25">
      <c r="B114" t="s">
        <v>181</v>
      </c>
      <c r="C114" t="s">
        <v>545</v>
      </c>
      <c r="D114" t="e">
        <f t="shared" si="2"/>
        <v>#N/A</v>
      </c>
      <c r="E114" t="s">
        <v>110</v>
      </c>
      <c r="F114">
        <v>1.5760932319164813</v>
      </c>
    </row>
    <row r="115" spans="2:6" hidden="1" x14ac:dyDescent="0.25">
      <c r="B115" t="s">
        <v>472</v>
      </c>
      <c r="C115" t="s">
        <v>332</v>
      </c>
      <c r="D115" t="e">
        <f t="shared" si="2"/>
        <v>#N/A</v>
      </c>
      <c r="E115" t="s">
        <v>110</v>
      </c>
    </row>
    <row r="116" spans="2:6" hidden="1" x14ac:dyDescent="0.25">
      <c r="B116" t="s">
        <v>95</v>
      </c>
      <c r="C116" t="s">
        <v>50</v>
      </c>
      <c r="D116" t="e">
        <f t="shared" si="2"/>
        <v>#N/A</v>
      </c>
      <c r="E116" t="s">
        <v>110</v>
      </c>
      <c r="F116">
        <v>6.768227590182657</v>
      </c>
    </row>
    <row r="117" spans="2:6" hidden="1" x14ac:dyDescent="0.25">
      <c r="B117" t="s">
        <v>375</v>
      </c>
      <c r="C117" t="s">
        <v>161</v>
      </c>
      <c r="D117" t="e">
        <f t="shared" si="2"/>
        <v>#N/A</v>
      </c>
      <c r="E117" t="s">
        <v>110</v>
      </c>
      <c r="F117">
        <v>7.06335132057733</v>
      </c>
    </row>
    <row r="118" spans="2:6" hidden="1" x14ac:dyDescent="0.25">
      <c r="B118" t="s">
        <v>0</v>
      </c>
      <c r="C118" t="s">
        <v>490</v>
      </c>
      <c r="D118" t="e">
        <f t="shared" si="2"/>
        <v>#N/A</v>
      </c>
      <c r="E118" t="s">
        <v>110</v>
      </c>
      <c r="F118">
        <v>3.8421778197439931</v>
      </c>
    </row>
    <row r="119" spans="2:6" x14ac:dyDescent="0.25">
      <c r="B119" t="s">
        <v>25</v>
      </c>
      <c r="C119" t="s">
        <v>133</v>
      </c>
      <c r="D119" t="str">
        <f>VLOOKUP(B119,$A$5:$A$50,1,0)</f>
        <v>Iceland</v>
      </c>
      <c r="E119" t="s">
        <v>110</v>
      </c>
      <c r="F119">
        <v>3.9474653648526594</v>
      </c>
    </row>
    <row r="120" spans="2:6" hidden="1" x14ac:dyDescent="0.25">
      <c r="B120" t="s">
        <v>437</v>
      </c>
      <c r="C120" t="s">
        <v>611</v>
      </c>
      <c r="D120" t="e">
        <f t="shared" si="2"/>
        <v>#N/A</v>
      </c>
      <c r="E120" t="s">
        <v>110</v>
      </c>
      <c r="F120">
        <v>6.3452160041670735</v>
      </c>
    </row>
    <row r="121" spans="2:6" x14ac:dyDescent="0.25">
      <c r="B121" t="s">
        <v>155</v>
      </c>
      <c r="C121" t="s">
        <v>515</v>
      </c>
      <c r="D121" t="str">
        <f>VLOOKUP(B121,$A$5:$A$50,1,0)</f>
        <v>Italy</v>
      </c>
      <c r="E121" t="s">
        <v>110</v>
      </c>
      <c r="F121">
        <v>4.7323727707993539</v>
      </c>
    </row>
    <row r="122" spans="2:6" hidden="1" x14ac:dyDescent="0.25">
      <c r="B122" t="s">
        <v>116</v>
      </c>
      <c r="C122" t="s">
        <v>639</v>
      </c>
      <c r="D122" t="e">
        <f t="shared" si="2"/>
        <v>#N/A</v>
      </c>
      <c r="E122" t="s">
        <v>110</v>
      </c>
      <c r="F122">
        <v>2.0690418077205086</v>
      </c>
    </row>
    <row r="123" spans="2:6" hidden="1" x14ac:dyDescent="0.25">
      <c r="B123" t="s">
        <v>525</v>
      </c>
      <c r="C123" t="s">
        <v>273</v>
      </c>
      <c r="D123" t="e">
        <f t="shared" si="2"/>
        <v>#N/A</v>
      </c>
      <c r="E123" t="s">
        <v>110</v>
      </c>
      <c r="F123">
        <v>1.9191724264897969</v>
      </c>
    </row>
    <row r="124" spans="2:6" hidden="1" x14ac:dyDescent="0.25">
      <c r="B124" t="s">
        <v>664</v>
      </c>
      <c r="C124" t="s">
        <v>516</v>
      </c>
      <c r="D124" t="e">
        <f t="shared" si="2"/>
        <v>#N/A</v>
      </c>
      <c r="E124" t="s">
        <v>110</v>
      </c>
      <c r="F124">
        <v>8.0314958696668022</v>
      </c>
    </row>
    <row r="125" spans="2:6" hidden="1" x14ac:dyDescent="0.25">
      <c r="B125" t="s">
        <v>74</v>
      </c>
      <c r="C125" t="s">
        <v>253</v>
      </c>
      <c r="D125" t="e">
        <f t="shared" si="2"/>
        <v>#N/A</v>
      </c>
      <c r="E125" t="s">
        <v>110</v>
      </c>
      <c r="F125">
        <v>11.297743305942856</v>
      </c>
    </row>
    <row r="126" spans="2:6" hidden="1" x14ac:dyDescent="0.25">
      <c r="B126" t="s">
        <v>669</v>
      </c>
      <c r="C126" t="s">
        <v>635</v>
      </c>
      <c r="D126" t="e">
        <f t="shared" si="2"/>
        <v>#N/A</v>
      </c>
      <c r="E126" t="s">
        <v>110</v>
      </c>
      <c r="F126">
        <v>0.37407921935575456</v>
      </c>
    </row>
    <row r="127" spans="2:6" hidden="1" x14ac:dyDescent="0.25">
      <c r="B127" t="s">
        <v>421</v>
      </c>
      <c r="C127" t="s">
        <v>378</v>
      </c>
      <c r="D127" t="e">
        <f t="shared" si="2"/>
        <v>#N/A</v>
      </c>
      <c r="E127" t="s">
        <v>110</v>
      </c>
      <c r="F127">
        <v>1.3799753795650389</v>
      </c>
    </row>
    <row r="128" spans="2:6" hidden="1" x14ac:dyDescent="0.25">
      <c r="B128" t="s">
        <v>614</v>
      </c>
      <c r="C128" t="s">
        <v>645</v>
      </c>
      <c r="D128" t="e">
        <f t="shared" si="2"/>
        <v>#N/A</v>
      </c>
      <c r="E128" t="s">
        <v>110</v>
      </c>
      <c r="F128">
        <v>1.1375836593103801</v>
      </c>
    </row>
    <row r="129" spans="2:6" hidden="1" x14ac:dyDescent="0.25">
      <c r="B129" t="s">
        <v>581</v>
      </c>
      <c r="C129" t="s">
        <v>478</v>
      </c>
      <c r="D129" t="e">
        <f t="shared" si="2"/>
        <v>#N/A</v>
      </c>
      <c r="E129" t="s">
        <v>110</v>
      </c>
      <c r="F129">
        <v>0.44993397278255298</v>
      </c>
    </row>
    <row r="130" spans="2:6" hidden="1" x14ac:dyDescent="0.25">
      <c r="B130" t="s">
        <v>150</v>
      </c>
      <c r="C130" t="s">
        <v>348</v>
      </c>
      <c r="D130" t="e">
        <f t="shared" si="2"/>
        <v>#N/A</v>
      </c>
      <c r="E130" t="s">
        <v>110</v>
      </c>
      <c r="F130">
        <v>4.8486629444607701</v>
      </c>
    </row>
    <row r="131" spans="2:6" hidden="1" x14ac:dyDescent="0.25">
      <c r="B131" t="s">
        <v>172</v>
      </c>
      <c r="C131" t="s">
        <v>607</v>
      </c>
      <c r="D131" t="e">
        <f t="shared" si="2"/>
        <v>#N/A</v>
      </c>
      <c r="E131" t="s">
        <v>110</v>
      </c>
      <c r="F131">
        <v>10.990029581428546</v>
      </c>
    </row>
    <row r="132" spans="2:6" hidden="1" x14ac:dyDescent="0.25">
      <c r="B132" t="s">
        <v>657</v>
      </c>
      <c r="C132" t="s">
        <v>461</v>
      </c>
      <c r="D132" t="e">
        <f t="shared" si="2"/>
        <v>#N/A</v>
      </c>
      <c r="E132" t="s">
        <v>110</v>
      </c>
      <c r="F132">
        <v>21.16961025069924</v>
      </c>
    </row>
    <row r="133" spans="2:6" hidden="1" x14ac:dyDescent="0.25">
      <c r="B133" t="s">
        <v>248</v>
      </c>
      <c r="C133" t="s">
        <v>474</v>
      </c>
      <c r="D133" t="e">
        <f t="shared" si="2"/>
        <v>#N/A</v>
      </c>
      <c r="E133" t="s">
        <v>110</v>
      </c>
      <c r="F133">
        <v>2.112544976143294</v>
      </c>
    </row>
    <row r="134" spans="2:6" hidden="1" x14ac:dyDescent="0.25">
      <c r="B134" t="s">
        <v>524</v>
      </c>
      <c r="C134" t="s">
        <v>212</v>
      </c>
      <c r="D134" t="e">
        <f t="shared" ref="D134:D197" si="3">VLOOKUP(B134,$A$5:$A$50,1,0)</f>
        <v>#N/A</v>
      </c>
      <c r="E134" t="s">
        <v>110</v>
      </c>
      <c r="F134">
        <v>2.6202834413044025</v>
      </c>
    </row>
    <row r="135" spans="2:6" hidden="1" x14ac:dyDescent="0.25">
      <c r="B135" t="s">
        <v>400</v>
      </c>
      <c r="C135" t="s">
        <v>230</v>
      </c>
      <c r="D135" t="e">
        <f t="shared" si="3"/>
        <v>#N/A</v>
      </c>
      <c r="E135" t="s">
        <v>110</v>
      </c>
      <c r="F135">
        <v>3.7921935368006947</v>
      </c>
    </row>
    <row r="136" spans="2:6" hidden="1" x14ac:dyDescent="0.25">
      <c r="B136" t="s">
        <v>215</v>
      </c>
      <c r="C136" t="s">
        <v>602</v>
      </c>
      <c r="D136" t="e">
        <f t="shared" si="3"/>
        <v>#N/A</v>
      </c>
      <c r="E136" t="s">
        <v>110</v>
      </c>
      <c r="F136">
        <v>0.23183892393717725</v>
      </c>
    </row>
    <row r="137" spans="2:6" hidden="1" x14ac:dyDescent="0.25">
      <c r="B137" t="s">
        <v>504</v>
      </c>
      <c r="C137" t="s">
        <v>606</v>
      </c>
      <c r="D137" t="e">
        <f t="shared" si="3"/>
        <v>#N/A</v>
      </c>
      <c r="E137" t="s">
        <v>110</v>
      </c>
      <c r="F137">
        <v>6.6828054708021201</v>
      </c>
    </row>
    <row r="138" spans="2:6" hidden="1" x14ac:dyDescent="0.25">
      <c r="B138" t="s">
        <v>467</v>
      </c>
      <c r="C138" t="s">
        <v>339</v>
      </c>
      <c r="D138" t="e">
        <f t="shared" si="3"/>
        <v>#N/A</v>
      </c>
      <c r="E138" t="s">
        <v>110</v>
      </c>
      <c r="F138">
        <v>2.7851392290654271</v>
      </c>
    </row>
    <row r="139" spans="2:6" hidden="1" x14ac:dyDescent="0.25">
      <c r="B139" t="s">
        <v>551</v>
      </c>
      <c r="C139" t="s">
        <v>158</v>
      </c>
      <c r="D139" t="e">
        <f t="shared" si="3"/>
        <v>#N/A</v>
      </c>
      <c r="E139" t="s">
        <v>110</v>
      </c>
      <c r="F139">
        <v>2.2106180201833441</v>
      </c>
    </row>
    <row r="140" spans="2:6" hidden="1" x14ac:dyDescent="0.25">
      <c r="B140" t="s">
        <v>245</v>
      </c>
      <c r="C140" t="s">
        <v>537</v>
      </c>
      <c r="D140" t="e">
        <f t="shared" si="3"/>
        <v>#N/A</v>
      </c>
      <c r="E140" t="s">
        <v>110</v>
      </c>
      <c r="F140">
        <v>0.32734388378740653</v>
      </c>
    </row>
    <row r="141" spans="2:6" hidden="1" x14ac:dyDescent="0.25">
      <c r="B141" t="s">
        <v>593</v>
      </c>
      <c r="C141" t="s">
        <v>60</v>
      </c>
      <c r="D141" t="e">
        <f t="shared" si="3"/>
        <v>#N/A</v>
      </c>
      <c r="E141" t="s">
        <v>110</v>
      </c>
      <c r="F141">
        <v>0.26934105017366894</v>
      </c>
    </row>
    <row r="142" spans="2:6" x14ac:dyDescent="0.25">
      <c r="B142" t="s">
        <v>562</v>
      </c>
      <c r="C142" t="s">
        <v>313</v>
      </c>
      <c r="D142" t="str">
        <f>VLOOKUP(B142,$A$5:$A$50,1,0)</f>
        <v>Liechtenstein</v>
      </c>
      <c r="E142" t="s">
        <v>110</v>
      </c>
      <c r="F142">
        <v>3.6638479977293841</v>
      </c>
    </row>
    <row r="143" spans="2:6" hidden="1" x14ac:dyDescent="0.25">
      <c r="B143" t="s">
        <v>3</v>
      </c>
      <c r="C143" t="s">
        <v>627</v>
      </c>
      <c r="D143" t="e">
        <f t="shared" si="3"/>
        <v>#N/A</v>
      </c>
      <c r="E143" t="s">
        <v>110</v>
      </c>
      <c r="F143">
        <v>0.99668324284867016</v>
      </c>
    </row>
    <row r="144" spans="2:6" hidden="1" x14ac:dyDescent="0.25">
      <c r="B144" t="s">
        <v>330</v>
      </c>
      <c r="C144" t="s">
        <v>194</v>
      </c>
      <c r="D144" t="e">
        <f t="shared" si="3"/>
        <v>#N/A</v>
      </c>
      <c r="E144" t="s">
        <v>110</v>
      </c>
      <c r="F144">
        <v>1.637168385388116</v>
      </c>
    </row>
    <row r="145" spans="2:6" hidden="1" x14ac:dyDescent="0.25">
      <c r="B145" t="s">
        <v>290</v>
      </c>
      <c r="C145" t="s">
        <v>268</v>
      </c>
      <c r="D145" t="e">
        <f t="shared" si="3"/>
        <v>#N/A</v>
      </c>
      <c r="E145" t="s">
        <v>110</v>
      </c>
      <c r="F145">
        <v>3.3417444797630327</v>
      </c>
    </row>
    <row r="146" spans="2:6" hidden="1" x14ac:dyDescent="0.25">
      <c r="B146" t="s">
        <v>454</v>
      </c>
      <c r="C146" t="s">
        <v>226</v>
      </c>
      <c r="D146" t="e">
        <f t="shared" si="3"/>
        <v>#N/A</v>
      </c>
      <c r="E146" t="s">
        <v>110</v>
      </c>
      <c r="F146">
        <v>1.025642163169336</v>
      </c>
    </row>
    <row r="147" spans="2:6" hidden="1" x14ac:dyDescent="0.25">
      <c r="B147" t="s">
        <v>371</v>
      </c>
      <c r="C147" t="s">
        <v>655</v>
      </c>
      <c r="D147" t="e">
        <f t="shared" si="3"/>
        <v>#N/A</v>
      </c>
      <c r="E147" t="s">
        <v>110</v>
      </c>
      <c r="F147">
        <v>6.6811000351338254</v>
      </c>
    </row>
    <row r="148" spans="2:6" x14ac:dyDescent="0.25">
      <c r="B148" t="s">
        <v>379</v>
      </c>
      <c r="C148" t="s">
        <v>102</v>
      </c>
      <c r="D148" t="str">
        <f>VLOOKUP(B148,$A$5:$A$50,1,0)</f>
        <v>Lithuania</v>
      </c>
      <c r="E148" t="s">
        <v>110</v>
      </c>
      <c r="F148">
        <v>4.1840004150439096</v>
      </c>
    </row>
    <row r="149" spans="2:6" x14ac:dyDescent="0.25">
      <c r="B149" t="s">
        <v>263</v>
      </c>
      <c r="C149" t="s">
        <v>496</v>
      </c>
      <c r="D149" t="str">
        <f>VLOOKUP(B149,$A$5:$A$50,1,0)</f>
        <v>Luxembourg</v>
      </c>
      <c r="E149" t="s">
        <v>110</v>
      </c>
      <c r="F149">
        <v>12.456953232691275</v>
      </c>
    </row>
    <row r="150" spans="2:6" x14ac:dyDescent="0.25">
      <c r="B150" t="s">
        <v>240</v>
      </c>
      <c r="C150" t="s">
        <v>422</v>
      </c>
      <c r="D150" t="str">
        <f>VLOOKUP(B150,$A$5:$A$50,1,0)</f>
        <v>Latvia</v>
      </c>
      <c r="E150" t="s">
        <v>110</v>
      </c>
      <c r="F150">
        <v>3.6456121684928142</v>
      </c>
    </row>
    <row r="151" spans="2:6" hidden="1" x14ac:dyDescent="0.25">
      <c r="B151" t="s">
        <v>529</v>
      </c>
      <c r="C151" t="s">
        <v>269</v>
      </c>
      <c r="D151" t="e">
        <f t="shared" si="3"/>
        <v>#N/A</v>
      </c>
      <c r="E151" t="s">
        <v>110</v>
      </c>
    </row>
    <row r="152" spans="2:6" hidden="1" x14ac:dyDescent="0.25">
      <c r="B152" t="s">
        <v>360</v>
      </c>
      <c r="C152" t="s">
        <v>426</v>
      </c>
      <c r="D152" t="e">
        <f t="shared" si="3"/>
        <v>#N/A</v>
      </c>
      <c r="E152" t="s">
        <v>110</v>
      </c>
    </row>
    <row r="153" spans="2:6" hidden="1" x14ac:dyDescent="0.25">
      <c r="B153" t="s">
        <v>31</v>
      </c>
      <c r="C153" t="s">
        <v>178</v>
      </c>
      <c r="D153" t="e">
        <f t="shared" si="3"/>
        <v>#N/A</v>
      </c>
      <c r="E153" t="s">
        <v>110</v>
      </c>
      <c r="F153">
        <v>1.8185263873099922</v>
      </c>
    </row>
    <row r="154" spans="2:6" hidden="1" x14ac:dyDescent="0.25">
      <c r="B154" t="s">
        <v>368</v>
      </c>
      <c r="C154" t="s">
        <v>6</v>
      </c>
      <c r="D154" t="e">
        <f t="shared" si="3"/>
        <v>#N/A</v>
      </c>
      <c r="E154" t="s">
        <v>110</v>
      </c>
    </row>
    <row r="155" spans="2:6" hidden="1" x14ac:dyDescent="0.25">
      <c r="B155" t="s">
        <v>435</v>
      </c>
      <c r="C155" t="s">
        <v>78</v>
      </c>
      <c r="D155" t="e">
        <f t="shared" si="3"/>
        <v>#N/A</v>
      </c>
      <c r="E155" t="s">
        <v>110</v>
      </c>
      <c r="F155">
        <v>3.2678463681108716</v>
      </c>
    </row>
    <row r="156" spans="2:6" hidden="1" x14ac:dyDescent="0.25">
      <c r="B156" t="s">
        <v>382</v>
      </c>
      <c r="C156" t="s">
        <v>16</v>
      </c>
      <c r="D156" t="e">
        <f t="shared" si="3"/>
        <v>#N/A</v>
      </c>
      <c r="E156" t="s">
        <v>110</v>
      </c>
      <c r="F156">
        <v>9.726954059490929E-2</v>
      </c>
    </row>
    <row r="157" spans="2:6" hidden="1" x14ac:dyDescent="0.25">
      <c r="B157" t="s">
        <v>197</v>
      </c>
      <c r="C157" t="s">
        <v>86</v>
      </c>
      <c r="D157" t="e">
        <f t="shared" si="3"/>
        <v>#N/A</v>
      </c>
      <c r="E157" t="s">
        <v>110</v>
      </c>
      <c r="F157">
        <v>2.8263852981311643</v>
      </c>
    </row>
    <row r="158" spans="2:6" hidden="1" x14ac:dyDescent="0.25">
      <c r="B158" t="s">
        <v>122</v>
      </c>
      <c r="C158" t="s">
        <v>146</v>
      </c>
      <c r="D158" t="e">
        <f t="shared" si="3"/>
        <v>#N/A</v>
      </c>
      <c r="E158" t="s">
        <v>110</v>
      </c>
      <c r="F158">
        <v>5.0338182976542614</v>
      </c>
    </row>
    <row r="159" spans="2:6" hidden="1" x14ac:dyDescent="0.25">
      <c r="B159" t="s">
        <v>213</v>
      </c>
      <c r="C159" t="s">
        <v>272</v>
      </c>
      <c r="D159" t="e">
        <f t="shared" si="3"/>
        <v>#N/A</v>
      </c>
      <c r="E159" t="s">
        <v>110</v>
      </c>
      <c r="F159">
        <v>3.0407663747722569</v>
      </c>
    </row>
    <row r="160" spans="2:6" hidden="1" x14ac:dyDescent="0.25">
      <c r="B160" t="s">
        <v>643</v>
      </c>
      <c r="C160" t="s">
        <v>585</v>
      </c>
      <c r="D160" t="e">
        <f t="shared" si="3"/>
        <v>#N/A</v>
      </c>
      <c r="E160" t="s">
        <v>110</v>
      </c>
      <c r="F160">
        <v>2.5338032386612306</v>
      </c>
    </row>
    <row r="161" spans="2:6" hidden="1" x14ac:dyDescent="0.25">
      <c r="B161" t="s">
        <v>411</v>
      </c>
      <c r="C161" t="s">
        <v>548</v>
      </c>
      <c r="D161" t="e">
        <f t="shared" si="3"/>
        <v>#N/A</v>
      </c>
      <c r="E161" t="s">
        <v>110</v>
      </c>
      <c r="F161">
        <v>3.69930515802139</v>
      </c>
    </row>
    <row r="162" spans="2:6" hidden="1" x14ac:dyDescent="0.25">
      <c r="B162" t="s">
        <v>112</v>
      </c>
      <c r="C162" t="s">
        <v>597</v>
      </c>
      <c r="D162" t="e">
        <f t="shared" si="3"/>
        <v>#N/A</v>
      </c>
      <c r="E162" t="s">
        <v>110</v>
      </c>
      <c r="F162">
        <v>3.6617704420609827</v>
      </c>
    </row>
    <row r="163" spans="2:6" hidden="1" x14ac:dyDescent="0.25">
      <c r="B163" t="s">
        <v>314</v>
      </c>
      <c r="C163" t="s">
        <v>559</v>
      </c>
      <c r="D163" t="e">
        <f t="shared" si="3"/>
        <v>#N/A</v>
      </c>
      <c r="E163" t="s">
        <v>110</v>
      </c>
      <c r="F163">
        <v>0.19556597141731732</v>
      </c>
    </row>
    <row r="164" spans="2:6" x14ac:dyDescent="0.25">
      <c r="B164" t="s">
        <v>361</v>
      </c>
      <c r="C164" t="s">
        <v>107</v>
      </c>
      <c r="D164" t="str">
        <f>VLOOKUP(B164,$A$5:$A$50,1,0)</f>
        <v>Malta</v>
      </c>
      <c r="E164" t="s">
        <v>110</v>
      </c>
      <c r="F164">
        <v>3.1255578927759191</v>
      </c>
    </row>
    <row r="165" spans="2:6" hidden="1" x14ac:dyDescent="0.25">
      <c r="B165" t="s">
        <v>387</v>
      </c>
      <c r="C165" t="s">
        <v>59</v>
      </c>
      <c r="D165" t="e">
        <f t="shared" si="3"/>
        <v>#N/A</v>
      </c>
      <c r="E165" t="s">
        <v>110</v>
      </c>
      <c r="F165">
        <v>0.63408034839097427</v>
      </c>
    </row>
    <row r="166" spans="2:6" hidden="1" x14ac:dyDescent="0.25">
      <c r="B166" t="s">
        <v>88</v>
      </c>
      <c r="C166" t="s">
        <v>502</v>
      </c>
      <c r="D166" t="e">
        <f t="shared" si="3"/>
        <v>#N/A</v>
      </c>
      <c r="E166" t="s">
        <v>110</v>
      </c>
      <c r="F166">
        <v>3.3290560870232522</v>
      </c>
    </row>
    <row r="167" spans="2:6" hidden="1" x14ac:dyDescent="0.25">
      <c r="B167" t="s">
        <v>366</v>
      </c>
      <c r="C167" t="s">
        <v>176</v>
      </c>
      <c r="D167" t="e">
        <f t="shared" si="3"/>
        <v>#N/A</v>
      </c>
      <c r="E167" t="s">
        <v>110</v>
      </c>
      <c r="F167">
        <v>4.0675609120143701</v>
      </c>
    </row>
    <row r="168" spans="2:6" hidden="1" x14ac:dyDescent="0.25">
      <c r="B168" t="s">
        <v>359</v>
      </c>
      <c r="C168" t="s">
        <v>432</v>
      </c>
      <c r="D168" t="e">
        <f t="shared" si="3"/>
        <v>#N/A</v>
      </c>
      <c r="E168" t="s">
        <v>110</v>
      </c>
      <c r="F168">
        <v>6.4306453350979798</v>
      </c>
    </row>
    <row r="169" spans="2:6" hidden="1" x14ac:dyDescent="0.25">
      <c r="B169" t="s">
        <v>163</v>
      </c>
      <c r="C169" t="s">
        <v>560</v>
      </c>
      <c r="D169" t="e">
        <f t="shared" si="3"/>
        <v>#N/A</v>
      </c>
      <c r="E169" t="s">
        <v>110</v>
      </c>
    </row>
    <row r="170" spans="2:6" hidden="1" x14ac:dyDescent="0.25">
      <c r="B170" t="s">
        <v>553</v>
      </c>
      <c r="C170" t="s">
        <v>128</v>
      </c>
      <c r="D170" t="e">
        <f t="shared" si="3"/>
        <v>#N/A</v>
      </c>
      <c r="E170" t="s">
        <v>110</v>
      </c>
      <c r="F170">
        <v>0.22276755271521267</v>
      </c>
    </row>
    <row r="171" spans="2:6" hidden="1" x14ac:dyDescent="0.25">
      <c r="B171" t="s">
        <v>51</v>
      </c>
      <c r="C171" t="s">
        <v>374</v>
      </c>
      <c r="D171" t="e">
        <f t="shared" si="3"/>
        <v>#N/A</v>
      </c>
      <c r="E171" t="s">
        <v>110</v>
      </c>
      <c r="F171">
        <v>0.85517640583612153</v>
      </c>
    </row>
    <row r="172" spans="2:6" hidden="1" x14ac:dyDescent="0.25">
      <c r="B172" t="s">
        <v>45</v>
      </c>
      <c r="C172" t="s">
        <v>383</v>
      </c>
      <c r="D172" t="e">
        <f t="shared" si="3"/>
        <v>#N/A</v>
      </c>
      <c r="E172" t="s">
        <v>110</v>
      </c>
      <c r="F172">
        <v>2.9385141080588362</v>
      </c>
    </row>
    <row r="173" spans="2:6" hidden="1" x14ac:dyDescent="0.25">
      <c r="B173" t="s">
        <v>494</v>
      </c>
      <c r="C173" t="s">
        <v>214</v>
      </c>
      <c r="D173" t="e">
        <f t="shared" si="3"/>
        <v>#N/A</v>
      </c>
      <c r="E173" t="s">
        <v>110</v>
      </c>
      <c r="F173">
        <v>8.4636158187250371E-2</v>
      </c>
    </row>
    <row r="174" spans="2:6" hidden="1" x14ac:dyDescent="0.25">
      <c r="B174" t="s">
        <v>405</v>
      </c>
      <c r="C174" t="s">
        <v>536</v>
      </c>
      <c r="D174" t="e">
        <f t="shared" si="3"/>
        <v>#N/A</v>
      </c>
      <c r="E174" t="s">
        <v>110</v>
      </c>
      <c r="F174">
        <v>7.3837154122291526</v>
      </c>
    </row>
    <row r="175" spans="2:6" hidden="1" x14ac:dyDescent="0.25">
      <c r="B175" t="s">
        <v>196</v>
      </c>
      <c r="C175" t="s">
        <v>604</v>
      </c>
      <c r="D175" t="e">
        <f t="shared" si="3"/>
        <v>#N/A</v>
      </c>
      <c r="E175" t="s">
        <v>110</v>
      </c>
      <c r="F175">
        <v>13.087531018117595</v>
      </c>
    </row>
    <row r="176" spans="2:6" hidden="1" x14ac:dyDescent="0.25">
      <c r="B176" t="s">
        <v>140</v>
      </c>
      <c r="C176" t="s">
        <v>235</v>
      </c>
      <c r="D176" t="e">
        <f t="shared" si="3"/>
        <v>#N/A</v>
      </c>
      <c r="E176" t="s">
        <v>110</v>
      </c>
      <c r="F176">
        <v>1.5880451472782511</v>
      </c>
    </row>
    <row r="177" spans="2:6" hidden="1" x14ac:dyDescent="0.25">
      <c r="B177" t="s">
        <v>656</v>
      </c>
      <c r="C177" t="s">
        <v>173</v>
      </c>
      <c r="D177" t="e">
        <f t="shared" si="3"/>
        <v>#N/A</v>
      </c>
      <c r="E177" t="s">
        <v>110</v>
      </c>
    </row>
    <row r="178" spans="2:6" hidden="1" x14ac:dyDescent="0.25">
      <c r="B178" t="s">
        <v>160</v>
      </c>
      <c r="C178" t="s">
        <v>129</v>
      </c>
      <c r="D178" t="e">
        <f t="shared" si="3"/>
        <v>#N/A</v>
      </c>
      <c r="E178" t="s">
        <v>110</v>
      </c>
      <c r="F178">
        <v>9.0325577691030917E-2</v>
      </c>
    </row>
    <row r="179" spans="2:6" hidden="1" x14ac:dyDescent="0.25">
      <c r="B179" t="s">
        <v>266</v>
      </c>
      <c r="C179" t="s">
        <v>625</v>
      </c>
      <c r="D179" t="e">
        <f t="shared" si="3"/>
        <v>#N/A</v>
      </c>
      <c r="E179" t="s">
        <v>110</v>
      </c>
      <c r="F179">
        <v>0.53751017538955093</v>
      </c>
    </row>
    <row r="180" spans="2:6" hidden="1" x14ac:dyDescent="0.25">
      <c r="B180" t="s">
        <v>550</v>
      </c>
      <c r="C180" t="s">
        <v>190</v>
      </c>
      <c r="D180" t="e">
        <f t="shared" si="3"/>
        <v>#N/A</v>
      </c>
      <c r="E180" t="s">
        <v>110</v>
      </c>
      <c r="F180">
        <v>0.6782521042733789</v>
      </c>
    </row>
    <row r="181" spans="2:6" x14ac:dyDescent="0.25">
      <c r="B181" t="s">
        <v>14</v>
      </c>
      <c r="C181" t="s">
        <v>469</v>
      </c>
      <c r="D181" t="str">
        <f>VLOOKUP(B181,$A$5:$A$50,1,0)</f>
        <v>Netherlands</v>
      </c>
      <c r="E181" t="s">
        <v>110</v>
      </c>
      <c r="F181">
        <v>7.4715534787718951</v>
      </c>
    </row>
    <row r="182" spans="2:6" x14ac:dyDescent="0.25">
      <c r="B182" t="s">
        <v>619</v>
      </c>
      <c r="C182" t="s">
        <v>546</v>
      </c>
      <c r="D182" t="str">
        <f>VLOOKUP(B182,$A$5:$A$50,1,0)</f>
        <v>Norway</v>
      </c>
      <c r="E182" t="s">
        <v>110</v>
      </c>
      <c r="F182">
        <v>6.7250800496330969</v>
      </c>
    </row>
    <row r="183" spans="2:6" hidden="1" x14ac:dyDescent="0.25">
      <c r="B183" t="s">
        <v>186</v>
      </c>
      <c r="C183" t="s">
        <v>654</v>
      </c>
      <c r="D183" t="e">
        <f t="shared" si="3"/>
        <v>#N/A</v>
      </c>
      <c r="E183" t="s">
        <v>110</v>
      </c>
      <c r="F183">
        <v>0.50936624735460378</v>
      </c>
    </row>
    <row r="184" spans="2:6" hidden="1" x14ac:dyDescent="0.25">
      <c r="B184" t="s">
        <v>94</v>
      </c>
      <c r="C184" t="s">
        <v>236</v>
      </c>
      <c r="D184" t="e">
        <f t="shared" si="3"/>
        <v>#N/A</v>
      </c>
      <c r="E184" t="s">
        <v>110</v>
      </c>
      <c r="F184">
        <v>3.361753958587089</v>
      </c>
    </row>
    <row r="185" spans="2:6" hidden="1" x14ac:dyDescent="0.25">
      <c r="B185" t="s">
        <v>510</v>
      </c>
      <c r="C185" t="s">
        <v>257</v>
      </c>
      <c r="D185" t="e">
        <f t="shared" si="3"/>
        <v>#N/A</v>
      </c>
      <c r="E185" t="s">
        <v>110</v>
      </c>
      <c r="F185">
        <v>6.1607991827433111</v>
      </c>
    </row>
    <row r="186" spans="2:6" hidden="1" x14ac:dyDescent="0.25">
      <c r="B186" t="s">
        <v>302</v>
      </c>
      <c r="C186" t="s">
        <v>596</v>
      </c>
      <c r="D186" t="e">
        <f t="shared" si="3"/>
        <v>#N/A</v>
      </c>
      <c r="E186" t="s">
        <v>110</v>
      </c>
      <c r="F186">
        <v>7.7186989852522059</v>
      </c>
    </row>
    <row r="187" spans="2:6" hidden="1" x14ac:dyDescent="0.25">
      <c r="B187" t="s">
        <v>636</v>
      </c>
      <c r="C187" t="s">
        <v>517</v>
      </c>
      <c r="D187" t="e">
        <f t="shared" si="3"/>
        <v>#N/A</v>
      </c>
      <c r="E187" t="s">
        <v>110</v>
      </c>
      <c r="F187">
        <v>15.636201002817495</v>
      </c>
    </row>
    <row r="188" spans="2:6" hidden="1" x14ac:dyDescent="0.25">
      <c r="B188" t="s">
        <v>634</v>
      </c>
      <c r="C188" t="s">
        <v>376</v>
      </c>
      <c r="D188" t="e">
        <f t="shared" si="3"/>
        <v>#N/A</v>
      </c>
      <c r="E188" t="s">
        <v>110</v>
      </c>
      <c r="F188">
        <v>13.114687150843638</v>
      </c>
    </row>
    <row r="189" spans="2:6" hidden="1" x14ac:dyDescent="0.25">
      <c r="B189" t="s">
        <v>670</v>
      </c>
      <c r="C189" t="s">
        <v>123</v>
      </c>
      <c r="D189" t="e">
        <f t="shared" si="3"/>
        <v>#N/A</v>
      </c>
      <c r="E189" t="s">
        <v>110</v>
      </c>
      <c r="F189">
        <v>0.81036021551030968</v>
      </c>
    </row>
    <row r="190" spans="2:6" hidden="1" x14ac:dyDescent="0.25">
      <c r="B190" t="s">
        <v>492</v>
      </c>
      <c r="C190" t="s">
        <v>416</v>
      </c>
      <c r="D190" t="e">
        <f t="shared" si="3"/>
        <v>#N/A</v>
      </c>
      <c r="E190" t="s">
        <v>110</v>
      </c>
      <c r="F190">
        <v>2.2314430248165285</v>
      </c>
    </row>
    <row r="191" spans="2:6" hidden="1" x14ac:dyDescent="0.25">
      <c r="B191" t="s">
        <v>447</v>
      </c>
      <c r="C191" t="s">
        <v>258</v>
      </c>
      <c r="D191" t="e">
        <f t="shared" si="3"/>
        <v>#N/A</v>
      </c>
      <c r="E191" t="s">
        <v>110</v>
      </c>
      <c r="F191">
        <v>1.3985660186190825</v>
      </c>
    </row>
    <row r="192" spans="2:6" hidden="1" x14ac:dyDescent="0.25">
      <c r="B192" t="s">
        <v>246</v>
      </c>
      <c r="C192" t="s">
        <v>530</v>
      </c>
      <c r="D192" t="e">
        <f t="shared" si="3"/>
        <v>#N/A</v>
      </c>
      <c r="E192" t="s">
        <v>110</v>
      </c>
      <c r="F192">
        <v>1.1896794516728382</v>
      </c>
    </row>
    <row r="193" spans="2:6" hidden="1" x14ac:dyDescent="0.25">
      <c r="B193" t="s">
        <v>618</v>
      </c>
      <c r="C193" t="s">
        <v>340</v>
      </c>
      <c r="D193" t="e">
        <f t="shared" si="3"/>
        <v>#N/A</v>
      </c>
      <c r="E193" t="s">
        <v>110</v>
      </c>
      <c r="F193">
        <v>8.8025817939016235</v>
      </c>
    </row>
    <row r="194" spans="2:6" hidden="1" x14ac:dyDescent="0.25">
      <c r="B194" t="s">
        <v>407</v>
      </c>
      <c r="C194" t="s">
        <v>228</v>
      </c>
      <c r="D194" t="e">
        <f t="shared" si="3"/>
        <v>#N/A</v>
      </c>
      <c r="E194" t="s">
        <v>110</v>
      </c>
      <c r="F194">
        <v>0.56325156621167549</v>
      </c>
    </row>
    <row r="195" spans="2:6" x14ac:dyDescent="0.25">
      <c r="B195" t="s">
        <v>65</v>
      </c>
      <c r="C195" t="s">
        <v>37</v>
      </c>
      <c r="D195" t="str">
        <f>VLOOKUP(B195,$A$5:$A$50,1,0)</f>
        <v>Poland</v>
      </c>
      <c r="E195" t="s">
        <v>110</v>
      </c>
      <c r="F195">
        <v>7.3675633729270924</v>
      </c>
    </row>
    <row r="196" spans="2:6" hidden="1" x14ac:dyDescent="0.25">
      <c r="B196" t="s">
        <v>205</v>
      </c>
      <c r="C196" t="s">
        <v>256</v>
      </c>
      <c r="D196" t="e">
        <f t="shared" si="3"/>
        <v>#N/A</v>
      </c>
      <c r="E196" t="s">
        <v>110</v>
      </c>
      <c r="F196">
        <v>0.47702461465477386</v>
      </c>
    </row>
    <row r="197" spans="2:6" hidden="1" x14ac:dyDescent="0.25">
      <c r="B197" t="s">
        <v>508</v>
      </c>
      <c r="C197" t="s">
        <v>626</v>
      </c>
      <c r="D197" t="e">
        <f t="shared" si="3"/>
        <v>#N/A</v>
      </c>
      <c r="E197" t="s">
        <v>110</v>
      </c>
    </row>
    <row r="198" spans="2:6" hidden="1" x14ac:dyDescent="0.25">
      <c r="B198" t="s">
        <v>476</v>
      </c>
      <c r="C198" t="s">
        <v>52</v>
      </c>
      <c r="D198" t="e">
        <f t="shared" ref="D198:D261" si="4">VLOOKUP(B198,$A$5:$A$50,1,0)</f>
        <v>#N/A</v>
      </c>
      <c r="E198" t="s">
        <v>110</v>
      </c>
      <c r="F198">
        <v>2.0271486187650298</v>
      </c>
    </row>
    <row r="199" spans="2:6" x14ac:dyDescent="0.25">
      <c r="B199" t="s">
        <v>388</v>
      </c>
      <c r="C199" t="s">
        <v>170</v>
      </c>
      <c r="D199" t="str">
        <f>VLOOKUP(B199,$A$5:$A$50,1,0)</f>
        <v>Portugal</v>
      </c>
      <c r="E199" t="s">
        <v>110</v>
      </c>
      <c r="F199">
        <v>3.7849075869171078</v>
      </c>
    </row>
    <row r="200" spans="2:6" hidden="1" x14ac:dyDescent="0.25">
      <c r="B200" t="s">
        <v>445</v>
      </c>
      <c r="C200" t="s">
        <v>62</v>
      </c>
      <c r="D200" t="e">
        <f t="shared" si="4"/>
        <v>#N/A</v>
      </c>
      <c r="E200" t="s">
        <v>110</v>
      </c>
      <c r="F200">
        <v>1.14459119207034</v>
      </c>
    </row>
    <row r="201" spans="2:6" hidden="1" x14ac:dyDescent="0.25">
      <c r="B201" t="s">
        <v>77</v>
      </c>
      <c r="C201" t="s">
        <v>175</v>
      </c>
      <c r="D201" t="e">
        <f t="shared" si="4"/>
        <v>#N/A</v>
      </c>
      <c r="E201" t="s">
        <v>110</v>
      </c>
    </row>
    <row r="202" spans="2:6" hidden="1" x14ac:dyDescent="0.25">
      <c r="B202" t="s">
        <v>120</v>
      </c>
      <c r="C202" t="s">
        <v>182</v>
      </c>
      <c r="D202" t="e">
        <f t="shared" si="4"/>
        <v>#N/A</v>
      </c>
      <c r="E202" t="s">
        <v>110</v>
      </c>
      <c r="F202">
        <v>0.84852106829503759</v>
      </c>
    </row>
    <row r="203" spans="2:6" hidden="1" x14ac:dyDescent="0.25">
      <c r="B203" t="s">
        <v>540</v>
      </c>
      <c r="C203" t="s">
        <v>243</v>
      </c>
      <c r="D203" t="e">
        <f t="shared" si="4"/>
        <v>#N/A</v>
      </c>
      <c r="E203" t="s">
        <v>110</v>
      </c>
      <c r="F203">
        <v>8.550843951334242</v>
      </c>
    </row>
    <row r="204" spans="2:6" hidden="1" x14ac:dyDescent="0.25">
      <c r="B204" t="s">
        <v>321</v>
      </c>
      <c r="C204" t="s">
        <v>528</v>
      </c>
      <c r="D204" t="e">
        <f t="shared" si="4"/>
        <v>#N/A</v>
      </c>
      <c r="E204" t="s">
        <v>110</v>
      </c>
    </row>
    <row r="205" spans="2:6" hidden="1" x14ac:dyDescent="0.25">
      <c r="B205" t="s">
        <v>561</v>
      </c>
      <c r="C205" t="s">
        <v>22</v>
      </c>
      <c r="D205" t="e">
        <f t="shared" si="4"/>
        <v>#N/A</v>
      </c>
      <c r="E205" t="s">
        <v>110</v>
      </c>
      <c r="F205">
        <v>31.726842451324725</v>
      </c>
    </row>
    <row r="206" spans="2:6" x14ac:dyDescent="0.25">
      <c r="B206" t="s">
        <v>503</v>
      </c>
      <c r="C206" t="s">
        <v>293</v>
      </c>
      <c r="D206" t="str">
        <f>VLOOKUP(B206,$A$5:$A$50,1,0)</f>
        <v>Romania</v>
      </c>
      <c r="E206" t="s">
        <v>110</v>
      </c>
      <c r="F206">
        <v>3.5641375014598826</v>
      </c>
    </row>
    <row r="207" spans="2:6" hidden="1" x14ac:dyDescent="0.25">
      <c r="B207" t="s">
        <v>2</v>
      </c>
      <c r="C207" t="s">
        <v>312</v>
      </c>
      <c r="D207" t="e">
        <f t="shared" si="4"/>
        <v>#N/A</v>
      </c>
      <c r="E207" t="s">
        <v>110</v>
      </c>
      <c r="F207">
        <v>11.141652731835144</v>
      </c>
    </row>
    <row r="208" spans="2:6" hidden="1" x14ac:dyDescent="0.25">
      <c r="B208" t="s">
        <v>237</v>
      </c>
      <c r="C208" t="s">
        <v>84</v>
      </c>
      <c r="D208" t="e">
        <f t="shared" si="4"/>
        <v>#N/A</v>
      </c>
      <c r="E208" t="s">
        <v>110</v>
      </c>
      <c r="F208">
        <v>0.10512414004726174</v>
      </c>
    </row>
    <row r="209" spans="2:6" hidden="1" x14ac:dyDescent="0.25">
      <c r="B209" t="s">
        <v>80</v>
      </c>
      <c r="C209" t="s">
        <v>115</v>
      </c>
      <c r="D209" t="e">
        <f t="shared" si="4"/>
        <v>#N/A</v>
      </c>
      <c r="E209" t="s">
        <v>110</v>
      </c>
      <c r="F209">
        <v>1.33779148421422</v>
      </c>
    </row>
    <row r="210" spans="2:6" hidden="1" x14ac:dyDescent="0.25">
      <c r="B210" t="s">
        <v>431</v>
      </c>
      <c r="C210" t="s">
        <v>216</v>
      </c>
      <c r="D210" t="e">
        <f t="shared" si="4"/>
        <v>#N/A</v>
      </c>
      <c r="E210" t="s">
        <v>110</v>
      </c>
      <c r="F210">
        <v>14.266585367540786</v>
      </c>
    </row>
    <row r="211" spans="2:6" hidden="1" x14ac:dyDescent="0.25">
      <c r="B211" t="s">
        <v>201</v>
      </c>
      <c r="C211" t="s">
        <v>417</v>
      </c>
      <c r="D211" t="e">
        <f t="shared" si="4"/>
        <v>#N/A</v>
      </c>
      <c r="E211" t="s">
        <v>110</v>
      </c>
      <c r="F211">
        <v>0.46795392831662552</v>
      </c>
    </row>
    <row r="212" spans="2:6" hidden="1" x14ac:dyDescent="0.25">
      <c r="B212" t="s">
        <v>29</v>
      </c>
      <c r="C212" t="s">
        <v>509</v>
      </c>
      <c r="D212" t="e">
        <f t="shared" si="4"/>
        <v>#N/A</v>
      </c>
      <c r="E212" t="s">
        <v>110</v>
      </c>
      <c r="F212">
        <v>0.649800561203009</v>
      </c>
    </row>
    <row r="213" spans="2:6" hidden="1" x14ac:dyDescent="0.25">
      <c r="B213" t="s">
        <v>460</v>
      </c>
      <c r="C213" t="s">
        <v>73</v>
      </c>
      <c r="D213" t="e">
        <f t="shared" si="4"/>
        <v>#N/A</v>
      </c>
      <c r="E213" t="s">
        <v>110</v>
      </c>
      <c r="F213">
        <v>7.6866837020672705</v>
      </c>
    </row>
    <row r="214" spans="2:6" hidden="1" x14ac:dyDescent="0.25">
      <c r="B214" t="s">
        <v>91</v>
      </c>
      <c r="C214" t="s">
        <v>278</v>
      </c>
      <c r="D214" t="e">
        <f t="shared" si="4"/>
        <v>#N/A</v>
      </c>
      <c r="E214" t="s">
        <v>110</v>
      </c>
      <c r="F214">
        <v>0.32306554917526414</v>
      </c>
    </row>
    <row r="215" spans="2:6" hidden="1" x14ac:dyDescent="0.25">
      <c r="B215" t="s">
        <v>640</v>
      </c>
      <c r="C215" t="s">
        <v>588</v>
      </c>
      <c r="D215" t="e">
        <f t="shared" si="4"/>
        <v>#N/A</v>
      </c>
      <c r="E215" t="s">
        <v>110</v>
      </c>
      <c r="F215">
        <v>0.12727760727814164</v>
      </c>
    </row>
    <row r="216" spans="2:6" hidden="1" x14ac:dyDescent="0.25">
      <c r="B216" t="s">
        <v>523</v>
      </c>
      <c r="C216" t="s">
        <v>85</v>
      </c>
      <c r="D216" t="e">
        <f t="shared" si="4"/>
        <v>#N/A</v>
      </c>
      <c r="E216" t="s">
        <v>110</v>
      </c>
      <c r="F216">
        <v>1.0132802435063568</v>
      </c>
    </row>
    <row r="217" spans="2:6" hidden="1" x14ac:dyDescent="0.25">
      <c r="B217" t="s">
        <v>410</v>
      </c>
      <c r="C217" t="s">
        <v>471</v>
      </c>
      <c r="D217" t="e">
        <f t="shared" si="4"/>
        <v>#N/A</v>
      </c>
      <c r="E217" t="s">
        <v>110</v>
      </c>
    </row>
    <row r="218" spans="2:6" hidden="1" x14ac:dyDescent="0.25">
      <c r="B218" t="s">
        <v>488</v>
      </c>
      <c r="C218" t="s">
        <v>28</v>
      </c>
      <c r="D218" t="e">
        <f t="shared" si="4"/>
        <v>#N/A</v>
      </c>
      <c r="E218" t="s">
        <v>110</v>
      </c>
      <c r="F218">
        <v>3.9934653265135615E-2</v>
      </c>
    </row>
    <row r="219" spans="2:6" hidden="1" x14ac:dyDescent="0.25">
      <c r="B219" t="s">
        <v>283</v>
      </c>
      <c r="C219" t="s">
        <v>399</v>
      </c>
      <c r="D219" t="e">
        <f t="shared" si="4"/>
        <v>#N/A</v>
      </c>
      <c r="E219" t="s">
        <v>110</v>
      </c>
      <c r="F219">
        <v>6.7145171721751424</v>
      </c>
    </row>
    <row r="220" spans="2:6" hidden="1" x14ac:dyDescent="0.25">
      <c r="B220" t="s">
        <v>53</v>
      </c>
      <c r="C220" t="s">
        <v>412</v>
      </c>
      <c r="D220" t="e">
        <f t="shared" si="4"/>
        <v>#N/A</v>
      </c>
      <c r="E220" t="s">
        <v>110</v>
      </c>
      <c r="F220">
        <v>0.66041263287585261</v>
      </c>
    </row>
    <row r="221" spans="2:6" hidden="1" x14ac:dyDescent="0.25">
      <c r="B221" t="s">
        <v>249</v>
      </c>
      <c r="C221" t="s">
        <v>55</v>
      </c>
      <c r="D221" t="e">
        <f t="shared" si="4"/>
        <v>#N/A</v>
      </c>
      <c r="E221" t="s">
        <v>110</v>
      </c>
      <c r="F221">
        <v>0.1643091365100898</v>
      </c>
    </row>
    <row r="222" spans="2:6" hidden="1" x14ac:dyDescent="0.25">
      <c r="B222" t="s">
        <v>275</v>
      </c>
      <c r="C222" t="s">
        <v>165</v>
      </c>
      <c r="D222" t="e">
        <f t="shared" si="4"/>
        <v>#N/A</v>
      </c>
      <c r="E222" t="s">
        <v>110</v>
      </c>
      <c r="F222">
        <v>0.66087617277571831</v>
      </c>
    </row>
    <row r="223" spans="2:6" hidden="1" x14ac:dyDescent="0.25">
      <c r="B223" t="s">
        <v>38</v>
      </c>
      <c r="C223" t="s">
        <v>171</v>
      </c>
      <c r="D223" t="e">
        <f t="shared" si="4"/>
        <v>#N/A</v>
      </c>
      <c r="E223" t="s">
        <v>110</v>
      </c>
      <c r="F223">
        <v>11.094580323975604</v>
      </c>
    </row>
    <row r="224" spans="2:6" hidden="1" x14ac:dyDescent="0.25">
      <c r="B224" t="s">
        <v>222</v>
      </c>
      <c r="C224" t="s">
        <v>402</v>
      </c>
      <c r="D224" t="e">
        <f t="shared" si="4"/>
        <v>#N/A</v>
      </c>
      <c r="E224" t="s">
        <v>110</v>
      </c>
      <c r="F224">
        <v>0.6453501401841375</v>
      </c>
    </row>
    <row r="225" spans="2:6" hidden="1" x14ac:dyDescent="0.25">
      <c r="B225" t="s">
        <v>464</v>
      </c>
      <c r="C225" t="s">
        <v>58</v>
      </c>
      <c r="D225" t="e">
        <f t="shared" si="4"/>
        <v>#N/A</v>
      </c>
      <c r="E225" t="s">
        <v>110</v>
      </c>
      <c r="F225">
        <v>4.2850765568761169</v>
      </c>
    </row>
    <row r="226" spans="2:6" hidden="1" x14ac:dyDescent="0.25">
      <c r="B226" t="s">
        <v>343</v>
      </c>
      <c r="C226" t="s">
        <v>136</v>
      </c>
      <c r="D226" t="e">
        <f t="shared" si="4"/>
        <v>#N/A</v>
      </c>
      <c r="E226" t="s">
        <v>110</v>
      </c>
      <c r="F226">
        <v>5.3190548079285165</v>
      </c>
    </row>
    <row r="227" spans="2:6" x14ac:dyDescent="0.25">
      <c r="B227" t="s">
        <v>334</v>
      </c>
      <c r="C227" t="s">
        <v>294</v>
      </c>
      <c r="D227" t="str">
        <f>VLOOKUP(B227,$A$5:$A$50,1,0)</f>
        <v>Slovenia</v>
      </c>
      <c r="E227" t="s">
        <v>110</v>
      </c>
      <c r="F227">
        <v>5.9347351788582579</v>
      </c>
    </row>
    <row r="228" spans="2:6" x14ac:dyDescent="0.25">
      <c r="B228" t="s">
        <v>63</v>
      </c>
      <c r="C228" t="s">
        <v>252</v>
      </c>
      <c r="D228" t="str">
        <f>VLOOKUP(B228,$A$5:$A$50,1,0)</f>
        <v>Sweden</v>
      </c>
      <c r="E228" t="s">
        <v>110</v>
      </c>
      <c r="F228">
        <v>3.242989143127474</v>
      </c>
    </row>
    <row r="229" spans="2:6" hidden="1" x14ac:dyDescent="0.25">
      <c r="B229" t="s">
        <v>599</v>
      </c>
      <c r="C229" t="s">
        <v>126</v>
      </c>
      <c r="D229" t="e">
        <f t="shared" si="4"/>
        <v>#N/A</v>
      </c>
      <c r="E229" t="s">
        <v>110</v>
      </c>
      <c r="F229">
        <v>0.97208752768590312</v>
      </c>
    </row>
    <row r="230" spans="2:6" hidden="1" x14ac:dyDescent="0.25">
      <c r="B230" t="s">
        <v>327</v>
      </c>
      <c r="C230" t="s">
        <v>373</v>
      </c>
      <c r="D230" t="e">
        <f t="shared" si="4"/>
        <v>#N/A</v>
      </c>
      <c r="E230" t="s">
        <v>110</v>
      </c>
    </row>
    <row r="231" spans="2:6" hidden="1" x14ac:dyDescent="0.25">
      <c r="B231" t="s">
        <v>456</v>
      </c>
      <c r="C231" t="s">
        <v>139</v>
      </c>
      <c r="D231" t="e">
        <f t="shared" si="4"/>
        <v>#N/A</v>
      </c>
      <c r="E231" t="s">
        <v>110</v>
      </c>
      <c r="F231">
        <v>6.0805183725701291</v>
      </c>
    </row>
    <row r="232" spans="2:6" hidden="1" x14ac:dyDescent="0.25">
      <c r="B232" t="s">
        <v>159</v>
      </c>
      <c r="C232" t="s">
        <v>193</v>
      </c>
      <c r="D232" t="e">
        <f t="shared" si="4"/>
        <v>#N/A</v>
      </c>
      <c r="E232" t="s">
        <v>110</v>
      </c>
      <c r="F232">
        <v>1.2148024837532334</v>
      </c>
    </row>
    <row r="233" spans="2:6" hidden="1" x14ac:dyDescent="0.25">
      <c r="B233" t="s">
        <v>113</v>
      </c>
      <c r="C233" t="s">
        <v>202</v>
      </c>
      <c r="D233" t="e">
        <f t="shared" si="4"/>
        <v>#N/A</v>
      </c>
      <c r="E233" t="s">
        <v>110</v>
      </c>
    </row>
    <row r="234" spans="2:6" hidden="1" x14ac:dyDescent="0.25">
      <c r="B234" t="s">
        <v>557</v>
      </c>
      <c r="C234" t="s">
        <v>532</v>
      </c>
      <c r="D234" t="e">
        <f t="shared" si="4"/>
        <v>#N/A</v>
      </c>
      <c r="E234" t="s">
        <v>110</v>
      </c>
      <c r="F234">
        <v>9.4228187096902505E-2</v>
      </c>
    </row>
    <row r="235" spans="2:6" hidden="1" x14ac:dyDescent="0.25">
      <c r="B235" t="s">
        <v>648</v>
      </c>
      <c r="C235" t="s">
        <v>335</v>
      </c>
      <c r="D235" t="e">
        <f t="shared" si="4"/>
        <v>#N/A</v>
      </c>
      <c r="E235" t="s">
        <v>110</v>
      </c>
      <c r="F235">
        <v>6.0311697949863072</v>
      </c>
    </row>
    <row r="236" spans="2:6" hidden="1" x14ac:dyDescent="0.25">
      <c r="B236" t="s">
        <v>440</v>
      </c>
      <c r="C236" t="s">
        <v>465</v>
      </c>
      <c r="D236" t="e">
        <f t="shared" si="4"/>
        <v>#N/A</v>
      </c>
      <c r="E236" t="s">
        <v>110</v>
      </c>
      <c r="F236">
        <v>6.9093653092109246</v>
      </c>
    </row>
    <row r="237" spans="2:6" hidden="1" x14ac:dyDescent="0.25">
      <c r="B237" t="s">
        <v>227</v>
      </c>
      <c r="C237" t="s">
        <v>344</v>
      </c>
      <c r="D237" t="e">
        <f t="shared" si="4"/>
        <v>#N/A</v>
      </c>
      <c r="E237" t="s">
        <v>110</v>
      </c>
      <c r="F237">
        <v>0.28606184365442788</v>
      </c>
    </row>
    <row r="238" spans="2:6" hidden="1" x14ac:dyDescent="0.25">
      <c r="B238" t="s">
        <v>506</v>
      </c>
      <c r="C238" t="s">
        <v>403</v>
      </c>
      <c r="D238" t="e">
        <f t="shared" si="4"/>
        <v>#N/A</v>
      </c>
      <c r="E238" t="s">
        <v>110</v>
      </c>
      <c r="F238">
        <v>3.7142558060041249</v>
      </c>
    </row>
    <row r="239" spans="2:6" hidden="1" x14ac:dyDescent="0.25">
      <c r="B239" t="s">
        <v>40</v>
      </c>
      <c r="C239" t="s">
        <v>42</v>
      </c>
      <c r="D239" t="e">
        <f t="shared" si="4"/>
        <v>#N/A</v>
      </c>
      <c r="E239" t="s">
        <v>110</v>
      </c>
      <c r="F239">
        <v>0.97753302427580147</v>
      </c>
    </row>
    <row r="240" spans="2:6" hidden="1" x14ac:dyDescent="0.25">
      <c r="B240" t="s">
        <v>475</v>
      </c>
      <c r="C240" t="s">
        <v>233</v>
      </c>
      <c r="D240" t="e">
        <f t="shared" si="4"/>
        <v>#N/A</v>
      </c>
      <c r="E240" t="s">
        <v>110</v>
      </c>
      <c r="F240">
        <v>10.184086299232149</v>
      </c>
    </row>
    <row r="241" spans="2:6" hidden="1" x14ac:dyDescent="0.25">
      <c r="B241" t="s">
        <v>134</v>
      </c>
      <c r="C241" t="s">
        <v>558</v>
      </c>
      <c r="D241" t="e">
        <f t="shared" si="4"/>
        <v>#N/A</v>
      </c>
      <c r="E241" t="s">
        <v>110</v>
      </c>
      <c r="F241">
        <v>2.2209237839299503</v>
      </c>
    </row>
    <row r="242" spans="2:6" hidden="1" x14ac:dyDescent="0.25">
      <c r="B242" t="s">
        <v>613</v>
      </c>
      <c r="C242" t="s">
        <v>250</v>
      </c>
      <c r="D242" t="e">
        <f t="shared" si="4"/>
        <v>#N/A</v>
      </c>
      <c r="E242" t="s">
        <v>110</v>
      </c>
      <c r="F242">
        <v>0.34315516598140766</v>
      </c>
    </row>
    <row r="243" spans="2:6" hidden="1" x14ac:dyDescent="0.25">
      <c r="B243" t="s">
        <v>118</v>
      </c>
      <c r="C243" t="s">
        <v>420</v>
      </c>
      <c r="D243" t="e">
        <f t="shared" si="4"/>
        <v>#N/A</v>
      </c>
      <c r="E243" t="s">
        <v>110</v>
      </c>
      <c r="F243">
        <v>3.3683437592224341</v>
      </c>
    </row>
    <row r="244" spans="2:6" hidden="1" x14ac:dyDescent="0.25">
      <c r="B244" t="s">
        <v>591</v>
      </c>
      <c r="C244" t="s">
        <v>572</v>
      </c>
      <c r="D244" t="e">
        <f t="shared" si="4"/>
        <v>#N/A</v>
      </c>
      <c r="E244" t="s">
        <v>110</v>
      </c>
      <c r="F244">
        <v>1.1220476181427785</v>
      </c>
    </row>
    <row r="245" spans="2:6" hidden="1" x14ac:dyDescent="0.25">
      <c r="B245" t="s">
        <v>8</v>
      </c>
      <c r="C245" t="s">
        <v>81</v>
      </c>
      <c r="D245" t="e">
        <f t="shared" si="4"/>
        <v>#N/A</v>
      </c>
      <c r="E245" t="s">
        <v>110</v>
      </c>
      <c r="F245">
        <v>1.33779148421422</v>
      </c>
    </row>
    <row r="246" spans="2:6" hidden="1" x14ac:dyDescent="0.25">
      <c r="B246" t="s">
        <v>208</v>
      </c>
      <c r="C246" t="s">
        <v>457</v>
      </c>
      <c r="D246" t="e">
        <f t="shared" si="4"/>
        <v>#N/A</v>
      </c>
      <c r="E246" t="s">
        <v>110</v>
      </c>
      <c r="F246">
        <v>0.66087617277571831</v>
      </c>
    </row>
    <row r="247" spans="2:6" hidden="1" x14ac:dyDescent="0.25">
      <c r="B247" t="s">
        <v>605</v>
      </c>
      <c r="C247" t="s">
        <v>156</v>
      </c>
      <c r="D247" t="e">
        <f t="shared" si="4"/>
        <v>#N/A</v>
      </c>
      <c r="E247" t="s">
        <v>110</v>
      </c>
      <c r="F247">
        <v>10.15711917225407</v>
      </c>
    </row>
    <row r="248" spans="2:6" hidden="1" x14ac:dyDescent="0.25">
      <c r="B248" t="s">
        <v>184</v>
      </c>
      <c r="C248" t="s">
        <v>19</v>
      </c>
      <c r="D248" t="e">
        <f t="shared" si="4"/>
        <v>#N/A</v>
      </c>
      <c r="E248" t="s">
        <v>110</v>
      </c>
      <c r="F248">
        <v>2.4086225282388032</v>
      </c>
    </row>
    <row r="249" spans="2:6" hidden="1" x14ac:dyDescent="0.25">
      <c r="B249" t="s">
        <v>109</v>
      </c>
      <c r="C249" t="s">
        <v>386</v>
      </c>
      <c r="D249" t="e">
        <f t="shared" si="4"/>
        <v>#N/A</v>
      </c>
      <c r="E249" t="s">
        <v>110</v>
      </c>
      <c r="F249">
        <v>4.8858639260833048</v>
      </c>
    </row>
    <row r="250" spans="2:6" hidden="1" x14ac:dyDescent="0.25">
      <c r="B250" t="s">
        <v>397</v>
      </c>
      <c r="C250" t="s">
        <v>87</v>
      </c>
      <c r="D250" t="e">
        <f t="shared" si="4"/>
        <v>#N/A</v>
      </c>
      <c r="E250" t="s">
        <v>110</v>
      </c>
      <c r="F250">
        <v>0.59625982473574846</v>
      </c>
    </row>
    <row r="251" spans="2:6" hidden="1" x14ac:dyDescent="0.25">
      <c r="B251" t="s">
        <v>519</v>
      </c>
      <c r="C251" t="s">
        <v>418</v>
      </c>
      <c r="D251" t="e">
        <f t="shared" si="4"/>
        <v>#N/A</v>
      </c>
      <c r="E251" t="s">
        <v>110</v>
      </c>
      <c r="F251">
        <v>0.23394559212017504</v>
      </c>
    </row>
    <row r="252" spans="2:6" hidden="1" x14ac:dyDescent="0.25">
      <c r="B252" t="s">
        <v>633</v>
      </c>
      <c r="C252" t="s">
        <v>144</v>
      </c>
      <c r="D252" t="e">
        <f t="shared" si="4"/>
        <v>#N/A</v>
      </c>
      <c r="E252" t="s">
        <v>110</v>
      </c>
      <c r="F252">
        <v>0.12779303482694623</v>
      </c>
    </row>
    <row r="253" spans="2:6" hidden="1" x14ac:dyDescent="0.25">
      <c r="B253" t="s">
        <v>395</v>
      </c>
      <c r="C253" t="s">
        <v>462</v>
      </c>
      <c r="D253" t="e">
        <f t="shared" si="4"/>
        <v>#N/A</v>
      </c>
      <c r="E253" t="s">
        <v>110</v>
      </c>
      <c r="F253">
        <v>3.7473878451278027</v>
      </c>
    </row>
    <row r="254" spans="2:6" hidden="1" x14ac:dyDescent="0.25">
      <c r="B254" t="s">
        <v>148</v>
      </c>
      <c r="C254" t="s">
        <v>543</v>
      </c>
      <c r="D254" t="e">
        <f t="shared" si="4"/>
        <v>#N/A</v>
      </c>
      <c r="E254" t="s">
        <v>110</v>
      </c>
      <c r="F254">
        <v>5.8767895681481495</v>
      </c>
    </row>
    <row r="255" spans="2:6" hidden="1" x14ac:dyDescent="0.25">
      <c r="B255" t="s">
        <v>482</v>
      </c>
      <c r="C255" t="s">
        <v>660</v>
      </c>
      <c r="D255" t="e">
        <f t="shared" si="4"/>
        <v>#N/A</v>
      </c>
      <c r="E255" t="s">
        <v>110</v>
      </c>
      <c r="F255">
        <v>1.899719050499171</v>
      </c>
    </row>
    <row r="256" spans="2:6" hidden="1" x14ac:dyDescent="0.25">
      <c r="B256" t="s">
        <v>362</v>
      </c>
      <c r="C256" t="s">
        <v>564</v>
      </c>
      <c r="D256" t="e">
        <f t="shared" si="4"/>
        <v>#N/A</v>
      </c>
      <c r="E256" t="s">
        <v>110</v>
      </c>
      <c r="F256">
        <v>13.03222172902616</v>
      </c>
    </row>
    <row r="257" spans="2:6" hidden="1" x14ac:dyDescent="0.25">
      <c r="B257" t="s">
        <v>277</v>
      </c>
      <c r="C257" t="s">
        <v>141</v>
      </c>
      <c r="D257" t="e">
        <f t="shared" si="4"/>
        <v>#N/A</v>
      </c>
      <c r="E257" t="s">
        <v>110</v>
      </c>
      <c r="F257">
        <v>3.3763037854875768</v>
      </c>
    </row>
    <row r="258" spans="2:6" hidden="1" x14ac:dyDescent="0.25">
      <c r="B258" t="s">
        <v>48</v>
      </c>
      <c r="C258" t="s">
        <v>93</v>
      </c>
      <c r="D258" t="e">
        <f t="shared" si="4"/>
        <v>#N/A</v>
      </c>
      <c r="E258" t="s">
        <v>110</v>
      </c>
      <c r="F258">
        <v>2.1006957718480006</v>
      </c>
    </row>
    <row r="259" spans="2:6" hidden="1" x14ac:dyDescent="0.25">
      <c r="B259" t="s">
        <v>71</v>
      </c>
      <c r="C259" t="s">
        <v>285</v>
      </c>
      <c r="D259" t="e">
        <f t="shared" si="4"/>
        <v>#N/A</v>
      </c>
      <c r="E259" t="s">
        <v>110</v>
      </c>
      <c r="F259">
        <v>2.5450279783196148</v>
      </c>
    </row>
    <row r="260" spans="2:6" hidden="1" x14ac:dyDescent="0.25">
      <c r="B260" t="s">
        <v>292</v>
      </c>
      <c r="C260" t="s">
        <v>544</v>
      </c>
      <c r="D260" t="e">
        <f t="shared" si="4"/>
        <v>#N/A</v>
      </c>
      <c r="E260" t="s">
        <v>110</v>
      </c>
    </row>
    <row r="261" spans="2:6" hidden="1" x14ac:dyDescent="0.25">
      <c r="B261" t="s">
        <v>391</v>
      </c>
      <c r="C261" t="s">
        <v>125</v>
      </c>
      <c r="D261" t="e">
        <f t="shared" si="4"/>
        <v>#N/A</v>
      </c>
      <c r="E261" t="s">
        <v>110</v>
      </c>
    </row>
    <row r="262" spans="2:6" hidden="1" x14ac:dyDescent="0.25">
      <c r="B262" t="s">
        <v>354</v>
      </c>
      <c r="C262" t="s">
        <v>582</v>
      </c>
      <c r="D262" t="e">
        <f t="shared" ref="D262:D270" si="5">VLOOKUP(B262,$A$5:$A$50,1,0)</f>
        <v>#N/A</v>
      </c>
      <c r="E262" t="s">
        <v>110</v>
      </c>
      <c r="F262">
        <v>3.6764400881398434</v>
      </c>
    </row>
    <row r="263" spans="2:6" hidden="1" x14ac:dyDescent="0.25">
      <c r="B263" t="s">
        <v>580</v>
      </c>
      <c r="C263" t="s">
        <v>114</v>
      </c>
      <c r="D263" t="e">
        <f t="shared" si="5"/>
        <v>#N/A</v>
      </c>
      <c r="E263" t="s">
        <v>110</v>
      </c>
      <c r="F263">
        <v>0.38917496831737169</v>
      </c>
    </row>
    <row r="264" spans="2:6" hidden="1" x14ac:dyDescent="0.25">
      <c r="B264" t="s">
        <v>539</v>
      </c>
      <c r="C264" t="s">
        <v>651</v>
      </c>
      <c r="D264" t="e">
        <f t="shared" si="5"/>
        <v>#N/A</v>
      </c>
      <c r="E264" t="s">
        <v>110</v>
      </c>
      <c r="F264">
        <v>4.2916840446054483</v>
      </c>
    </row>
    <row r="265" spans="2:6" hidden="1" x14ac:dyDescent="0.25">
      <c r="B265" t="s">
        <v>164</v>
      </c>
      <c r="C265" t="s">
        <v>442</v>
      </c>
      <c r="D265" t="e">
        <f t="shared" si="5"/>
        <v>#N/A</v>
      </c>
      <c r="E265" t="s">
        <v>110</v>
      </c>
      <c r="F265">
        <v>0.96078239790814646</v>
      </c>
    </row>
    <row r="266" spans="2:6" hidden="1" x14ac:dyDescent="0.25">
      <c r="B266" t="s">
        <v>396</v>
      </c>
      <c r="C266" t="s">
        <v>188</v>
      </c>
      <c r="D266" t="e">
        <f t="shared" si="5"/>
        <v>#N/A</v>
      </c>
      <c r="E266" t="s">
        <v>110</v>
      </c>
    </row>
    <row r="267" spans="2:6" hidden="1" x14ac:dyDescent="0.25">
      <c r="B267" t="s">
        <v>638</v>
      </c>
      <c r="C267" t="s">
        <v>15</v>
      </c>
      <c r="D267" t="e">
        <f t="shared" si="5"/>
        <v>#N/A</v>
      </c>
      <c r="E267" t="s">
        <v>110</v>
      </c>
      <c r="F267">
        <v>0.30851461430825622</v>
      </c>
    </row>
    <row r="268" spans="2:6" hidden="1" x14ac:dyDescent="0.25">
      <c r="B268" t="s">
        <v>444</v>
      </c>
      <c r="C268" t="s">
        <v>352</v>
      </c>
      <c r="D268" t="e">
        <f t="shared" si="5"/>
        <v>#N/A</v>
      </c>
      <c r="E268" t="s">
        <v>110</v>
      </c>
      <c r="F268">
        <v>6.6875631473778059</v>
      </c>
    </row>
    <row r="269" spans="2:6" hidden="1" x14ac:dyDescent="0.25">
      <c r="B269" t="s">
        <v>9</v>
      </c>
      <c r="C269" t="s">
        <v>392</v>
      </c>
      <c r="D269" t="e">
        <f t="shared" si="5"/>
        <v>#N/A</v>
      </c>
      <c r="E269" t="s">
        <v>110</v>
      </c>
      <c r="F269">
        <v>0.40190271250386012</v>
      </c>
    </row>
    <row r="270" spans="2:6" hidden="1" x14ac:dyDescent="0.25">
      <c r="B270" t="s">
        <v>671</v>
      </c>
      <c r="C270" t="s">
        <v>308</v>
      </c>
      <c r="D270" t="e">
        <f t="shared" si="5"/>
        <v>#N/A</v>
      </c>
      <c r="E270" t="s">
        <v>110</v>
      </c>
      <c r="F270">
        <v>0.53048354700093803</v>
      </c>
    </row>
  </sheetData>
  <autoFilter ref="A4:F270" xr:uid="{17AAA5C2-49D3-4851-A3D1-1B46AD67E157}">
    <filterColumn colId="3">
      <filters>
        <filter val="Austria"/>
        <filter val="Belgium"/>
        <filter val="Bulgaria"/>
        <filter val="Croatia"/>
        <filter val="Cyprus"/>
        <filter val="Czechia"/>
        <filter val="Denmark"/>
        <filter val="Estonia"/>
        <filter val="Finland"/>
        <filter val="France"/>
        <filter val="Germany"/>
        <filter val="Greece"/>
        <filter val="Hungary"/>
        <filter val="Iceland"/>
        <filter val="Italy"/>
        <filter val="Latvia"/>
        <filter val="Liechtenstein"/>
        <filter val="Lithuania"/>
        <filter val="Luxembourg"/>
        <filter val="Malta"/>
        <filter val="Netherlands"/>
        <filter val="Norway"/>
        <filter val="Poland"/>
        <filter val="Portugal"/>
        <filter val="Romania"/>
        <filter val="Slovenia"/>
        <filter val="Spain"/>
        <filter val="Sweden"/>
        <filter val="Switzerland"/>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8A00-2BBD-431C-9293-68644089CA12}">
  <dimension ref="A1:Y34"/>
  <sheetViews>
    <sheetView zoomScale="115" zoomScaleNormal="115" workbookViewId="0">
      <selection activeCell="J1" sqref="J1"/>
    </sheetView>
  </sheetViews>
  <sheetFormatPr defaultRowHeight="15" x14ac:dyDescent="0.25"/>
  <cols>
    <col min="2" max="2" width="11.85546875" bestFit="1" customWidth="1"/>
    <col min="3" max="3" width="13" customWidth="1"/>
    <col min="4" max="4" width="17.28515625" customWidth="1"/>
    <col min="5" max="5" width="17.85546875" customWidth="1"/>
    <col min="6" max="6" width="15.85546875" customWidth="1"/>
    <col min="7" max="7" width="21" customWidth="1"/>
    <col min="8" max="8" width="12.7109375" customWidth="1"/>
    <col min="9" max="9" width="16.140625" customWidth="1"/>
    <col min="10" max="10" width="16" customWidth="1"/>
    <col min="17" max="17" width="8.85546875" customWidth="1"/>
    <col min="19" max="19" width="8.85546875" customWidth="1"/>
  </cols>
  <sheetData>
    <row r="1" spans="1:25" ht="94.9" customHeight="1" x14ac:dyDescent="0.25">
      <c r="A1" s="5" t="s">
        <v>678</v>
      </c>
      <c r="B1" s="37" t="s">
        <v>653</v>
      </c>
      <c r="C1" s="38" t="s">
        <v>680</v>
      </c>
      <c r="D1" s="38" t="s">
        <v>699</v>
      </c>
      <c r="E1" s="38" t="s">
        <v>674</v>
      </c>
      <c r="F1" s="38" t="s">
        <v>676</v>
      </c>
      <c r="G1" s="38" t="s">
        <v>679</v>
      </c>
      <c r="H1" s="38" t="s">
        <v>898</v>
      </c>
      <c r="I1" s="38" t="s">
        <v>681</v>
      </c>
      <c r="J1" s="38" t="s">
        <v>700</v>
      </c>
      <c r="K1" s="38"/>
      <c r="L1" s="5"/>
    </row>
    <row r="2" spans="1:25" x14ac:dyDescent="0.25">
      <c r="A2">
        <v>1</v>
      </c>
      <c r="B2" s="4" t="s">
        <v>54</v>
      </c>
      <c r="C2">
        <v>81.599999999999994</v>
      </c>
      <c r="D2">
        <v>12.1</v>
      </c>
      <c r="E2">
        <v>6.6326457373354577</v>
      </c>
      <c r="F2">
        <v>73751.352706379985</v>
      </c>
      <c r="G2">
        <v>8.8113784790039104E-2</v>
      </c>
      <c r="H2">
        <v>0.72</v>
      </c>
      <c r="I2">
        <v>456.564613958981</v>
      </c>
      <c r="J2">
        <v>0.77260715738691399</v>
      </c>
    </row>
    <row r="3" spans="1:25" x14ac:dyDescent="0.25">
      <c r="A3">
        <v>2</v>
      </c>
      <c r="B3" s="3" t="s">
        <v>587</v>
      </c>
      <c r="C3">
        <v>82.5</v>
      </c>
      <c r="D3">
        <v>11.04290771</v>
      </c>
      <c r="E3">
        <v>7.3981306577468127</v>
      </c>
      <c r="F3">
        <v>70455.958425795616</v>
      </c>
      <c r="G3">
        <v>0.113196802139282</v>
      </c>
      <c r="H3">
        <v>1.54</v>
      </c>
      <c r="I3">
        <v>362.93192027235858</v>
      </c>
      <c r="J3">
        <v>1.17973708133594</v>
      </c>
    </row>
    <row r="4" spans="1:25" x14ac:dyDescent="0.25">
      <c r="A4">
        <v>3</v>
      </c>
      <c r="B4" s="3" t="s">
        <v>556</v>
      </c>
      <c r="C4">
        <v>75.8</v>
      </c>
      <c r="D4">
        <v>8.56</v>
      </c>
      <c r="E4">
        <v>4.9232803794050053</v>
      </c>
      <c r="F4">
        <v>38689.548074916594</v>
      </c>
      <c r="G4">
        <v>0.10561671257019001</v>
      </c>
      <c r="H4">
        <v>1.1100000000000001</v>
      </c>
      <c r="I4">
        <v>110.63222339072571</v>
      </c>
      <c r="J4">
        <v>1.50812345474607</v>
      </c>
    </row>
    <row r="5" spans="1:25" x14ac:dyDescent="0.25">
      <c r="A5">
        <v>4</v>
      </c>
      <c r="B5" s="3" t="s">
        <v>169</v>
      </c>
      <c r="C5">
        <v>84.2</v>
      </c>
      <c r="D5">
        <v>11.80107975</v>
      </c>
      <c r="E5">
        <v>4.042072814753408</v>
      </c>
      <c r="F5">
        <v>92980.401876094998</v>
      </c>
      <c r="G5">
        <v>0.14550841331481901</v>
      </c>
      <c r="H5">
        <v>0.48</v>
      </c>
      <c r="I5">
        <v>235.89972412116612</v>
      </c>
      <c r="J5">
        <v>0.76465339190691706</v>
      </c>
    </row>
    <row r="6" spans="1:25" ht="15.75" thickBot="1" x14ac:dyDescent="0.3">
      <c r="A6">
        <v>5</v>
      </c>
      <c r="B6" s="3" t="s">
        <v>401</v>
      </c>
      <c r="C6">
        <v>82.5</v>
      </c>
      <c r="D6">
        <v>9.43</v>
      </c>
      <c r="E6">
        <v>5.4719980089484199</v>
      </c>
      <c r="F6">
        <v>57100.46484375</v>
      </c>
      <c r="G6">
        <v>0.12736209869384799</v>
      </c>
      <c r="H6">
        <v>0.77</v>
      </c>
      <c r="I6">
        <v>35.846672689336337</v>
      </c>
      <c r="J6">
        <v>1.8147966516278899</v>
      </c>
    </row>
    <row r="7" spans="1:25" x14ac:dyDescent="0.25">
      <c r="A7">
        <v>6</v>
      </c>
      <c r="B7" s="3" t="s">
        <v>311</v>
      </c>
      <c r="C7">
        <v>80</v>
      </c>
      <c r="D7">
        <v>9.4887867000000004</v>
      </c>
      <c r="E7">
        <v>8.3040174958388864</v>
      </c>
      <c r="F7">
        <v>53816.803389523178</v>
      </c>
      <c r="G7">
        <v>0.108769035339355</v>
      </c>
      <c r="H7">
        <v>0.75</v>
      </c>
      <c r="I7">
        <v>211.36000286318796</v>
      </c>
      <c r="J7">
        <v>1.3580638321417899</v>
      </c>
      <c r="Q7" s="9"/>
      <c r="R7" s="9" t="s">
        <v>680</v>
      </c>
      <c r="S7" s="9" t="s">
        <v>699</v>
      </c>
      <c r="T7" s="9" t="s">
        <v>674</v>
      </c>
      <c r="U7" s="9" t="s">
        <v>676</v>
      </c>
      <c r="V7" s="9" t="s">
        <v>679</v>
      </c>
      <c r="W7" s="9" t="s">
        <v>675</v>
      </c>
      <c r="X7" s="9" t="s">
        <v>681</v>
      </c>
      <c r="Y7" s="9" t="s">
        <v>700</v>
      </c>
    </row>
    <row r="8" spans="1:25" x14ac:dyDescent="0.25">
      <c r="A8">
        <v>7</v>
      </c>
      <c r="B8" s="3" t="s">
        <v>436</v>
      </c>
      <c r="C8">
        <v>81.2</v>
      </c>
      <c r="D8">
        <v>12.934129710000001</v>
      </c>
      <c r="E8">
        <v>7.2552210281684033</v>
      </c>
      <c r="F8">
        <v>69338.293226446665</v>
      </c>
      <c r="G8">
        <v>9.0661725997924811E-2</v>
      </c>
      <c r="H8">
        <v>0.74</v>
      </c>
      <c r="I8">
        <v>388.39451061623362</v>
      </c>
      <c r="J8">
        <v>1.3900550095965298</v>
      </c>
      <c r="L8" s="11"/>
      <c r="M8" s="11"/>
      <c r="N8" s="11"/>
      <c r="O8" s="11"/>
      <c r="P8" s="11"/>
      <c r="Q8" t="s">
        <v>680</v>
      </c>
      <c r="R8">
        <v>1</v>
      </c>
    </row>
    <row r="9" spans="1:25" x14ac:dyDescent="0.25">
      <c r="A9">
        <v>8</v>
      </c>
      <c r="B9" s="3" t="s">
        <v>274</v>
      </c>
      <c r="C9">
        <v>81.900000000000006</v>
      </c>
      <c r="D9">
        <v>10.82</v>
      </c>
      <c r="E9">
        <v>4.6912373075163369</v>
      </c>
      <c r="F9">
        <v>76687.902843730641</v>
      </c>
      <c r="G9">
        <v>0.11888381004333499</v>
      </c>
      <c r="H9">
        <v>1</v>
      </c>
      <c r="I9">
        <v>44.512870912845095</v>
      </c>
      <c r="J9">
        <v>1.4189603714329999</v>
      </c>
      <c r="Q9" t="s">
        <v>699</v>
      </c>
      <c r="R9">
        <v>0.57140606128292204</v>
      </c>
      <c r="S9">
        <v>1</v>
      </c>
    </row>
    <row r="10" spans="1:25" x14ac:dyDescent="0.25">
      <c r="A10">
        <v>9</v>
      </c>
      <c r="B10" s="3" t="s">
        <v>72</v>
      </c>
      <c r="C10">
        <v>84</v>
      </c>
      <c r="D10">
        <v>10.740038869999999</v>
      </c>
      <c r="E10">
        <v>4.2795945712140995</v>
      </c>
      <c r="F10">
        <v>52779.234057370304</v>
      </c>
      <c r="G10">
        <v>9.1786003112793002E-2</v>
      </c>
      <c r="H10">
        <v>0.69</v>
      </c>
      <c r="I10">
        <v>249.20388341488072</v>
      </c>
      <c r="J10">
        <v>1.4660338438573299</v>
      </c>
      <c r="Q10" t="s">
        <v>674</v>
      </c>
      <c r="R10">
        <v>0.14927570281566527</v>
      </c>
      <c r="S10">
        <v>-0.20231561468235287</v>
      </c>
      <c r="T10">
        <v>1</v>
      </c>
    </row>
    <row r="11" spans="1:25" x14ac:dyDescent="0.25">
      <c r="A11">
        <v>10</v>
      </c>
      <c r="B11" s="3" t="s">
        <v>468</v>
      </c>
      <c r="C11">
        <v>78.8</v>
      </c>
      <c r="D11">
        <v>7.4905729299999999</v>
      </c>
      <c r="E11">
        <v>5.3383998158736761</v>
      </c>
      <c r="F11">
        <v>48992.140951181515</v>
      </c>
      <c r="G11">
        <v>0.14251974105835</v>
      </c>
      <c r="H11">
        <v>1.35</v>
      </c>
      <c r="I11">
        <v>133.06464943362997</v>
      </c>
      <c r="J11">
        <v>2.0866657905942798</v>
      </c>
      <c r="Q11" t="s">
        <v>676</v>
      </c>
      <c r="R11">
        <v>0.56277806203219793</v>
      </c>
      <c r="S11">
        <v>8.8074964394360369E-2</v>
      </c>
      <c r="T11">
        <v>0.60528437779744071</v>
      </c>
      <c r="U11">
        <v>1</v>
      </c>
    </row>
    <row r="12" spans="1:25" x14ac:dyDescent="0.25">
      <c r="A12">
        <v>11</v>
      </c>
      <c r="B12" s="3" t="s">
        <v>47</v>
      </c>
      <c r="C12">
        <v>81.7</v>
      </c>
      <c r="D12">
        <v>10.25</v>
      </c>
      <c r="E12">
        <v>6.5701451277257457</v>
      </c>
      <c r="F12">
        <v>65060.674161832023</v>
      </c>
      <c r="G12">
        <v>0.10231122016906699</v>
      </c>
      <c r="H12">
        <v>1.5</v>
      </c>
      <c r="I12">
        <v>70.131530006134255</v>
      </c>
      <c r="J12">
        <v>1.7216829026165299</v>
      </c>
      <c r="Q12" t="s">
        <v>679</v>
      </c>
      <c r="R12">
        <v>8.1249181215642396E-3</v>
      </c>
      <c r="S12">
        <v>-4.6665080033989441E-2</v>
      </c>
      <c r="T12">
        <v>-0.13090681270765861</v>
      </c>
      <c r="U12">
        <v>0.18530171555285424</v>
      </c>
      <c r="V12">
        <v>1</v>
      </c>
    </row>
    <row r="13" spans="1:25" x14ac:dyDescent="0.25">
      <c r="A13">
        <v>12</v>
      </c>
      <c r="B13" s="3" t="s">
        <v>337</v>
      </c>
      <c r="C13">
        <v>83.1</v>
      </c>
      <c r="D13">
        <v>12.307872769999999</v>
      </c>
      <c r="E13">
        <v>3.9536824518799136</v>
      </c>
      <c r="F13">
        <v>61156.772819256643</v>
      </c>
      <c r="G13">
        <v>8.875411033630369E-2</v>
      </c>
      <c r="H13">
        <v>1.21</v>
      </c>
      <c r="I13">
        <v>103.60469429450643</v>
      </c>
      <c r="J13">
        <v>1.9387234180687101</v>
      </c>
      <c r="Q13" t="s">
        <v>675</v>
      </c>
      <c r="R13">
        <v>-0.42727737830266665</v>
      </c>
      <c r="S13">
        <v>-0.16466857750568517</v>
      </c>
      <c r="T13">
        <v>-0.13770301255173031</v>
      </c>
      <c r="U13">
        <v>-0.1378726468024338</v>
      </c>
      <c r="V13">
        <v>0.30125143681267114</v>
      </c>
      <c r="W13">
        <v>1</v>
      </c>
    </row>
    <row r="14" spans="1:25" x14ac:dyDescent="0.25">
      <c r="A14">
        <v>13</v>
      </c>
      <c r="B14" s="3" t="s">
        <v>631</v>
      </c>
      <c r="C14">
        <v>81.599999999999994</v>
      </c>
      <c r="D14">
        <v>9.1729879400000005</v>
      </c>
      <c r="E14">
        <v>4.7671849370183885</v>
      </c>
      <c r="F14">
        <v>41186.81220278937</v>
      </c>
      <c r="G14">
        <v>7.1118955612182594E-2</v>
      </c>
      <c r="H14">
        <v>0.76</v>
      </c>
      <c r="I14">
        <v>116.90564864516325</v>
      </c>
      <c r="J14">
        <v>3.6920744951686402</v>
      </c>
      <c r="Q14" t="s">
        <v>681</v>
      </c>
      <c r="R14">
        <v>0.21096643244580651</v>
      </c>
      <c r="S14">
        <v>0.33558554225046422</v>
      </c>
      <c r="T14">
        <v>-1.5735589526832881E-2</v>
      </c>
      <c r="U14">
        <v>1.8329605848984212E-2</v>
      </c>
      <c r="V14">
        <v>-0.15592868195290796</v>
      </c>
      <c r="W14">
        <v>-0.10312099048126028</v>
      </c>
      <c r="X14">
        <v>1</v>
      </c>
    </row>
    <row r="15" spans="1:25" ht="15.75" thickBot="1" x14ac:dyDescent="0.3">
      <c r="A15">
        <v>14</v>
      </c>
      <c r="B15" s="3" t="s">
        <v>473</v>
      </c>
      <c r="C15">
        <v>78.599999999999994</v>
      </c>
      <c r="D15">
        <v>8.1</v>
      </c>
      <c r="E15">
        <v>3.8607053917305714</v>
      </c>
      <c r="F15">
        <v>45909.634484175825</v>
      </c>
      <c r="G15">
        <v>0.10720606803894001</v>
      </c>
      <c r="H15">
        <v>0.8</v>
      </c>
      <c r="I15">
        <v>307.24564002762583</v>
      </c>
      <c r="J15">
        <v>2.1674905163411697</v>
      </c>
      <c r="Q15" s="8" t="s">
        <v>700</v>
      </c>
      <c r="R15" s="8">
        <v>-0.40583179240857775</v>
      </c>
      <c r="S15" s="8">
        <v>-0.29195768652111703</v>
      </c>
      <c r="T15" s="8">
        <v>-0.13741529707311087</v>
      </c>
      <c r="U15" s="8">
        <v>-0.51761162024141261</v>
      </c>
      <c r="V15" s="8">
        <v>-0.39225111924608314</v>
      </c>
      <c r="W15" s="8">
        <v>0.12692270114678428</v>
      </c>
      <c r="X15" s="8">
        <v>-0.47553546435604099</v>
      </c>
      <c r="Y15" s="8">
        <v>1</v>
      </c>
    </row>
    <row r="16" spans="1:25" x14ac:dyDescent="0.25">
      <c r="A16">
        <v>15</v>
      </c>
      <c r="B16" s="3" t="s">
        <v>46</v>
      </c>
      <c r="C16">
        <v>76.900000000000006</v>
      </c>
      <c r="D16">
        <v>7.38</v>
      </c>
      <c r="E16">
        <v>4.591652907047882</v>
      </c>
      <c r="F16">
        <v>45942.169490682201</v>
      </c>
      <c r="G16">
        <v>0.103632917404175</v>
      </c>
      <c r="H16">
        <v>0.88</v>
      </c>
      <c r="I16">
        <v>191.54694939417959</v>
      </c>
      <c r="J16">
        <v>1.52573720690762</v>
      </c>
    </row>
    <row r="17" spans="1:10" x14ac:dyDescent="0.25">
      <c r="A17">
        <v>16</v>
      </c>
      <c r="B17" s="3" t="s">
        <v>25</v>
      </c>
      <c r="C17">
        <v>82.6</v>
      </c>
      <c r="D17">
        <v>9.73</v>
      </c>
      <c r="E17">
        <v>3.9474653648526594</v>
      </c>
      <c r="F17">
        <v>77567.191812574616</v>
      </c>
      <c r="G17">
        <v>0.15406312942504902</v>
      </c>
      <c r="H17">
        <v>1.06</v>
      </c>
      <c r="I17">
        <v>302.53409212928165</v>
      </c>
      <c r="J17">
        <v>1E-3</v>
      </c>
    </row>
    <row r="18" spans="1:10" x14ac:dyDescent="0.25">
      <c r="A18">
        <v>17</v>
      </c>
      <c r="B18" s="3" t="s">
        <v>155</v>
      </c>
      <c r="C18">
        <v>83.8</v>
      </c>
      <c r="D18">
        <v>9.3800000000000008</v>
      </c>
      <c r="E18">
        <v>4.7323727707993539</v>
      </c>
      <c r="F18">
        <v>58754.90787787213</v>
      </c>
      <c r="G18">
        <v>7.437161922454831E-2</v>
      </c>
      <c r="H18">
        <v>0.55000000000000004</v>
      </c>
      <c r="I18">
        <v>346.2151439091557</v>
      </c>
      <c r="J18">
        <v>1.6790923384615599</v>
      </c>
    </row>
    <row r="19" spans="1:10" x14ac:dyDescent="0.25">
      <c r="A19">
        <v>18</v>
      </c>
      <c r="B19" s="3" t="s">
        <v>379</v>
      </c>
      <c r="C19">
        <v>77.3</v>
      </c>
      <c r="D19">
        <v>7.82</v>
      </c>
      <c r="E19">
        <v>4.1840004150439096</v>
      </c>
      <c r="F19">
        <v>51877.00651927686</v>
      </c>
      <c r="G19">
        <v>0.127444953918457</v>
      </c>
      <c r="H19">
        <v>2.21</v>
      </c>
      <c r="I19">
        <v>113.60881507291208</v>
      </c>
      <c r="J19">
        <v>2.52262366538611</v>
      </c>
    </row>
    <row r="20" spans="1:10" x14ac:dyDescent="0.25">
      <c r="A20">
        <v>19</v>
      </c>
      <c r="B20" s="3" t="s">
        <v>263</v>
      </c>
      <c r="C20">
        <v>83.4</v>
      </c>
      <c r="D20">
        <v>5.67</v>
      </c>
      <c r="E20">
        <v>12.456953232691275</v>
      </c>
      <c r="F20">
        <v>143341.47312464545</v>
      </c>
      <c r="G20">
        <v>0.11003183364868199</v>
      </c>
      <c r="H20">
        <v>1.39</v>
      </c>
      <c r="I20">
        <v>194.04309569043096</v>
      </c>
      <c r="J20">
        <v>0.700406724896945</v>
      </c>
    </row>
    <row r="21" spans="1:10" x14ac:dyDescent="0.25">
      <c r="A21">
        <v>20</v>
      </c>
      <c r="B21" s="3" t="s">
        <v>240</v>
      </c>
      <c r="C21">
        <v>75.900000000000006</v>
      </c>
      <c r="D21">
        <v>9.0399999999999991</v>
      </c>
      <c r="E21">
        <v>3.6456121684928142</v>
      </c>
      <c r="F21">
        <v>42501.027882049464</v>
      </c>
      <c r="G21">
        <v>0.126531772613525</v>
      </c>
      <c r="H21">
        <v>4.05</v>
      </c>
      <c r="I21">
        <v>212.41821394647889</v>
      </c>
      <c r="J21">
        <v>2.0498651345644303</v>
      </c>
    </row>
    <row r="22" spans="1:10" x14ac:dyDescent="0.25">
      <c r="A22">
        <v>21</v>
      </c>
      <c r="B22" s="3" t="s">
        <v>361</v>
      </c>
      <c r="C22">
        <v>83.6</v>
      </c>
      <c r="D22">
        <v>10.58</v>
      </c>
      <c r="E22">
        <v>3.1255578927759191</v>
      </c>
      <c r="F22">
        <v>62445.681490419811</v>
      </c>
      <c r="G22">
        <v>0.12658941268920901</v>
      </c>
      <c r="H22">
        <v>1.54</v>
      </c>
      <c r="I22">
        <v>295.44718206643319</v>
      </c>
      <c r="J22">
        <v>0.49920686499012495</v>
      </c>
    </row>
    <row r="23" spans="1:10" x14ac:dyDescent="0.25">
      <c r="A23">
        <v>22</v>
      </c>
      <c r="B23" s="3" t="s">
        <v>14</v>
      </c>
      <c r="C23">
        <v>82</v>
      </c>
      <c r="D23">
        <v>11.29</v>
      </c>
      <c r="E23">
        <v>7.4715534787718951</v>
      </c>
      <c r="F23">
        <v>78215.066303860061</v>
      </c>
      <c r="G23">
        <v>0.11019962310791</v>
      </c>
      <c r="H23">
        <v>0.81</v>
      </c>
      <c r="I23">
        <v>129.46981710648762</v>
      </c>
      <c r="J23">
        <v>1.5832811384634797</v>
      </c>
    </row>
    <row r="24" spans="1:10" x14ac:dyDescent="0.25">
      <c r="A24">
        <v>23</v>
      </c>
      <c r="B24" s="3" t="s">
        <v>619</v>
      </c>
      <c r="C24">
        <v>83.1</v>
      </c>
      <c r="D24">
        <v>10.08</v>
      </c>
      <c r="E24">
        <v>6.7250800496330969</v>
      </c>
      <c r="F24">
        <v>104459.81192279447</v>
      </c>
      <c r="G24">
        <v>0.102669334411621</v>
      </c>
      <c r="H24">
        <v>0.55000000000000004</v>
      </c>
      <c r="I24">
        <v>84.406987752204003</v>
      </c>
      <c r="J24">
        <v>1.6376655408969301</v>
      </c>
    </row>
    <row r="25" spans="1:10" x14ac:dyDescent="0.25">
      <c r="A25">
        <v>24</v>
      </c>
      <c r="B25" s="3" t="s">
        <v>65</v>
      </c>
      <c r="C25">
        <v>78.599999999999994</v>
      </c>
      <c r="D25">
        <v>6.44</v>
      </c>
      <c r="E25">
        <v>7.3675633729270924</v>
      </c>
      <c r="F25">
        <v>49463.99116942488</v>
      </c>
      <c r="G25">
        <v>0.111692733764648</v>
      </c>
      <c r="H25">
        <v>0.69</v>
      </c>
      <c r="I25">
        <v>69.97884130192277</v>
      </c>
      <c r="J25">
        <v>2.38851188830618</v>
      </c>
    </row>
    <row r="26" spans="1:10" x14ac:dyDescent="0.25">
      <c r="A26">
        <v>25</v>
      </c>
      <c r="B26" s="3" t="s">
        <v>388</v>
      </c>
      <c r="C26">
        <v>82.4</v>
      </c>
      <c r="D26">
        <v>11.14</v>
      </c>
      <c r="E26">
        <v>3.7849075869171078</v>
      </c>
      <c r="F26">
        <v>48758.857022163567</v>
      </c>
      <c r="G26">
        <v>9.7091884613037097E-2</v>
      </c>
      <c r="H26">
        <v>0.72</v>
      </c>
      <c r="I26">
        <v>366.86566302808836</v>
      </c>
      <c r="J26">
        <v>1.3543893401962401</v>
      </c>
    </row>
    <row r="27" spans="1:10" x14ac:dyDescent="0.25">
      <c r="A27">
        <v>26</v>
      </c>
      <c r="B27" s="3" t="s">
        <v>503</v>
      </c>
      <c r="C27">
        <v>76.599999999999994</v>
      </c>
      <c r="D27">
        <v>6.48</v>
      </c>
      <c r="E27">
        <v>3.5641375014598826</v>
      </c>
      <c r="F27">
        <v>47903.341148648993</v>
      </c>
      <c r="G27">
        <v>8.1443548202514593E-2</v>
      </c>
      <c r="H27">
        <v>0.91</v>
      </c>
      <c r="I27">
        <v>173.79404592361107</v>
      </c>
      <c r="J27">
        <v>1.7305450659253301</v>
      </c>
    </row>
    <row r="28" spans="1:10" x14ac:dyDescent="0.25">
      <c r="A28">
        <v>27</v>
      </c>
      <c r="B28" s="3" t="s">
        <v>334</v>
      </c>
      <c r="C28">
        <v>82</v>
      </c>
      <c r="D28">
        <v>9.48</v>
      </c>
      <c r="E28">
        <v>5.9347351788582579</v>
      </c>
      <c r="F28">
        <v>54947.470137240023</v>
      </c>
      <c r="G28">
        <v>0.11501742362976101</v>
      </c>
      <c r="H28">
        <v>0.62</v>
      </c>
      <c r="I28">
        <v>305.39652451354999</v>
      </c>
      <c r="J28">
        <v>1.1879860151950101</v>
      </c>
    </row>
    <row r="29" spans="1:10" x14ac:dyDescent="0.25">
      <c r="A29">
        <v>28</v>
      </c>
      <c r="B29" s="3" t="s">
        <v>63</v>
      </c>
      <c r="C29">
        <v>83.4</v>
      </c>
      <c r="D29">
        <v>11.25</v>
      </c>
      <c r="E29">
        <v>3.242989143127474</v>
      </c>
      <c r="F29">
        <v>70206.611636511487</v>
      </c>
      <c r="G29">
        <v>0.13531939506530802</v>
      </c>
      <c r="H29">
        <v>1.1100000000000001</v>
      </c>
      <c r="I29">
        <v>153.00776867014963</v>
      </c>
      <c r="J29">
        <v>1.30746311852624</v>
      </c>
    </row>
    <row r="34" spans="2:10" x14ac:dyDescent="0.25">
      <c r="B34" s="10"/>
      <c r="C34" s="10"/>
      <c r="D34" s="10"/>
      <c r="E34" s="10"/>
      <c r="F34" s="10"/>
      <c r="G34" s="10"/>
      <c r="H34" s="10"/>
      <c r="I34" s="10"/>
      <c r="J3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5C24B-8C3D-4192-949F-47E1DFAFEA77}">
  <sheetPr>
    <tabColor theme="8" tint="0.79998168889431442"/>
  </sheetPr>
  <dimension ref="A1:K180"/>
  <sheetViews>
    <sheetView topLeftCell="A92" zoomScale="70" zoomScaleNormal="70" workbookViewId="0">
      <selection activeCell="C166" sqref="C166"/>
    </sheetView>
  </sheetViews>
  <sheetFormatPr defaultRowHeight="15" x14ac:dyDescent="0.25"/>
  <cols>
    <col min="1" max="1" width="3.7109375" bestFit="1" customWidth="1"/>
    <col min="2" max="2" width="53.42578125" bestFit="1" customWidth="1"/>
    <col min="3" max="3" width="26" customWidth="1"/>
    <col min="4" max="4" width="56.85546875" customWidth="1"/>
    <col min="5" max="5" width="17.7109375" bestFit="1" customWidth="1"/>
    <col min="6" max="6" width="32.7109375" bestFit="1" customWidth="1"/>
    <col min="7" max="7" width="27" bestFit="1" customWidth="1"/>
    <col min="8" max="8" width="31.42578125" customWidth="1"/>
    <col min="9" max="9" width="20.85546875" customWidth="1"/>
    <col min="10" max="10" width="15.85546875" customWidth="1"/>
    <col min="11" max="11" width="19.28515625" customWidth="1"/>
  </cols>
  <sheetData>
    <row r="1" spans="1:10" ht="51.75" customHeight="1" x14ac:dyDescent="0.25">
      <c r="A1" s="53" t="s">
        <v>678</v>
      </c>
      <c r="B1" s="60" t="s">
        <v>653</v>
      </c>
      <c r="C1" s="92" t="s">
        <v>680</v>
      </c>
      <c r="D1" s="92" t="s">
        <v>699</v>
      </c>
      <c r="E1" s="92" t="s">
        <v>674</v>
      </c>
      <c r="F1" s="92" t="s">
        <v>676</v>
      </c>
      <c r="G1" s="92" t="s">
        <v>679</v>
      </c>
      <c r="H1" s="92" t="s">
        <v>675</v>
      </c>
      <c r="I1" s="92" t="s">
        <v>681</v>
      </c>
      <c r="J1" s="92" t="s">
        <v>700</v>
      </c>
    </row>
    <row r="2" spans="1:10" x14ac:dyDescent="0.25">
      <c r="A2">
        <v>1</v>
      </c>
      <c r="B2" s="4" t="s">
        <v>54</v>
      </c>
      <c r="C2">
        <v>81.599999999999994</v>
      </c>
      <c r="D2" s="12">
        <v>12.1</v>
      </c>
      <c r="E2" s="12">
        <v>6.6326457373354577</v>
      </c>
      <c r="F2" s="12">
        <v>73751.352706379985</v>
      </c>
      <c r="G2" s="12">
        <v>8.8113784790039104E-2</v>
      </c>
      <c r="H2" s="13">
        <v>0.72</v>
      </c>
      <c r="I2" s="12">
        <v>456.564613958981</v>
      </c>
      <c r="J2" s="12">
        <v>0.77260715738691399</v>
      </c>
    </row>
    <row r="3" spans="1:10" x14ac:dyDescent="0.25">
      <c r="A3">
        <f>A2+1</f>
        <v>2</v>
      </c>
      <c r="B3" s="3" t="s">
        <v>587</v>
      </c>
      <c r="C3">
        <v>82.5</v>
      </c>
      <c r="D3" s="12">
        <v>11.04290771</v>
      </c>
      <c r="E3" s="12">
        <v>7.3981306577468127</v>
      </c>
      <c r="F3" s="12">
        <v>70455.958425795616</v>
      </c>
      <c r="G3" s="12">
        <v>0.113196802139282</v>
      </c>
      <c r="H3" s="13">
        <v>1.54</v>
      </c>
      <c r="I3" s="12">
        <v>362.93192027235858</v>
      </c>
      <c r="J3" s="12">
        <v>1.17973708133594</v>
      </c>
    </row>
    <row r="4" spans="1:10" x14ac:dyDescent="0.25">
      <c r="A4">
        <f t="shared" ref="A4:A29" si="0">A3+1</f>
        <v>3</v>
      </c>
      <c r="B4" s="3" t="s">
        <v>556</v>
      </c>
      <c r="C4">
        <v>75.8</v>
      </c>
      <c r="D4" s="12">
        <v>8.56</v>
      </c>
      <c r="E4" s="12">
        <v>4.9232803794050053</v>
      </c>
      <c r="F4" s="12">
        <v>38689.548074916594</v>
      </c>
      <c r="G4" s="12">
        <v>0.10561671257019001</v>
      </c>
      <c r="H4" s="13">
        <v>1.1100000000000001</v>
      </c>
      <c r="I4" s="12">
        <v>110.63222339072571</v>
      </c>
      <c r="J4" s="12">
        <v>1.50812345474607</v>
      </c>
    </row>
    <row r="5" spans="1:10" x14ac:dyDescent="0.25">
      <c r="A5">
        <f t="shared" si="0"/>
        <v>4</v>
      </c>
      <c r="B5" s="3" t="s">
        <v>169</v>
      </c>
      <c r="C5">
        <v>84.2</v>
      </c>
      <c r="D5" s="12">
        <v>11.80107975</v>
      </c>
      <c r="E5" s="12">
        <v>4.042072814753408</v>
      </c>
      <c r="F5" s="12">
        <v>92980.401876094998</v>
      </c>
      <c r="G5" s="12">
        <v>0.14550841331481901</v>
      </c>
      <c r="H5" s="13">
        <v>0.48</v>
      </c>
      <c r="I5" s="12">
        <v>235.89972412116612</v>
      </c>
      <c r="J5" s="12">
        <v>0.76465339190691706</v>
      </c>
    </row>
    <row r="6" spans="1:10" x14ac:dyDescent="0.25">
      <c r="A6">
        <f t="shared" si="0"/>
        <v>5</v>
      </c>
      <c r="B6" s="3" t="s">
        <v>401</v>
      </c>
      <c r="C6">
        <v>82.5</v>
      </c>
      <c r="D6" s="12">
        <v>9.43</v>
      </c>
      <c r="E6" s="12">
        <v>5.4719980089484199</v>
      </c>
      <c r="F6" s="12">
        <v>57100.46484375</v>
      </c>
      <c r="G6" s="12">
        <v>0.12736209869384799</v>
      </c>
      <c r="H6" s="13">
        <v>0.77</v>
      </c>
      <c r="I6" s="12">
        <v>35.846672689336337</v>
      </c>
      <c r="J6" s="12">
        <v>1.8147966516278899</v>
      </c>
    </row>
    <row r="7" spans="1:10" x14ac:dyDescent="0.25">
      <c r="A7">
        <f t="shared" si="0"/>
        <v>6</v>
      </c>
      <c r="B7" s="3" t="s">
        <v>311</v>
      </c>
      <c r="C7">
        <v>80</v>
      </c>
      <c r="D7" s="12">
        <v>9.4887867000000004</v>
      </c>
      <c r="E7" s="12">
        <v>8.3040174958388864</v>
      </c>
      <c r="F7" s="12">
        <v>53816.803389523178</v>
      </c>
      <c r="G7" s="12">
        <v>0.108769035339355</v>
      </c>
      <c r="H7" s="13">
        <v>0.75</v>
      </c>
      <c r="I7" s="12">
        <v>211.36000286318796</v>
      </c>
      <c r="J7" s="12">
        <v>1.3580638321417899</v>
      </c>
    </row>
    <row r="8" spans="1:10" x14ac:dyDescent="0.25">
      <c r="A8">
        <f t="shared" si="0"/>
        <v>7</v>
      </c>
      <c r="B8" s="3" t="s">
        <v>436</v>
      </c>
      <c r="C8">
        <v>81.2</v>
      </c>
      <c r="D8" s="12">
        <v>12.934129710000001</v>
      </c>
      <c r="E8" s="12">
        <v>7.2552210281684033</v>
      </c>
      <c r="F8" s="12">
        <v>69338.293226446665</v>
      </c>
      <c r="G8" s="12">
        <v>9.0661725997924811E-2</v>
      </c>
      <c r="H8" s="13">
        <v>0.74</v>
      </c>
      <c r="I8" s="12">
        <v>388.39451061623362</v>
      </c>
      <c r="J8" s="12">
        <v>1.3900550095965298</v>
      </c>
    </row>
    <row r="9" spans="1:10" x14ac:dyDescent="0.25">
      <c r="A9">
        <f t="shared" si="0"/>
        <v>8</v>
      </c>
      <c r="B9" s="3" t="s">
        <v>274</v>
      </c>
      <c r="C9">
        <v>81.900000000000006</v>
      </c>
      <c r="D9" s="12">
        <v>10.82</v>
      </c>
      <c r="E9" s="12">
        <v>4.6912373075163369</v>
      </c>
      <c r="F9" s="12">
        <v>76687.902843730641</v>
      </c>
      <c r="G9" s="12">
        <v>0.11888381004333499</v>
      </c>
      <c r="H9" s="13">
        <v>1</v>
      </c>
      <c r="I9" s="12">
        <v>44.512870912845095</v>
      </c>
      <c r="J9" s="12">
        <v>1.4189603714329999</v>
      </c>
    </row>
    <row r="10" spans="1:10" x14ac:dyDescent="0.25">
      <c r="A10">
        <f t="shared" si="0"/>
        <v>9</v>
      </c>
      <c r="B10" s="3" t="s">
        <v>72</v>
      </c>
      <c r="C10">
        <v>84</v>
      </c>
      <c r="D10" s="12">
        <v>10.740038869999999</v>
      </c>
      <c r="E10" s="12">
        <v>4.2795945712140995</v>
      </c>
      <c r="F10" s="12">
        <v>52779.234057370304</v>
      </c>
      <c r="G10" s="12">
        <v>9.1786003112793002E-2</v>
      </c>
      <c r="H10" s="13">
        <v>0.69</v>
      </c>
      <c r="I10" s="12">
        <v>249.20388341488072</v>
      </c>
      <c r="J10" s="12">
        <v>1.4660338438573299</v>
      </c>
    </row>
    <row r="11" spans="1:10" x14ac:dyDescent="0.25">
      <c r="A11">
        <f t="shared" si="0"/>
        <v>10</v>
      </c>
      <c r="B11" s="3" t="s">
        <v>468</v>
      </c>
      <c r="C11">
        <v>78.8</v>
      </c>
      <c r="D11" s="12">
        <v>7.4905729299999999</v>
      </c>
      <c r="E11" s="12">
        <v>5.3383998158736761</v>
      </c>
      <c r="F11" s="12">
        <v>48992.140951181515</v>
      </c>
      <c r="G11" s="12">
        <v>0.14251974105835</v>
      </c>
      <c r="H11" s="13">
        <v>1.35</v>
      </c>
      <c r="I11" s="12">
        <v>133.06464943362997</v>
      </c>
      <c r="J11" s="12">
        <v>2.0866657905942798</v>
      </c>
    </row>
    <row r="12" spans="1:10" x14ac:dyDescent="0.25">
      <c r="A12">
        <f t="shared" si="0"/>
        <v>11</v>
      </c>
      <c r="B12" s="3" t="s">
        <v>47</v>
      </c>
      <c r="C12">
        <v>81.7</v>
      </c>
      <c r="D12" s="12">
        <v>10.25</v>
      </c>
      <c r="E12" s="12">
        <v>6.5701451277257457</v>
      </c>
      <c r="F12" s="12">
        <v>65060.674161832023</v>
      </c>
      <c r="G12" s="12">
        <v>0.10231122016906699</v>
      </c>
      <c r="H12" s="13">
        <v>1.5</v>
      </c>
      <c r="I12" s="12">
        <v>70.131530006134255</v>
      </c>
      <c r="J12" s="12">
        <v>1.7216829026165299</v>
      </c>
    </row>
    <row r="13" spans="1:10" x14ac:dyDescent="0.25">
      <c r="A13">
        <f t="shared" si="0"/>
        <v>12</v>
      </c>
      <c r="B13" s="3" t="s">
        <v>337</v>
      </c>
      <c r="C13">
        <v>83.1</v>
      </c>
      <c r="D13" s="12">
        <v>12.307872769999999</v>
      </c>
      <c r="E13" s="12">
        <v>3.9536824518799136</v>
      </c>
      <c r="F13" s="12">
        <v>61156.772819256643</v>
      </c>
      <c r="G13" s="12">
        <v>8.875411033630369E-2</v>
      </c>
      <c r="H13" s="13">
        <v>1.21</v>
      </c>
      <c r="I13" s="12">
        <v>103.60469429450643</v>
      </c>
      <c r="J13" s="12">
        <v>1.9387234180687101</v>
      </c>
    </row>
    <row r="14" spans="1:10" x14ac:dyDescent="0.25">
      <c r="A14">
        <f t="shared" si="0"/>
        <v>13</v>
      </c>
      <c r="B14" s="3" t="s">
        <v>631</v>
      </c>
      <c r="C14">
        <v>81.599999999999994</v>
      </c>
      <c r="D14" s="12">
        <v>9.1729879400000005</v>
      </c>
      <c r="E14" s="12">
        <v>4.7671849370183885</v>
      </c>
      <c r="F14" s="12">
        <v>41186.81220278937</v>
      </c>
      <c r="G14" s="12">
        <v>7.1118955612182594E-2</v>
      </c>
      <c r="H14" s="13">
        <v>0.76</v>
      </c>
      <c r="I14" s="12">
        <v>116.90564864516325</v>
      </c>
      <c r="J14" s="12">
        <v>3.6920744951686402</v>
      </c>
    </row>
    <row r="15" spans="1:10" x14ac:dyDescent="0.25">
      <c r="A15">
        <f t="shared" si="0"/>
        <v>14</v>
      </c>
      <c r="B15" s="3" t="s">
        <v>473</v>
      </c>
      <c r="C15">
        <v>78.599999999999994</v>
      </c>
      <c r="D15" s="12">
        <v>8.1</v>
      </c>
      <c r="E15" s="12">
        <v>3.8607053917305714</v>
      </c>
      <c r="F15" s="12">
        <v>45909.634484175825</v>
      </c>
      <c r="G15" s="12">
        <v>0.10720606803894001</v>
      </c>
      <c r="H15" s="13">
        <v>0.8</v>
      </c>
      <c r="I15" s="12">
        <v>307.24564002762583</v>
      </c>
      <c r="J15" s="12">
        <v>2.1674905163411697</v>
      </c>
    </row>
    <row r="16" spans="1:10" x14ac:dyDescent="0.25">
      <c r="A16">
        <f t="shared" si="0"/>
        <v>15</v>
      </c>
      <c r="B16" s="3" t="s">
        <v>46</v>
      </c>
      <c r="C16">
        <v>76.900000000000006</v>
      </c>
      <c r="D16" s="12">
        <v>7.38</v>
      </c>
      <c r="E16" s="12">
        <v>4.591652907047882</v>
      </c>
      <c r="F16" s="12">
        <v>45942.169490682201</v>
      </c>
      <c r="G16" s="12">
        <v>0.103632917404175</v>
      </c>
      <c r="H16" s="13">
        <v>0.88</v>
      </c>
      <c r="I16" s="12">
        <v>191.54694939417959</v>
      </c>
      <c r="J16" s="12">
        <v>1.52573720690762</v>
      </c>
    </row>
    <row r="17" spans="1:10" x14ac:dyDescent="0.25">
      <c r="A17">
        <f t="shared" si="0"/>
        <v>16</v>
      </c>
      <c r="B17" s="3" t="s">
        <v>25</v>
      </c>
      <c r="C17">
        <v>82.6</v>
      </c>
      <c r="D17" s="12">
        <v>9.73</v>
      </c>
      <c r="E17" s="12">
        <v>3.9474653648526594</v>
      </c>
      <c r="F17" s="12">
        <v>77567.191812574616</v>
      </c>
      <c r="G17" s="12">
        <v>0.15406312942504902</v>
      </c>
      <c r="H17" s="13">
        <v>1.06</v>
      </c>
      <c r="I17" s="12">
        <v>302.53409212928165</v>
      </c>
      <c r="J17" s="12">
        <v>1E-3</v>
      </c>
    </row>
    <row r="18" spans="1:10" x14ac:dyDescent="0.25">
      <c r="A18">
        <f t="shared" si="0"/>
        <v>17</v>
      </c>
      <c r="B18" s="3" t="s">
        <v>155</v>
      </c>
      <c r="C18">
        <v>83.8</v>
      </c>
      <c r="D18" s="12">
        <v>9.3800000000000008</v>
      </c>
      <c r="E18" s="12">
        <v>4.7323727707993539</v>
      </c>
      <c r="F18" s="12">
        <v>58754.90787787213</v>
      </c>
      <c r="G18" s="12">
        <v>7.437161922454831E-2</v>
      </c>
      <c r="H18" s="13">
        <v>0.55000000000000004</v>
      </c>
      <c r="I18" s="12">
        <v>346.2151439091557</v>
      </c>
      <c r="J18" s="12">
        <v>1.6790923384615599</v>
      </c>
    </row>
    <row r="19" spans="1:10" x14ac:dyDescent="0.25">
      <c r="A19">
        <f t="shared" si="0"/>
        <v>18</v>
      </c>
      <c r="B19" s="3" t="s">
        <v>379</v>
      </c>
      <c r="C19">
        <v>77.3</v>
      </c>
      <c r="D19" s="12">
        <v>7.82</v>
      </c>
      <c r="E19" s="12">
        <v>4.1840004150439096</v>
      </c>
      <c r="F19" s="12">
        <v>51877.00651927686</v>
      </c>
      <c r="G19" s="12">
        <v>0.127444953918457</v>
      </c>
      <c r="H19" s="13">
        <v>2.21</v>
      </c>
      <c r="I19" s="12">
        <v>113.60881507291208</v>
      </c>
      <c r="J19" s="12">
        <v>2.52262366538611</v>
      </c>
    </row>
    <row r="20" spans="1:10" x14ac:dyDescent="0.25">
      <c r="A20">
        <f t="shared" si="0"/>
        <v>19</v>
      </c>
      <c r="B20" s="3" t="s">
        <v>263</v>
      </c>
      <c r="C20">
        <v>83.4</v>
      </c>
      <c r="D20" s="12">
        <v>5.67</v>
      </c>
      <c r="E20" s="12">
        <v>12.456953232691275</v>
      </c>
      <c r="F20" s="12">
        <v>143341.47312464545</v>
      </c>
      <c r="G20" s="12">
        <v>0.11003183364868199</v>
      </c>
      <c r="H20" s="13">
        <v>1.39</v>
      </c>
      <c r="I20" s="12">
        <v>194.04309569043096</v>
      </c>
      <c r="J20" s="12">
        <v>0.700406724896945</v>
      </c>
    </row>
    <row r="21" spans="1:10" x14ac:dyDescent="0.25">
      <c r="A21">
        <f t="shared" si="0"/>
        <v>20</v>
      </c>
      <c r="B21" s="3" t="s">
        <v>240</v>
      </c>
      <c r="C21">
        <v>75.900000000000006</v>
      </c>
      <c r="D21" s="12">
        <v>9.0399999999999991</v>
      </c>
      <c r="E21" s="12">
        <v>3.6456121684928142</v>
      </c>
      <c r="F21" s="12">
        <v>42501.027882049464</v>
      </c>
      <c r="G21" s="12">
        <v>0.126531772613525</v>
      </c>
      <c r="H21" s="13">
        <v>4.05</v>
      </c>
      <c r="I21" s="12">
        <v>212.41821394647889</v>
      </c>
      <c r="J21" s="12">
        <v>2.0498651345644303</v>
      </c>
    </row>
    <row r="22" spans="1:10" x14ac:dyDescent="0.25">
      <c r="A22">
        <f t="shared" si="0"/>
        <v>21</v>
      </c>
      <c r="B22" s="3" t="s">
        <v>361</v>
      </c>
      <c r="C22">
        <v>83.6</v>
      </c>
      <c r="D22" s="12">
        <v>10.58</v>
      </c>
      <c r="E22" s="12">
        <v>3.1255578927759191</v>
      </c>
      <c r="F22" s="12">
        <v>62445.681490419811</v>
      </c>
      <c r="G22" s="12">
        <v>0.12658941268920901</v>
      </c>
      <c r="H22" s="13">
        <v>1.54</v>
      </c>
      <c r="I22" s="12">
        <v>295.44718206643319</v>
      </c>
      <c r="J22" s="12">
        <v>0.49920686499012495</v>
      </c>
    </row>
    <row r="23" spans="1:10" x14ac:dyDescent="0.25">
      <c r="A23">
        <f t="shared" si="0"/>
        <v>22</v>
      </c>
      <c r="B23" s="3" t="s">
        <v>14</v>
      </c>
      <c r="C23">
        <v>82</v>
      </c>
      <c r="D23" s="12">
        <v>11.29</v>
      </c>
      <c r="E23" s="12">
        <v>7.4715534787718951</v>
      </c>
      <c r="F23" s="12">
        <v>78215.066303860061</v>
      </c>
      <c r="G23" s="12">
        <v>0.11019962310791</v>
      </c>
      <c r="H23" s="13">
        <v>0.81</v>
      </c>
      <c r="I23" s="12">
        <v>129.46981710648762</v>
      </c>
      <c r="J23" s="12">
        <v>1.5832811384634797</v>
      </c>
    </row>
    <row r="24" spans="1:10" x14ac:dyDescent="0.25">
      <c r="A24">
        <f t="shared" si="0"/>
        <v>23</v>
      </c>
      <c r="B24" s="3" t="s">
        <v>619</v>
      </c>
      <c r="C24">
        <v>83.1</v>
      </c>
      <c r="D24" s="12">
        <v>10.08</v>
      </c>
      <c r="E24" s="12">
        <v>6.7250800496330969</v>
      </c>
      <c r="F24" s="12">
        <v>104459.81192279447</v>
      </c>
      <c r="G24" s="12">
        <v>0.102669334411621</v>
      </c>
      <c r="H24" s="13">
        <v>0.55000000000000004</v>
      </c>
      <c r="I24" s="12">
        <v>84.406987752204003</v>
      </c>
      <c r="J24" s="12">
        <v>1.6376655408969301</v>
      </c>
    </row>
    <row r="25" spans="1:10" x14ac:dyDescent="0.25">
      <c r="A25">
        <f t="shared" si="0"/>
        <v>24</v>
      </c>
      <c r="B25" s="3" t="s">
        <v>65</v>
      </c>
      <c r="C25">
        <v>78.599999999999994</v>
      </c>
      <c r="D25" s="12">
        <v>6.44</v>
      </c>
      <c r="E25" s="12">
        <v>7.3675633729270924</v>
      </c>
      <c r="F25" s="12">
        <v>49463.99116942488</v>
      </c>
      <c r="G25" s="12">
        <v>0.111692733764648</v>
      </c>
      <c r="H25" s="13">
        <v>0.69</v>
      </c>
      <c r="I25" s="12">
        <v>69.97884130192277</v>
      </c>
      <c r="J25" s="12">
        <v>2.38851188830618</v>
      </c>
    </row>
    <row r="26" spans="1:10" x14ac:dyDescent="0.25">
      <c r="A26">
        <f t="shared" si="0"/>
        <v>25</v>
      </c>
      <c r="B26" s="3" t="s">
        <v>388</v>
      </c>
      <c r="C26">
        <v>82.4</v>
      </c>
      <c r="D26" s="12">
        <v>11.14</v>
      </c>
      <c r="E26" s="12">
        <v>3.7849075869171078</v>
      </c>
      <c r="F26" s="12">
        <v>48758.857022163567</v>
      </c>
      <c r="G26" s="12">
        <v>9.7091884613037097E-2</v>
      </c>
      <c r="H26" s="13">
        <v>0.72</v>
      </c>
      <c r="I26" s="12">
        <v>366.86566302808836</v>
      </c>
      <c r="J26" s="12">
        <v>1.3543893401962401</v>
      </c>
    </row>
    <row r="27" spans="1:10" x14ac:dyDescent="0.25">
      <c r="A27">
        <f t="shared" si="0"/>
        <v>26</v>
      </c>
      <c r="B27" s="3" t="s">
        <v>503</v>
      </c>
      <c r="C27">
        <v>76.599999999999994</v>
      </c>
      <c r="D27" s="12">
        <v>6.48</v>
      </c>
      <c r="E27" s="12">
        <v>3.5641375014598826</v>
      </c>
      <c r="F27" s="12">
        <v>47903.341148648993</v>
      </c>
      <c r="G27" s="12">
        <v>8.1443548202514593E-2</v>
      </c>
      <c r="H27" s="13">
        <v>0.91</v>
      </c>
      <c r="I27" s="12">
        <v>173.79404592361107</v>
      </c>
      <c r="J27" s="12">
        <v>1.7305450659253301</v>
      </c>
    </row>
    <row r="28" spans="1:10" x14ac:dyDescent="0.25">
      <c r="A28">
        <f t="shared" si="0"/>
        <v>27</v>
      </c>
      <c r="B28" s="3" t="s">
        <v>334</v>
      </c>
      <c r="C28">
        <v>82</v>
      </c>
      <c r="D28" s="12">
        <v>9.48</v>
      </c>
      <c r="E28" s="12">
        <v>5.9347351788582579</v>
      </c>
      <c r="F28" s="12">
        <v>54947.470137240023</v>
      </c>
      <c r="G28" s="12">
        <v>0.11501742362976101</v>
      </c>
      <c r="H28" s="13">
        <v>0.62</v>
      </c>
      <c r="I28" s="12">
        <v>305.39652451354999</v>
      </c>
      <c r="J28" s="12">
        <v>1.1879860151950101</v>
      </c>
    </row>
    <row r="29" spans="1:10" x14ac:dyDescent="0.25">
      <c r="A29">
        <f t="shared" si="0"/>
        <v>28</v>
      </c>
      <c r="B29" s="3" t="s">
        <v>63</v>
      </c>
      <c r="C29">
        <v>83.4</v>
      </c>
      <c r="D29" s="12">
        <v>11.25</v>
      </c>
      <c r="E29" s="12">
        <v>3.242989143127474</v>
      </c>
      <c r="F29" s="12">
        <v>70206.611636511487</v>
      </c>
      <c r="G29" s="12">
        <v>0.13531939506530802</v>
      </c>
      <c r="H29" s="13">
        <v>1.1100000000000001</v>
      </c>
      <c r="I29" s="12">
        <v>153.00776867014963</v>
      </c>
      <c r="J29" s="12">
        <v>1.30746311852624</v>
      </c>
    </row>
    <row r="30" spans="1:10" x14ac:dyDescent="0.25">
      <c r="C30" t="s">
        <v>702</v>
      </c>
      <c r="D30" t="s">
        <v>702</v>
      </c>
      <c r="E30" t="s">
        <v>701</v>
      </c>
      <c r="F30" t="s">
        <v>702</v>
      </c>
      <c r="G30" t="s">
        <v>702</v>
      </c>
      <c r="H30" t="s">
        <v>701</v>
      </c>
      <c r="I30" t="s">
        <v>701</v>
      </c>
      <c r="J30" t="s">
        <v>702</v>
      </c>
    </row>
    <row r="33" spans="1:10" hidden="1" x14ac:dyDescent="0.25"/>
    <row r="34" spans="1:10" hidden="1" x14ac:dyDescent="0.25"/>
    <row r="35" spans="1:10" hidden="1" x14ac:dyDescent="0.25"/>
    <row r="36" spans="1:10" hidden="1" x14ac:dyDescent="0.25"/>
    <row r="37" spans="1:10" hidden="1" x14ac:dyDescent="0.25"/>
    <row r="38" spans="1:10" hidden="1" x14ac:dyDescent="0.25"/>
    <row r="39" spans="1:10" hidden="1" x14ac:dyDescent="0.25"/>
    <row r="41" spans="1:10" s="53" customFormat="1" ht="54.75" customHeight="1" x14ac:dyDescent="0.25">
      <c r="A41" s="53" t="s">
        <v>678</v>
      </c>
      <c r="B41" s="60" t="s">
        <v>653</v>
      </c>
      <c r="C41" s="91" t="str">
        <f>C1</f>
        <v>oczekiwana długość życia 2023</v>
      </c>
      <c r="D41" s="91" t="str">
        <f t="shared" ref="D41:J41" si="1">D1</f>
        <v>health costs jako % PKB 2021</v>
      </c>
      <c r="E41" s="91" t="str">
        <f t="shared" si="1"/>
        <v>CO2 emissions (metric tons per capita) 2020</v>
      </c>
      <c r="F41" s="91" t="str">
        <f t="shared" si="1"/>
        <v>GDP per capita PPP USD 2023</v>
      </c>
      <c r="G41" s="91" t="str">
        <f t="shared" si="1"/>
        <v>% wydatków rządowych przeznaczanych na edukację, 2021</v>
      </c>
      <c r="H41" s="91" t="str">
        <f t="shared" si="1"/>
        <v>zabójsta umyślne na 100 tys mieszkańców 2022</v>
      </c>
      <c r="I41" s="91" t="str">
        <f t="shared" si="1"/>
        <v>ofiary w wypadkach drogowych/100 tys. mieszkańców 2021</v>
      </c>
      <c r="J41" s="91" t="str">
        <f t="shared" si="1"/>
        <v>military expenditure (% of GDP), 2022</v>
      </c>
    </row>
    <row r="42" spans="1:10" x14ac:dyDescent="0.25">
      <c r="A42">
        <v>1</v>
      </c>
      <c r="B42" s="4" t="s">
        <v>54</v>
      </c>
      <c r="C42" s="12">
        <f>C2</f>
        <v>81.599999999999994</v>
      </c>
      <c r="D42" s="12">
        <f t="shared" ref="D42:J42" si="2">D2</f>
        <v>12.1</v>
      </c>
      <c r="E42" s="12">
        <f t="shared" si="2"/>
        <v>6.6326457373354577</v>
      </c>
      <c r="F42" s="12">
        <f t="shared" si="2"/>
        <v>73751.352706379985</v>
      </c>
      <c r="G42" s="12">
        <f t="shared" si="2"/>
        <v>8.8113784790039104E-2</v>
      </c>
      <c r="H42" s="12">
        <f t="shared" si="2"/>
        <v>0.72</v>
      </c>
      <c r="I42" s="12">
        <f t="shared" si="2"/>
        <v>456.564613958981</v>
      </c>
      <c r="J42" s="12">
        <f t="shared" si="2"/>
        <v>0.77260715738691399</v>
      </c>
    </row>
    <row r="43" spans="1:10" x14ac:dyDescent="0.25">
      <c r="A43">
        <f>A42+1</f>
        <v>2</v>
      </c>
      <c r="B43" s="3" t="s">
        <v>587</v>
      </c>
      <c r="C43" s="12">
        <f t="shared" ref="C43:J43" si="3">C3</f>
        <v>82.5</v>
      </c>
      <c r="D43" s="12">
        <f t="shared" si="3"/>
        <v>11.04290771</v>
      </c>
      <c r="E43" s="12">
        <f t="shared" si="3"/>
        <v>7.3981306577468127</v>
      </c>
      <c r="F43" s="12">
        <f t="shared" si="3"/>
        <v>70455.958425795616</v>
      </c>
      <c r="G43" s="12">
        <f t="shared" si="3"/>
        <v>0.113196802139282</v>
      </c>
      <c r="H43" s="12">
        <f t="shared" si="3"/>
        <v>1.54</v>
      </c>
      <c r="I43" s="12">
        <f t="shared" si="3"/>
        <v>362.93192027235858</v>
      </c>
      <c r="J43" s="12">
        <f t="shared" si="3"/>
        <v>1.17973708133594</v>
      </c>
    </row>
    <row r="44" spans="1:10" x14ac:dyDescent="0.25">
      <c r="A44">
        <f t="shared" ref="A44:A69" si="4">A43+1</f>
        <v>3</v>
      </c>
      <c r="B44" s="3" t="s">
        <v>556</v>
      </c>
      <c r="C44" s="12">
        <f t="shared" ref="C44:J44" si="5">C4</f>
        <v>75.8</v>
      </c>
      <c r="D44" s="12">
        <f t="shared" si="5"/>
        <v>8.56</v>
      </c>
      <c r="E44" s="12">
        <f t="shared" si="5"/>
        <v>4.9232803794050053</v>
      </c>
      <c r="F44" s="12">
        <f t="shared" si="5"/>
        <v>38689.548074916594</v>
      </c>
      <c r="G44" s="12">
        <f t="shared" si="5"/>
        <v>0.10561671257019001</v>
      </c>
      <c r="H44" s="12">
        <f t="shared" si="5"/>
        <v>1.1100000000000001</v>
      </c>
      <c r="I44" s="12">
        <f t="shared" si="5"/>
        <v>110.63222339072571</v>
      </c>
      <c r="J44" s="12">
        <f t="shared" si="5"/>
        <v>1.50812345474607</v>
      </c>
    </row>
    <row r="45" spans="1:10" x14ac:dyDescent="0.25">
      <c r="A45">
        <f t="shared" si="4"/>
        <v>4</v>
      </c>
      <c r="B45" s="3" t="s">
        <v>169</v>
      </c>
      <c r="C45" s="12">
        <f t="shared" ref="C45:J45" si="6">C5</f>
        <v>84.2</v>
      </c>
      <c r="D45" s="12">
        <f t="shared" si="6"/>
        <v>11.80107975</v>
      </c>
      <c r="E45" s="12">
        <f t="shared" si="6"/>
        <v>4.042072814753408</v>
      </c>
      <c r="F45" s="12">
        <f t="shared" si="6"/>
        <v>92980.401876094998</v>
      </c>
      <c r="G45" s="12">
        <f t="shared" si="6"/>
        <v>0.14550841331481901</v>
      </c>
      <c r="H45" s="12">
        <f t="shared" si="6"/>
        <v>0.48</v>
      </c>
      <c r="I45" s="12">
        <f t="shared" si="6"/>
        <v>235.89972412116612</v>
      </c>
      <c r="J45" s="12">
        <f t="shared" si="6"/>
        <v>0.76465339190691706</v>
      </c>
    </row>
    <row r="46" spans="1:10" x14ac:dyDescent="0.25">
      <c r="A46">
        <f t="shared" si="4"/>
        <v>5</v>
      </c>
      <c r="B46" s="3" t="s">
        <v>401</v>
      </c>
      <c r="C46" s="12">
        <f t="shared" ref="C46:J46" si="7">C6</f>
        <v>82.5</v>
      </c>
      <c r="D46" s="12">
        <f t="shared" si="7"/>
        <v>9.43</v>
      </c>
      <c r="E46" s="12">
        <f t="shared" si="7"/>
        <v>5.4719980089484199</v>
      </c>
      <c r="F46" s="12">
        <f t="shared" si="7"/>
        <v>57100.46484375</v>
      </c>
      <c r="G46" s="12">
        <f t="shared" si="7"/>
        <v>0.12736209869384799</v>
      </c>
      <c r="H46" s="12">
        <f t="shared" si="7"/>
        <v>0.77</v>
      </c>
      <c r="I46" s="12">
        <f t="shared" si="7"/>
        <v>35.846672689336337</v>
      </c>
      <c r="J46" s="12">
        <f t="shared" si="7"/>
        <v>1.8147966516278899</v>
      </c>
    </row>
    <row r="47" spans="1:10" x14ac:dyDescent="0.25">
      <c r="A47">
        <f t="shared" si="4"/>
        <v>6</v>
      </c>
      <c r="B47" s="3" t="s">
        <v>311</v>
      </c>
      <c r="C47" s="12">
        <f t="shared" ref="C47:J47" si="8">C7</f>
        <v>80</v>
      </c>
      <c r="D47" s="12">
        <f t="shared" si="8"/>
        <v>9.4887867000000004</v>
      </c>
      <c r="E47" s="12">
        <f t="shared" si="8"/>
        <v>8.3040174958388864</v>
      </c>
      <c r="F47" s="12">
        <f t="shared" si="8"/>
        <v>53816.803389523178</v>
      </c>
      <c r="G47" s="12">
        <f t="shared" si="8"/>
        <v>0.108769035339355</v>
      </c>
      <c r="H47" s="12">
        <f t="shared" si="8"/>
        <v>0.75</v>
      </c>
      <c r="I47" s="12">
        <f t="shared" si="8"/>
        <v>211.36000286318796</v>
      </c>
      <c r="J47" s="12">
        <f t="shared" si="8"/>
        <v>1.3580638321417899</v>
      </c>
    </row>
    <row r="48" spans="1:10" x14ac:dyDescent="0.25">
      <c r="A48">
        <f t="shared" si="4"/>
        <v>7</v>
      </c>
      <c r="B48" s="3" t="s">
        <v>436</v>
      </c>
      <c r="C48" s="12">
        <f t="shared" ref="C48:J48" si="9">C8</f>
        <v>81.2</v>
      </c>
      <c r="D48" s="12">
        <f t="shared" si="9"/>
        <v>12.934129710000001</v>
      </c>
      <c r="E48" s="12">
        <f t="shared" si="9"/>
        <v>7.2552210281684033</v>
      </c>
      <c r="F48" s="12">
        <f t="shared" si="9"/>
        <v>69338.293226446665</v>
      </c>
      <c r="G48" s="12">
        <f t="shared" si="9"/>
        <v>9.0661725997924811E-2</v>
      </c>
      <c r="H48" s="12">
        <f t="shared" si="9"/>
        <v>0.74</v>
      </c>
      <c r="I48" s="12">
        <f t="shared" si="9"/>
        <v>388.39451061623362</v>
      </c>
      <c r="J48" s="12">
        <f t="shared" si="9"/>
        <v>1.3900550095965298</v>
      </c>
    </row>
    <row r="49" spans="1:10" x14ac:dyDescent="0.25">
      <c r="A49">
        <f t="shared" si="4"/>
        <v>8</v>
      </c>
      <c r="B49" s="3" t="s">
        <v>274</v>
      </c>
      <c r="C49" s="12">
        <f t="shared" ref="C49:J49" si="10">C9</f>
        <v>81.900000000000006</v>
      </c>
      <c r="D49" s="12">
        <f t="shared" si="10"/>
        <v>10.82</v>
      </c>
      <c r="E49" s="12">
        <f t="shared" si="10"/>
        <v>4.6912373075163369</v>
      </c>
      <c r="F49" s="12">
        <f t="shared" si="10"/>
        <v>76687.902843730641</v>
      </c>
      <c r="G49" s="12">
        <f t="shared" si="10"/>
        <v>0.11888381004333499</v>
      </c>
      <c r="H49" s="12">
        <f t="shared" si="10"/>
        <v>1</v>
      </c>
      <c r="I49" s="12">
        <f t="shared" si="10"/>
        <v>44.512870912845095</v>
      </c>
      <c r="J49" s="12">
        <f t="shared" si="10"/>
        <v>1.4189603714329999</v>
      </c>
    </row>
    <row r="50" spans="1:10" x14ac:dyDescent="0.25">
      <c r="A50">
        <f t="shared" si="4"/>
        <v>9</v>
      </c>
      <c r="B50" s="3" t="s">
        <v>72</v>
      </c>
      <c r="C50" s="12">
        <f t="shared" ref="C50:J50" si="11">C10</f>
        <v>84</v>
      </c>
      <c r="D50" s="12">
        <f t="shared" si="11"/>
        <v>10.740038869999999</v>
      </c>
      <c r="E50" s="12">
        <f t="shared" si="11"/>
        <v>4.2795945712140995</v>
      </c>
      <c r="F50" s="12">
        <f t="shared" si="11"/>
        <v>52779.234057370304</v>
      </c>
      <c r="G50" s="12">
        <f t="shared" si="11"/>
        <v>9.1786003112793002E-2</v>
      </c>
      <c r="H50" s="12">
        <f t="shared" si="11"/>
        <v>0.69</v>
      </c>
      <c r="I50" s="12">
        <f t="shared" si="11"/>
        <v>249.20388341488072</v>
      </c>
      <c r="J50" s="12">
        <f t="shared" si="11"/>
        <v>1.4660338438573299</v>
      </c>
    </row>
    <row r="51" spans="1:10" x14ac:dyDescent="0.25">
      <c r="A51">
        <f t="shared" si="4"/>
        <v>10</v>
      </c>
      <c r="B51" s="3" t="s">
        <v>468</v>
      </c>
      <c r="C51" s="12">
        <f t="shared" ref="C51:J51" si="12">C11</f>
        <v>78.8</v>
      </c>
      <c r="D51" s="12">
        <f t="shared" si="12"/>
        <v>7.4905729299999999</v>
      </c>
      <c r="E51" s="12">
        <f t="shared" si="12"/>
        <v>5.3383998158736761</v>
      </c>
      <c r="F51" s="12">
        <f t="shared" si="12"/>
        <v>48992.140951181515</v>
      </c>
      <c r="G51" s="12">
        <f t="shared" si="12"/>
        <v>0.14251974105835</v>
      </c>
      <c r="H51" s="12">
        <f t="shared" si="12"/>
        <v>1.35</v>
      </c>
      <c r="I51" s="12">
        <f t="shared" si="12"/>
        <v>133.06464943362997</v>
      </c>
      <c r="J51" s="12">
        <f t="shared" si="12"/>
        <v>2.0866657905942798</v>
      </c>
    </row>
    <row r="52" spans="1:10" x14ac:dyDescent="0.25">
      <c r="A52">
        <f t="shared" si="4"/>
        <v>11</v>
      </c>
      <c r="B52" s="3" t="s">
        <v>47</v>
      </c>
      <c r="C52" s="12">
        <f t="shared" ref="C52:J52" si="13">C12</f>
        <v>81.7</v>
      </c>
      <c r="D52" s="12">
        <f t="shared" si="13"/>
        <v>10.25</v>
      </c>
      <c r="E52" s="12">
        <f t="shared" si="13"/>
        <v>6.5701451277257457</v>
      </c>
      <c r="F52" s="12">
        <f t="shared" si="13"/>
        <v>65060.674161832023</v>
      </c>
      <c r="G52" s="12">
        <f t="shared" si="13"/>
        <v>0.10231122016906699</v>
      </c>
      <c r="H52" s="12">
        <f t="shared" si="13"/>
        <v>1.5</v>
      </c>
      <c r="I52" s="12">
        <f t="shared" si="13"/>
        <v>70.131530006134255</v>
      </c>
      <c r="J52" s="12">
        <f t="shared" si="13"/>
        <v>1.7216829026165299</v>
      </c>
    </row>
    <row r="53" spans="1:10" x14ac:dyDescent="0.25">
      <c r="A53">
        <f t="shared" si="4"/>
        <v>12</v>
      </c>
      <c r="B53" s="3" t="s">
        <v>337</v>
      </c>
      <c r="C53" s="12">
        <f t="shared" ref="C53:J53" si="14">C13</f>
        <v>83.1</v>
      </c>
      <c r="D53" s="12">
        <f t="shared" si="14"/>
        <v>12.307872769999999</v>
      </c>
      <c r="E53" s="12">
        <f t="shared" si="14"/>
        <v>3.9536824518799136</v>
      </c>
      <c r="F53" s="12">
        <f t="shared" si="14"/>
        <v>61156.772819256643</v>
      </c>
      <c r="G53" s="12">
        <f t="shared" si="14"/>
        <v>8.875411033630369E-2</v>
      </c>
      <c r="H53" s="12">
        <f t="shared" si="14"/>
        <v>1.21</v>
      </c>
      <c r="I53" s="12">
        <f t="shared" si="14"/>
        <v>103.60469429450643</v>
      </c>
      <c r="J53" s="12">
        <f t="shared" si="14"/>
        <v>1.9387234180687101</v>
      </c>
    </row>
    <row r="54" spans="1:10" x14ac:dyDescent="0.25">
      <c r="A54">
        <f t="shared" si="4"/>
        <v>13</v>
      </c>
      <c r="B54" s="3" t="s">
        <v>631</v>
      </c>
      <c r="C54" s="12">
        <f t="shared" ref="C54:J54" si="15">C14</f>
        <v>81.599999999999994</v>
      </c>
      <c r="D54" s="12">
        <f t="shared" si="15"/>
        <v>9.1729879400000005</v>
      </c>
      <c r="E54" s="12">
        <f t="shared" si="15"/>
        <v>4.7671849370183885</v>
      </c>
      <c r="F54" s="12">
        <f t="shared" si="15"/>
        <v>41186.81220278937</v>
      </c>
      <c r="G54" s="12">
        <f t="shared" si="15"/>
        <v>7.1118955612182594E-2</v>
      </c>
      <c r="H54" s="12">
        <f t="shared" si="15"/>
        <v>0.76</v>
      </c>
      <c r="I54" s="12">
        <f t="shared" si="15"/>
        <v>116.90564864516325</v>
      </c>
      <c r="J54" s="12">
        <f t="shared" si="15"/>
        <v>3.6920744951686402</v>
      </c>
    </row>
    <row r="55" spans="1:10" x14ac:dyDescent="0.25">
      <c r="A55">
        <f t="shared" si="4"/>
        <v>14</v>
      </c>
      <c r="B55" s="3" t="s">
        <v>473</v>
      </c>
      <c r="C55" s="12">
        <f t="shared" ref="C55:J55" si="16">C15</f>
        <v>78.599999999999994</v>
      </c>
      <c r="D55" s="12">
        <f t="shared" si="16"/>
        <v>8.1</v>
      </c>
      <c r="E55" s="12">
        <f t="shared" si="16"/>
        <v>3.8607053917305714</v>
      </c>
      <c r="F55" s="12">
        <f t="shared" si="16"/>
        <v>45909.634484175825</v>
      </c>
      <c r="G55" s="12">
        <f t="shared" si="16"/>
        <v>0.10720606803894001</v>
      </c>
      <c r="H55" s="12">
        <f t="shared" si="16"/>
        <v>0.8</v>
      </c>
      <c r="I55" s="12">
        <f t="shared" si="16"/>
        <v>307.24564002762583</v>
      </c>
      <c r="J55" s="12">
        <f t="shared" si="16"/>
        <v>2.1674905163411697</v>
      </c>
    </row>
    <row r="56" spans="1:10" x14ac:dyDescent="0.25">
      <c r="A56">
        <f t="shared" si="4"/>
        <v>15</v>
      </c>
      <c r="B56" s="3" t="s">
        <v>46</v>
      </c>
      <c r="C56" s="12">
        <f t="shared" ref="C56:J57" si="17">C16</f>
        <v>76.900000000000006</v>
      </c>
      <c r="D56" s="12">
        <f t="shared" si="17"/>
        <v>7.38</v>
      </c>
      <c r="E56" s="12">
        <f t="shared" si="17"/>
        <v>4.591652907047882</v>
      </c>
      <c r="F56" s="12">
        <f t="shared" si="17"/>
        <v>45942.169490682201</v>
      </c>
      <c r="G56" s="12">
        <f t="shared" si="17"/>
        <v>0.103632917404175</v>
      </c>
      <c r="H56" s="12">
        <f t="shared" si="17"/>
        <v>0.88</v>
      </c>
      <c r="I56" s="12">
        <f t="shared" si="17"/>
        <v>191.54694939417959</v>
      </c>
      <c r="J56" s="12">
        <f t="shared" si="17"/>
        <v>1.52573720690762</v>
      </c>
    </row>
    <row r="57" spans="1:10" x14ac:dyDescent="0.25">
      <c r="A57">
        <f t="shared" si="4"/>
        <v>16</v>
      </c>
      <c r="B57" s="3" t="s">
        <v>25</v>
      </c>
      <c r="C57" s="12">
        <f t="shared" ref="C57:I57" si="18">C17</f>
        <v>82.6</v>
      </c>
      <c r="D57" s="12">
        <f t="shared" si="18"/>
        <v>9.73</v>
      </c>
      <c r="E57" s="12">
        <f t="shared" si="18"/>
        <v>3.9474653648526594</v>
      </c>
      <c r="F57" s="12">
        <f t="shared" si="18"/>
        <v>77567.191812574616</v>
      </c>
      <c r="G57" s="12">
        <f t="shared" si="18"/>
        <v>0.15406312942504902</v>
      </c>
      <c r="H57" s="12">
        <f t="shared" si="18"/>
        <v>1.06</v>
      </c>
      <c r="I57" s="12">
        <f t="shared" si="18"/>
        <v>302.53409212928165</v>
      </c>
      <c r="J57" s="12">
        <f t="shared" si="17"/>
        <v>1E-3</v>
      </c>
    </row>
    <row r="58" spans="1:10" x14ac:dyDescent="0.25">
      <c r="A58">
        <f t="shared" si="4"/>
        <v>17</v>
      </c>
      <c r="B58" s="3" t="s">
        <v>155</v>
      </c>
      <c r="C58" s="12">
        <f t="shared" ref="C58:J58" si="19">C18</f>
        <v>83.8</v>
      </c>
      <c r="D58" s="12">
        <f t="shared" si="19"/>
        <v>9.3800000000000008</v>
      </c>
      <c r="E58" s="12">
        <f t="shared" si="19"/>
        <v>4.7323727707993539</v>
      </c>
      <c r="F58" s="12">
        <f t="shared" si="19"/>
        <v>58754.90787787213</v>
      </c>
      <c r="G58" s="12">
        <f t="shared" si="19"/>
        <v>7.437161922454831E-2</v>
      </c>
      <c r="H58" s="12">
        <f t="shared" si="19"/>
        <v>0.55000000000000004</v>
      </c>
      <c r="I58" s="12">
        <f t="shared" si="19"/>
        <v>346.2151439091557</v>
      </c>
      <c r="J58" s="12">
        <f t="shared" si="19"/>
        <v>1.6790923384615599</v>
      </c>
    </row>
    <row r="59" spans="1:10" x14ac:dyDescent="0.25">
      <c r="A59">
        <f t="shared" si="4"/>
        <v>18</v>
      </c>
      <c r="B59" s="3" t="s">
        <v>379</v>
      </c>
      <c r="C59" s="12">
        <f t="shared" ref="C59:J59" si="20">C19</f>
        <v>77.3</v>
      </c>
      <c r="D59" s="12">
        <f t="shared" si="20"/>
        <v>7.82</v>
      </c>
      <c r="E59" s="12">
        <f t="shared" si="20"/>
        <v>4.1840004150439096</v>
      </c>
      <c r="F59" s="12">
        <f t="shared" si="20"/>
        <v>51877.00651927686</v>
      </c>
      <c r="G59" s="12">
        <f t="shared" si="20"/>
        <v>0.127444953918457</v>
      </c>
      <c r="H59" s="12">
        <f t="shared" si="20"/>
        <v>2.21</v>
      </c>
      <c r="I59" s="12">
        <f t="shared" si="20"/>
        <v>113.60881507291208</v>
      </c>
      <c r="J59" s="12">
        <f t="shared" si="20"/>
        <v>2.52262366538611</v>
      </c>
    </row>
    <row r="60" spans="1:10" x14ac:dyDescent="0.25">
      <c r="A60">
        <f t="shared" si="4"/>
        <v>19</v>
      </c>
      <c r="B60" s="3" t="s">
        <v>263</v>
      </c>
      <c r="C60" s="12">
        <f t="shared" ref="C60:J60" si="21">C20</f>
        <v>83.4</v>
      </c>
      <c r="D60" s="12">
        <f t="shared" si="21"/>
        <v>5.67</v>
      </c>
      <c r="E60" s="12">
        <f t="shared" si="21"/>
        <v>12.456953232691275</v>
      </c>
      <c r="F60" s="12">
        <f t="shared" si="21"/>
        <v>143341.47312464545</v>
      </c>
      <c r="G60" s="12">
        <f t="shared" si="21"/>
        <v>0.11003183364868199</v>
      </c>
      <c r="H60" s="12">
        <f t="shared" si="21"/>
        <v>1.39</v>
      </c>
      <c r="I60" s="12">
        <f t="shared" si="21"/>
        <v>194.04309569043096</v>
      </c>
      <c r="J60" s="12">
        <f t="shared" si="21"/>
        <v>0.700406724896945</v>
      </c>
    </row>
    <row r="61" spans="1:10" x14ac:dyDescent="0.25">
      <c r="A61">
        <f t="shared" si="4"/>
        <v>20</v>
      </c>
      <c r="B61" s="3" t="s">
        <v>240</v>
      </c>
      <c r="C61" s="12">
        <f t="shared" ref="C61:J61" si="22">C21</f>
        <v>75.900000000000006</v>
      </c>
      <c r="D61" s="12">
        <f t="shared" si="22"/>
        <v>9.0399999999999991</v>
      </c>
      <c r="E61" s="12">
        <f t="shared" si="22"/>
        <v>3.6456121684928142</v>
      </c>
      <c r="F61" s="12">
        <f t="shared" si="22"/>
        <v>42501.027882049464</v>
      </c>
      <c r="G61" s="12">
        <f t="shared" si="22"/>
        <v>0.126531772613525</v>
      </c>
      <c r="H61" s="12">
        <f t="shared" si="22"/>
        <v>4.05</v>
      </c>
      <c r="I61" s="12">
        <f t="shared" si="22"/>
        <v>212.41821394647889</v>
      </c>
      <c r="J61" s="12">
        <f t="shared" si="22"/>
        <v>2.0498651345644303</v>
      </c>
    </row>
    <row r="62" spans="1:10" x14ac:dyDescent="0.25">
      <c r="A62">
        <f t="shared" si="4"/>
        <v>21</v>
      </c>
      <c r="B62" s="3" t="s">
        <v>361</v>
      </c>
      <c r="C62" s="12">
        <f t="shared" ref="C62:J62" si="23">C22</f>
        <v>83.6</v>
      </c>
      <c r="D62" s="12">
        <f t="shared" si="23"/>
        <v>10.58</v>
      </c>
      <c r="E62" s="12">
        <f t="shared" si="23"/>
        <v>3.1255578927759191</v>
      </c>
      <c r="F62" s="12">
        <f t="shared" si="23"/>
        <v>62445.681490419811</v>
      </c>
      <c r="G62" s="12">
        <f t="shared" si="23"/>
        <v>0.12658941268920901</v>
      </c>
      <c r="H62" s="12">
        <f t="shared" si="23"/>
        <v>1.54</v>
      </c>
      <c r="I62" s="12">
        <f t="shared" si="23"/>
        <v>295.44718206643319</v>
      </c>
      <c r="J62" s="12">
        <f t="shared" si="23"/>
        <v>0.49920686499012495</v>
      </c>
    </row>
    <row r="63" spans="1:10" x14ac:dyDescent="0.25">
      <c r="A63">
        <f t="shared" si="4"/>
        <v>22</v>
      </c>
      <c r="B63" s="3" t="s">
        <v>14</v>
      </c>
      <c r="C63" s="12">
        <f t="shared" ref="C63:J63" si="24">C23</f>
        <v>82</v>
      </c>
      <c r="D63" s="12">
        <f t="shared" si="24"/>
        <v>11.29</v>
      </c>
      <c r="E63" s="12">
        <f t="shared" si="24"/>
        <v>7.4715534787718951</v>
      </c>
      <c r="F63" s="12">
        <f t="shared" si="24"/>
        <v>78215.066303860061</v>
      </c>
      <c r="G63" s="12">
        <f t="shared" si="24"/>
        <v>0.11019962310791</v>
      </c>
      <c r="H63" s="12">
        <f t="shared" si="24"/>
        <v>0.81</v>
      </c>
      <c r="I63" s="12">
        <f t="shared" si="24"/>
        <v>129.46981710648762</v>
      </c>
      <c r="J63" s="12">
        <f t="shared" si="24"/>
        <v>1.5832811384634797</v>
      </c>
    </row>
    <row r="64" spans="1:10" x14ac:dyDescent="0.25">
      <c r="A64">
        <f t="shared" si="4"/>
        <v>23</v>
      </c>
      <c r="B64" s="3" t="s">
        <v>619</v>
      </c>
      <c r="C64" s="12">
        <f t="shared" ref="C64:J64" si="25">C24</f>
        <v>83.1</v>
      </c>
      <c r="D64" s="12">
        <f t="shared" si="25"/>
        <v>10.08</v>
      </c>
      <c r="E64" s="12">
        <f t="shared" si="25"/>
        <v>6.7250800496330969</v>
      </c>
      <c r="F64" s="12">
        <f t="shared" si="25"/>
        <v>104459.81192279447</v>
      </c>
      <c r="G64" s="12">
        <f t="shared" si="25"/>
        <v>0.102669334411621</v>
      </c>
      <c r="H64" s="12">
        <f t="shared" si="25"/>
        <v>0.55000000000000004</v>
      </c>
      <c r="I64" s="12">
        <f t="shared" si="25"/>
        <v>84.406987752204003</v>
      </c>
      <c r="J64" s="12">
        <f t="shared" si="25"/>
        <v>1.6376655408969301</v>
      </c>
    </row>
    <row r="65" spans="1:10" x14ac:dyDescent="0.25">
      <c r="A65">
        <f t="shared" si="4"/>
        <v>24</v>
      </c>
      <c r="B65" s="3" t="s">
        <v>65</v>
      </c>
      <c r="C65" s="12">
        <f t="shared" ref="C65:J65" si="26">C25</f>
        <v>78.599999999999994</v>
      </c>
      <c r="D65" s="12">
        <f t="shared" si="26"/>
        <v>6.44</v>
      </c>
      <c r="E65" s="12">
        <f t="shared" si="26"/>
        <v>7.3675633729270924</v>
      </c>
      <c r="F65" s="12">
        <f t="shared" si="26"/>
        <v>49463.99116942488</v>
      </c>
      <c r="G65" s="12">
        <f t="shared" si="26"/>
        <v>0.111692733764648</v>
      </c>
      <c r="H65" s="12">
        <f t="shared" si="26"/>
        <v>0.69</v>
      </c>
      <c r="I65" s="12">
        <f t="shared" si="26"/>
        <v>69.97884130192277</v>
      </c>
      <c r="J65" s="12">
        <f t="shared" si="26"/>
        <v>2.38851188830618</v>
      </c>
    </row>
    <row r="66" spans="1:10" x14ac:dyDescent="0.25">
      <c r="A66">
        <f t="shared" si="4"/>
        <v>25</v>
      </c>
      <c r="B66" s="3" t="s">
        <v>388</v>
      </c>
      <c r="C66" s="12">
        <f t="shared" ref="C66:J66" si="27">C26</f>
        <v>82.4</v>
      </c>
      <c r="D66" s="12">
        <f t="shared" si="27"/>
        <v>11.14</v>
      </c>
      <c r="E66" s="12">
        <f t="shared" si="27"/>
        <v>3.7849075869171078</v>
      </c>
      <c r="F66" s="12">
        <f t="shared" si="27"/>
        <v>48758.857022163567</v>
      </c>
      <c r="G66" s="12">
        <f t="shared" si="27"/>
        <v>9.7091884613037097E-2</v>
      </c>
      <c r="H66" s="12">
        <f t="shared" si="27"/>
        <v>0.72</v>
      </c>
      <c r="I66" s="12">
        <f t="shared" si="27"/>
        <v>366.86566302808836</v>
      </c>
      <c r="J66" s="12">
        <f t="shared" si="27"/>
        <v>1.3543893401962401</v>
      </c>
    </row>
    <row r="67" spans="1:10" x14ac:dyDescent="0.25">
      <c r="A67">
        <f t="shared" si="4"/>
        <v>26</v>
      </c>
      <c r="B67" s="3" t="s">
        <v>503</v>
      </c>
      <c r="C67" s="12">
        <f t="shared" ref="C67:J67" si="28">C27</f>
        <v>76.599999999999994</v>
      </c>
      <c r="D67" s="12">
        <f t="shared" si="28"/>
        <v>6.48</v>
      </c>
      <c r="E67" s="12">
        <f t="shared" si="28"/>
        <v>3.5641375014598826</v>
      </c>
      <c r="F67" s="12">
        <f t="shared" si="28"/>
        <v>47903.341148648993</v>
      </c>
      <c r="G67" s="12">
        <f t="shared" si="28"/>
        <v>8.1443548202514593E-2</v>
      </c>
      <c r="H67" s="12">
        <f t="shared" si="28"/>
        <v>0.91</v>
      </c>
      <c r="I67" s="12">
        <f t="shared" si="28"/>
        <v>173.79404592361107</v>
      </c>
      <c r="J67" s="12">
        <f t="shared" si="28"/>
        <v>1.7305450659253301</v>
      </c>
    </row>
    <row r="68" spans="1:10" x14ac:dyDescent="0.25">
      <c r="A68">
        <f t="shared" si="4"/>
        <v>27</v>
      </c>
      <c r="B68" s="3" t="s">
        <v>334</v>
      </c>
      <c r="C68" s="12">
        <f t="shared" ref="C68:J68" si="29">C28</f>
        <v>82</v>
      </c>
      <c r="D68" s="12">
        <f t="shared" si="29"/>
        <v>9.48</v>
      </c>
      <c r="E68" s="12">
        <f t="shared" si="29"/>
        <v>5.9347351788582579</v>
      </c>
      <c r="F68" s="12">
        <f t="shared" si="29"/>
        <v>54947.470137240023</v>
      </c>
      <c r="G68" s="12">
        <f t="shared" si="29"/>
        <v>0.11501742362976101</v>
      </c>
      <c r="H68" s="12">
        <f t="shared" si="29"/>
        <v>0.62</v>
      </c>
      <c r="I68" s="12">
        <f t="shared" si="29"/>
        <v>305.39652451354999</v>
      </c>
      <c r="J68" s="12">
        <f t="shared" si="29"/>
        <v>1.1879860151950101</v>
      </c>
    </row>
    <row r="69" spans="1:10" x14ac:dyDescent="0.25">
      <c r="A69">
        <f t="shared" si="4"/>
        <v>28</v>
      </c>
      <c r="B69" s="3" t="s">
        <v>63</v>
      </c>
      <c r="C69" s="12">
        <f t="shared" ref="C69:J69" si="30">C29</f>
        <v>83.4</v>
      </c>
      <c r="D69" s="12">
        <f t="shared" si="30"/>
        <v>11.25</v>
      </c>
      <c r="E69" s="12">
        <f t="shared" si="30"/>
        <v>3.242989143127474</v>
      </c>
      <c r="F69" s="12">
        <f t="shared" si="30"/>
        <v>70206.611636511487</v>
      </c>
      <c r="G69" s="12">
        <f t="shared" si="30"/>
        <v>0.13531939506530802</v>
      </c>
      <c r="H69" s="12">
        <f t="shared" si="30"/>
        <v>1.1100000000000001</v>
      </c>
      <c r="I69" s="12">
        <f t="shared" si="30"/>
        <v>153.00776867014963</v>
      </c>
      <c r="J69" s="12">
        <f t="shared" si="30"/>
        <v>1.30746311852624</v>
      </c>
    </row>
    <row r="71" spans="1:10" ht="15.75" customHeight="1" x14ac:dyDescent="0.25">
      <c r="B71" t="s">
        <v>682</v>
      </c>
      <c r="C71" s="12">
        <f>_xlfn.STDEV.S(C42:C69)</f>
        <v>2.6351385213030127</v>
      </c>
      <c r="D71" s="12">
        <f t="shared" ref="D71:I71" si="31">_xlfn.STDEV.S(D42:D69)</f>
        <v>1.8815470385665838</v>
      </c>
      <c r="E71" s="12">
        <f t="shared" si="31"/>
        <v>2.0275036304334959</v>
      </c>
      <c r="F71" s="12">
        <f t="shared" si="31"/>
        <v>22169.808516013982</v>
      </c>
      <c r="G71" s="12">
        <f t="shared" si="31"/>
        <v>2.0864293224271198E-2</v>
      </c>
      <c r="H71" s="12">
        <f t="shared" si="31"/>
        <v>0.69998138675177779</v>
      </c>
      <c r="I71" s="12">
        <f t="shared" si="31"/>
        <v>116.2214932043087</v>
      </c>
      <c r="J71" s="12">
        <f>_xlfn.STDEV.S(J42:J69)</f>
        <v>0.70359213861738401</v>
      </c>
    </row>
    <row r="72" spans="1:10" x14ac:dyDescent="0.25">
      <c r="B72" t="s">
        <v>683</v>
      </c>
      <c r="C72" s="12">
        <f>AVERAGE(C42:C69)</f>
        <v>81.039285714285711</v>
      </c>
      <c r="D72" s="12">
        <f t="shared" ref="D72:I72" si="32">AVERAGE(D42:D69)</f>
        <v>9.6427991564285698</v>
      </c>
      <c r="E72" s="12">
        <f t="shared" si="32"/>
        <v>5.4379605995912073</v>
      </c>
      <c r="F72" s="12">
        <f t="shared" si="32"/>
        <v>63724.664342907417</v>
      </c>
      <c r="G72" s="12">
        <f t="shared" si="32"/>
        <v>0.1099252879619598</v>
      </c>
      <c r="H72" s="12">
        <f t="shared" si="32"/>
        <v>1.0896428571428571</v>
      </c>
      <c r="I72" s="12">
        <f t="shared" si="32"/>
        <v>205.89399018398788</v>
      </c>
      <c r="J72" s="12">
        <f>AVERAGE(J42:J69)</f>
        <v>1.5516943556977829</v>
      </c>
    </row>
    <row r="73" spans="1:10" x14ac:dyDescent="0.25">
      <c r="B73" t="s">
        <v>685</v>
      </c>
      <c r="C73" s="12">
        <f>C71/C72</f>
        <v>3.2516803400680604E-2</v>
      </c>
      <c r="D73" s="12">
        <f t="shared" ref="D73:I73" si="33">D71/D72</f>
        <v>0.19512456995562455</v>
      </c>
      <c r="E73" s="12">
        <f t="shared" si="33"/>
        <v>0.37284264814017065</v>
      </c>
      <c r="F73" s="12">
        <f t="shared" si="33"/>
        <v>0.34789996533707113</v>
      </c>
      <c r="G73" s="12">
        <f t="shared" si="33"/>
        <v>0.18980430809961937</v>
      </c>
      <c r="H73" s="12">
        <f t="shared" si="33"/>
        <v>0.642395241856761</v>
      </c>
      <c r="I73" s="12">
        <f t="shared" si="33"/>
        <v>0.56447248946145834</v>
      </c>
      <c r="J73" s="12">
        <f>J71/J72</f>
        <v>0.45343474765749536</v>
      </c>
    </row>
    <row r="74" spans="1:10" x14ac:dyDescent="0.25">
      <c r="B74" t="s">
        <v>684</v>
      </c>
      <c r="C74" s="12">
        <f>C73/SUM($C$73:$J$73)</f>
        <v>1.1619407040339005E-2</v>
      </c>
      <c r="D74" s="12">
        <f t="shared" ref="D74:J74" si="34">D73/SUM($C$73:$J$73)</f>
        <v>6.9724928799060532E-2</v>
      </c>
      <c r="E74" s="12">
        <f t="shared" si="34"/>
        <v>0.13322990077948008</v>
      </c>
      <c r="F74" s="12">
        <f t="shared" si="34"/>
        <v>0.1243169956394499</v>
      </c>
      <c r="G74" s="12">
        <f t="shared" si="34"/>
        <v>6.7823810558611974E-2</v>
      </c>
      <c r="H74" s="12">
        <f t="shared" si="34"/>
        <v>0.22955060200519259</v>
      </c>
      <c r="I74" s="12">
        <f t="shared" si="34"/>
        <v>0.2017060390994298</v>
      </c>
      <c r="J74" s="12">
        <f t="shared" si="34"/>
        <v>0.16202831607843607</v>
      </c>
    </row>
    <row r="79" spans="1:10" x14ac:dyDescent="0.25">
      <c r="B79" s="163" t="s">
        <v>916</v>
      </c>
      <c r="C79" s="163"/>
      <c r="D79" s="163"/>
      <c r="E79" s="163"/>
    </row>
    <row r="81" spans="1:11" ht="62.25" customHeight="1" x14ac:dyDescent="0.25">
      <c r="A81" s="53" t="s">
        <v>678</v>
      </c>
      <c r="B81" s="60" t="s">
        <v>653</v>
      </c>
      <c r="C81" s="91" t="str">
        <f t="shared" ref="C81:C109" si="35">C41</f>
        <v>oczekiwana długość życia 2023</v>
      </c>
      <c r="D81" s="91" t="str">
        <f t="shared" ref="D81:J81" si="36">D41</f>
        <v>health costs jako % PKB 2021</v>
      </c>
      <c r="E81" s="91" t="str">
        <f t="shared" si="36"/>
        <v>CO2 emissions (metric tons per capita) 2020</v>
      </c>
      <c r="F81" s="91" t="str">
        <f t="shared" si="36"/>
        <v>GDP per capita PPP USD 2023</v>
      </c>
      <c r="G81" s="91" t="str">
        <f t="shared" si="36"/>
        <v>% wydatków rządowych przeznaczanych na edukację, 2021</v>
      </c>
      <c r="H81" s="91" t="str">
        <f t="shared" si="36"/>
        <v>zabójsta umyślne na 100 tys mieszkańców 2022</v>
      </c>
      <c r="I81" s="91" t="str">
        <f t="shared" si="36"/>
        <v>ofiary w wypadkach drogowych/100 tys. mieszkańców 2021</v>
      </c>
      <c r="J81" s="91" t="str">
        <f t="shared" si="36"/>
        <v>military expenditure (% of GDP), 2022</v>
      </c>
    </row>
    <row r="82" spans="1:11" x14ac:dyDescent="0.25">
      <c r="A82">
        <v>1</v>
      </c>
      <c r="B82" s="4" t="s">
        <v>54</v>
      </c>
      <c r="C82" s="12">
        <f t="shared" si="35"/>
        <v>81.599999999999994</v>
      </c>
      <c r="D82" s="12">
        <f t="shared" ref="D82:D109" si="37">D42</f>
        <v>12.1</v>
      </c>
      <c r="E82" s="12">
        <f t="shared" ref="E82:E109" si="38">1/E42</f>
        <v>0.15076939725137972</v>
      </c>
      <c r="F82" s="12">
        <f>F42</f>
        <v>73751.352706379985</v>
      </c>
      <c r="G82" s="12">
        <f>G42</f>
        <v>8.8113784790039104E-2</v>
      </c>
      <c r="H82" s="12">
        <f>1/H42</f>
        <v>1.3888888888888888</v>
      </c>
      <c r="I82" s="14">
        <f>1/I42</f>
        <v>2.190270488395412E-3</v>
      </c>
      <c r="J82" s="12">
        <f>J42</f>
        <v>0.77260715738691399</v>
      </c>
      <c r="K82" s="12"/>
    </row>
    <row r="83" spans="1:11" x14ac:dyDescent="0.25">
      <c r="A83">
        <f>A82+1</f>
        <v>2</v>
      </c>
      <c r="B83" s="3" t="s">
        <v>587</v>
      </c>
      <c r="C83" s="12">
        <f t="shared" si="35"/>
        <v>82.5</v>
      </c>
      <c r="D83" s="12">
        <f t="shared" si="37"/>
        <v>11.04290771</v>
      </c>
      <c r="E83" s="12">
        <f t="shared" si="38"/>
        <v>0.13516928076322482</v>
      </c>
      <c r="F83" s="12">
        <f t="shared" ref="F83:G109" si="39">F43</f>
        <v>70455.958425795616</v>
      </c>
      <c r="G83" s="12">
        <f t="shared" si="39"/>
        <v>0.113196802139282</v>
      </c>
      <c r="H83" s="12">
        <f t="shared" ref="H83:H109" si="40">1/H43</f>
        <v>0.64935064935064934</v>
      </c>
      <c r="I83" s="14">
        <f t="shared" ref="I83:I109" si="41">1/I43</f>
        <v>2.7553376932223546E-3</v>
      </c>
      <c r="J83" s="12">
        <f t="shared" ref="J83:J109" si="42">J43</f>
        <v>1.17973708133594</v>
      </c>
      <c r="K83" s="12"/>
    </row>
    <row r="84" spans="1:11" x14ac:dyDescent="0.25">
      <c r="A84">
        <f t="shared" ref="A84:A109" si="43">A83+1</f>
        <v>3</v>
      </c>
      <c r="B84" s="3" t="s">
        <v>556</v>
      </c>
      <c r="C84" s="12">
        <f t="shared" si="35"/>
        <v>75.8</v>
      </c>
      <c r="D84" s="12">
        <f t="shared" si="37"/>
        <v>8.56</v>
      </c>
      <c r="E84" s="12">
        <f t="shared" si="38"/>
        <v>0.20311660578649662</v>
      </c>
      <c r="F84" s="12">
        <f t="shared" si="39"/>
        <v>38689.548074916594</v>
      </c>
      <c r="G84" s="12">
        <f t="shared" si="39"/>
        <v>0.10561671257019001</v>
      </c>
      <c r="H84" s="12">
        <f t="shared" si="40"/>
        <v>0.9009009009009008</v>
      </c>
      <c r="I84" s="14">
        <f t="shared" si="41"/>
        <v>9.038957813116047E-3</v>
      </c>
      <c r="J84" s="12">
        <f t="shared" si="42"/>
        <v>1.50812345474607</v>
      </c>
      <c r="K84" s="12"/>
    </row>
    <row r="85" spans="1:11" x14ac:dyDescent="0.25">
      <c r="A85">
        <f t="shared" si="43"/>
        <v>4</v>
      </c>
      <c r="B85" s="3" t="s">
        <v>169</v>
      </c>
      <c r="C85" s="12">
        <f t="shared" si="35"/>
        <v>84.2</v>
      </c>
      <c r="D85" s="12">
        <f t="shared" si="37"/>
        <v>11.80107975</v>
      </c>
      <c r="E85" s="12">
        <f t="shared" si="38"/>
        <v>0.24739781934408481</v>
      </c>
      <c r="F85" s="12">
        <f t="shared" si="39"/>
        <v>92980.401876094998</v>
      </c>
      <c r="G85" s="12">
        <f t="shared" si="39"/>
        <v>0.14550841331481901</v>
      </c>
      <c r="H85" s="12">
        <f t="shared" si="40"/>
        <v>2.0833333333333335</v>
      </c>
      <c r="I85" s="14">
        <f t="shared" si="41"/>
        <v>4.2390893152819712E-3</v>
      </c>
      <c r="J85" s="12">
        <f t="shared" si="42"/>
        <v>0.76465339190691706</v>
      </c>
      <c r="K85" s="12"/>
    </row>
    <row r="86" spans="1:11" x14ac:dyDescent="0.25">
      <c r="A86">
        <f t="shared" si="43"/>
        <v>5</v>
      </c>
      <c r="B86" s="3" t="s">
        <v>401</v>
      </c>
      <c r="C86" s="12">
        <f t="shared" si="35"/>
        <v>82.5</v>
      </c>
      <c r="D86" s="12">
        <f t="shared" si="37"/>
        <v>9.43</v>
      </c>
      <c r="E86" s="12">
        <f t="shared" si="38"/>
        <v>0.18274860450692576</v>
      </c>
      <c r="F86" s="12">
        <f t="shared" si="39"/>
        <v>57100.46484375</v>
      </c>
      <c r="G86" s="12">
        <f t="shared" si="39"/>
        <v>0.12736209869384799</v>
      </c>
      <c r="H86" s="12">
        <f t="shared" si="40"/>
        <v>1.2987012987012987</v>
      </c>
      <c r="I86" s="14">
        <f t="shared" si="41"/>
        <v>2.789659192825112E-2</v>
      </c>
      <c r="J86" s="12">
        <f t="shared" si="42"/>
        <v>1.8147966516278899</v>
      </c>
      <c r="K86" s="12"/>
    </row>
    <row r="87" spans="1:11" x14ac:dyDescent="0.25">
      <c r="A87">
        <f t="shared" si="43"/>
        <v>6</v>
      </c>
      <c r="B87" s="3" t="s">
        <v>311</v>
      </c>
      <c r="C87" s="12">
        <f t="shared" si="35"/>
        <v>80</v>
      </c>
      <c r="D87" s="12">
        <f t="shared" si="37"/>
        <v>9.4887867000000004</v>
      </c>
      <c r="E87" s="12">
        <f t="shared" si="38"/>
        <v>0.12042363837758006</v>
      </c>
      <c r="F87" s="12">
        <f t="shared" si="39"/>
        <v>53816.803389523178</v>
      </c>
      <c r="G87" s="12">
        <f t="shared" si="39"/>
        <v>0.108769035339355</v>
      </c>
      <c r="H87" s="12">
        <f t="shared" si="40"/>
        <v>1.3333333333333333</v>
      </c>
      <c r="I87" s="14">
        <f t="shared" si="41"/>
        <v>4.7312641297005183E-3</v>
      </c>
      <c r="J87" s="12">
        <f t="shared" si="42"/>
        <v>1.3580638321417899</v>
      </c>
      <c r="K87" s="12"/>
    </row>
    <row r="88" spans="1:11" x14ac:dyDescent="0.25">
      <c r="A88">
        <f t="shared" si="43"/>
        <v>7</v>
      </c>
      <c r="B88" s="3" t="s">
        <v>436</v>
      </c>
      <c r="C88" s="12">
        <f t="shared" si="35"/>
        <v>81.2</v>
      </c>
      <c r="D88" s="12">
        <f t="shared" si="37"/>
        <v>12.934129710000001</v>
      </c>
      <c r="E88" s="12">
        <f t="shared" si="38"/>
        <v>0.13783177605720059</v>
      </c>
      <c r="F88" s="12">
        <f t="shared" si="39"/>
        <v>69338.293226446665</v>
      </c>
      <c r="G88" s="12">
        <f t="shared" si="39"/>
        <v>9.0661725997924811E-2</v>
      </c>
      <c r="H88" s="12">
        <f t="shared" si="40"/>
        <v>1.3513513513513513</v>
      </c>
      <c r="I88" s="14">
        <f t="shared" si="41"/>
        <v>2.5747016826097317E-3</v>
      </c>
      <c r="J88" s="12">
        <f t="shared" si="42"/>
        <v>1.3900550095965298</v>
      </c>
      <c r="K88" s="12"/>
    </row>
    <row r="89" spans="1:11" x14ac:dyDescent="0.25">
      <c r="A89">
        <f t="shared" si="43"/>
        <v>8</v>
      </c>
      <c r="B89" s="3" t="s">
        <v>274</v>
      </c>
      <c r="C89" s="12">
        <f t="shared" si="35"/>
        <v>81.900000000000006</v>
      </c>
      <c r="D89" s="12">
        <f t="shared" si="37"/>
        <v>10.82</v>
      </c>
      <c r="E89" s="12">
        <f t="shared" si="38"/>
        <v>0.21316337981832473</v>
      </c>
      <c r="F89" s="12">
        <f t="shared" si="39"/>
        <v>76687.902843730641</v>
      </c>
      <c r="G89" s="12">
        <f t="shared" si="39"/>
        <v>0.11888381004333499</v>
      </c>
      <c r="H89" s="12">
        <f t="shared" si="40"/>
        <v>1</v>
      </c>
      <c r="I89" s="14">
        <f t="shared" si="41"/>
        <v>2.2465412351361718E-2</v>
      </c>
      <c r="J89" s="12">
        <f t="shared" si="42"/>
        <v>1.4189603714329999</v>
      </c>
      <c r="K89" s="12"/>
    </row>
    <row r="90" spans="1:11" x14ac:dyDescent="0.25">
      <c r="A90">
        <f t="shared" si="43"/>
        <v>9</v>
      </c>
      <c r="B90" s="3" t="s">
        <v>72</v>
      </c>
      <c r="C90" s="12">
        <f t="shared" si="35"/>
        <v>84</v>
      </c>
      <c r="D90" s="12">
        <f t="shared" si="37"/>
        <v>10.740038869999999</v>
      </c>
      <c r="E90" s="12">
        <f t="shared" si="38"/>
        <v>0.23366699423499479</v>
      </c>
      <c r="F90" s="12">
        <f t="shared" si="39"/>
        <v>52779.234057370304</v>
      </c>
      <c r="G90" s="12">
        <f t="shared" si="39"/>
        <v>9.1786003112793002E-2</v>
      </c>
      <c r="H90" s="12">
        <f t="shared" si="40"/>
        <v>1.4492753623188408</v>
      </c>
      <c r="I90" s="14">
        <f t="shared" si="41"/>
        <v>4.0127785582505368E-3</v>
      </c>
      <c r="J90" s="12">
        <f t="shared" si="42"/>
        <v>1.4660338438573299</v>
      </c>
      <c r="K90" s="12"/>
    </row>
    <row r="91" spans="1:11" x14ac:dyDescent="0.25">
      <c r="A91">
        <f t="shared" si="43"/>
        <v>10</v>
      </c>
      <c r="B91" s="3" t="s">
        <v>468</v>
      </c>
      <c r="C91" s="12">
        <f t="shared" si="35"/>
        <v>78.8</v>
      </c>
      <c r="D91" s="12">
        <f t="shared" si="37"/>
        <v>7.4905729299999999</v>
      </c>
      <c r="E91" s="12">
        <f t="shared" si="38"/>
        <v>0.18732205051905451</v>
      </c>
      <c r="F91" s="12">
        <f t="shared" si="39"/>
        <v>48992.140951181515</v>
      </c>
      <c r="G91" s="12">
        <f t="shared" si="39"/>
        <v>0.14251974105835</v>
      </c>
      <c r="H91" s="12">
        <f t="shared" si="40"/>
        <v>0.7407407407407407</v>
      </c>
      <c r="I91" s="14">
        <f t="shared" si="41"/>
        <v>7.5151439864483346E-3</v>
      </c>
      <c r="J91" s="12">
        <f t="shared" si="42"/>
        <v>2.0866657905942798</v>
      </c>
      <c r="K91" s="12"/>
    </row>
    <row r="92" spans="1:11" x14ac:dyDescent="0.25">
      <c r="A92">
        <f t="shared" si="43"/>
        <v>11</v>
      </c>
      <c r="B92" s="3" t="s">
        <v>47</v>
      </c>
      <c r="C92" s="12">
        <f t="shared" si="35"/>
        <v>81.7</v>
      </c>
      <c r="D92" s="12">
        <f t="shared" si="37"/>
        <v>10.25</v>
      </c>
      <c r="E92" s="12">
        <f t="shared" si="38"/>
        <v>0.15220363942647791</v>
      </c>
      <c r="F92" s="12">
        <f t="shared" si="39"/>
        <v>65060.674161832023</v>
      </c>
      <c r="G92" s="12">
        <f t="shared" si="39"/>
        <v>0.10231122016906699</v>
      </c>
      <c r="H92" s="12">
        <f t="shared" si="40"/>
        <v>0.66666666666666663</v>
      </c>
      <c r="I92" s="14">
        <f t="shared" si="41"/>
        <v>1.4258921770458054E-2</v>
      </c>
      <c r="J92" s="12">
        <f t="shared" si="42"/>
        <v>1.7216829026165299</v>
      </c>
      <c r="K92" s="12"/>
    </row>
    <row r="93" spans="1:11" x14ac:dyDescent="0.25">
      <c r="A93">
        <f t="shared" si="43"/>
        <v>12</v>
      </c>
      <c r="B93" s="3" t="s">
        <v>337</v>
      </c>
      <c r="C93" s="12">
        <f t="shared" si="35"/>
        <v>83.1</v>
      </c>
      <c r="D93" s="12">
        <f t="shared" si="37"/>
        <v>12.307872769999999</v>
      </c>
      <c r="E93" s="12">
        <f t="shared" si="38"/>
        <v>0.25292876000309933</v>
      </c>
      <c r="F93" s="12">
        <f t="shared" si="39"/>
        <v>61156.772819256643</v>
      </c>
      <c r="G93" s="12">
        <f t="shared" si="39"/>
        <v>8.875411033630369E-2</v>
      </c>
      <c r="H93" s="12">
        <f t="shared" si="40"/>
        <v>0.82644628099173556</v>
      </c>
      <c r="I93" s="14">
        <f t="shared" si="41"/>
        <v>9.6520723004828585E-3</v>
      </c>
      <c r="J93" s="12">
        <f t="shared" si="42"/>
        <v>1.9387234180687101</v>
      </c>
      <c r="K93" s="12"/>
    </row>
    <row r="94" spans="1:11" x14ac:dyDescent="0.25">
      <c r="A94">
        <f t="shared" si="43"/>
        <v>13</v>
      </c>
      <c r="B94" s="3" t="s">
        <v>631</v>
      </c>
      <c r="C94" s="12">
        <f t="shared" si="35"/>
        <v>81.599999999999994</v>
      </c>
      <c r="D94" s="12">
        <f t="shared" si="37"/>
        <v>9.1729879400000005</v>
      </c>
      <c r="E94" s="12">
        <f t="shared" si="38"/>
        <v>0.20976740219049378</v>
      </c>
      <c r="F94" s="12">
        <f t="shared" si="39"/>
        <v>41186.81220278937</v>
      </c>
      <c r="G94" s="12">
        <f t="shared" si="39"/>
        <v>7.1118955612182594E-2</v>
      </c>
      <c r="H94" s="12">
        <f t="shared" si="40"/>
        <v>1.3157894736842106</v>
      </c>
      <c r="I94" s="14">
        <f t="shared" si="41"/>
        <v>8.55390660407899E-3</v>
      </c>
      <c r="J94" s="12">
        <f t="shared" si="42"/>
        <v>3.6920744951686402</v>
      </c>
      <c r="K94" s="12"/>
    </row>
    <row r="95" spans="1:11" x14ac:dyDescent="0.25">
      <c r="A95">
        <f t="shared" si="43"/>
        <v>14</v>
      </c>
      <c r="B95" s="3" t="s">
        <v>473</v>
      </c>
      <c r="C95" s="12">
        <f t="shared" si="35"/>
        <v>78.599999999999994</v>
      </c>
      <c r="D95" s="12">
        <f t="shared" si="37"/>
        <v>8.1</v>
      </c>
      <c r="E95" s="12">
        <f t="shared" si="38"/>
        <v>0.25902002316518313</v>
      </c>
      <c r="F95" s="12">
        <f t="shared" si="39"/>
        <v>45909.634484175825</v>
      </c>
      <c r="G95" s="12">
        <f t="shared" si="39"/>
        <v>0.10720606803894001</v>
      </c>
      <c r="H95" s="12">
        <f t="shared" si="40"/>
        <v>1.25</v>
      </c>
      <c r="I95" s="14">
        <f t="shared" si="41"/>
        <v>3.2547247860379258E-3</v>
      </c>
      <c r="J95" s="12">
        <f t="shared" si="42"/>
        <v>2.1674905163411697</v>
      </c>
      <c r="K95" s="12"/>
    </row>
    <row r="96" spans="1:11" x14ac:dyDescent="0.25">
      <c r="A96">
        <f t="shared" si="43"/>
        <v>15</v>
      </c>
      <c r="B96" s="3" t="s">
        <v>46</v>
      </c>
      <c r="C96" s="12">
        <f t="shared" si="35"/>
        <v>76.900000000000006</v>
      </c>
      <c r="D96" s="12">
        <f t="shared" si="37"/>
        <v>7.38</v>
      </c>
      <c r="E96" s="12">
        <f t="shared" si="38"/>
        <v>0.21778649655009125</v>
      </c>
      <c r="F96" s="12">
        <f t="shared" si="39"/>
        <v>45942.169490682201</v>
      </c>
      <c r="G96" s="12">
        <f t="shared" si="39"/>
        <v>0.103632917404175</v>
      </c>
      <c r="H96" s="12">
        <f t="shared" si="40"/>
        <v>1.1363636363636365</v>
      </c>
      <c r="I96" s="14">
        <f t="shared" si="41"/>
        <v>5.2206521856013764E-3</v>
      </c>
      <c r="J96" s="12">
        <f t="shared" si="42"/>
        <v>1.52573720690762</v>
      </c>
      <c r="K96" s="12"/>
    </row>
    <row r="97" spans="1:11" x14ac:dyDescent="0.25">
      <c r="A97">
        <f t="shared" si="43"/>
        <v>16</v>
      </c>
      <c r="B97" s="3" t="s">
        <v>25</v>
      </c>
      <c r="C97" s="12">
        <f t="shared" si="35"/>
        <v>82.6</v>
      </c>
      <c r="D97" s="12">
        <f t="shared" si="37"/>
        <v>9.73</v>
      </c>
      <c r="E97" s="12">
        <f t="shared" si="38"/>
        <v>0.25332711184847223</v>
      </c>
      <c r="F97" s="12">
        <f t="shared" si="39"/>
        <v>77567.191812574616</v>
      </c>
      <c r="G97" s="12">
        <f t="shared" si="39"/>
        <v>0.15406312942504902</v>
      </c>
      <c r="H97" s="12">
        <f t="shared" si="40"/>
        <v>0.94339622641509424</v>
      </c>
      <c r="I97" s="14">
        <f t="shared" si="41"/>
        <v>3.3054125998225378E-3</v>
      </c>
      <c r="J97" s="12">
        <f t="shared" si="42"/>
        <v>1E-3</v>
      </c>
      <c r="K97" s="12"/>
    </row>
    <row r="98" spans="1:11" x14ac:dyDescent="0.25">
      <c r="A98">
        <f t="shared" si="43"/>
        <v>17</v>
      </c>
      <c r="B98" s="3" t="s">
        <v>155</v>
      </c>
      <c r="C98" s="12">
        <f t="shared" si="35"/>
        <v>83.8</v>
      </c>
      <c r="D98" s="12">
        <f t="shared" si="37"/>
        <v>9.3800000000000008</v>
      </c>
      <c r="E98" s="12">
        <f t="shared" si="38"/>
        <v>0.21131048808547009</v>
      </c>
      <c r="F98" s="12">
        <f t="shared" si="39"/>
        <v>58754.90787787213</v>
      </c>
      <c r="G98" s="12">
        <f t="shared" si="39"/>
        <v>7.437161922454831E-2</v>
      </c>
      <c r="H98" s="12">
        <f t="shared" si="40"/>
        <v>1.8181818181818181</v>
      </c>
      <c r="I98" s="14">
        <f t="shared" si="41"/>
        <v>2.8883774080731505E-3</v>
      </c>
      <c r="J98" s="12">
        <f t="shared" si="42"/>
        <v>1.6790923384615599</v>
      </c>
      <c r="K98" s="12"/>
    </row>
    <row r="99" spans="1:11" x14ac:dyDescent="0.25">
      <c r="A99">
        <f t="shared" si="43"/>
        <v>18</v>
      </c>
      <c r="B99" s="3" t="s">
        <v>379</v>
      </c>
      <c r="C99" s="12">
        <f t="shared" si="35"/>
        <v>77.3</v>
      </c>
      <c r="D99" s="12">
        <f t="shared" si="37"/>
        <v>7.82</v>
      </c>
      <c r="E99" s="12">
        <f t="shared" si="38"/>
        <v>0.23900571242880847</v>
      </c>
      <c r="F99" s="12">
        <f t="shared" si="39"/>
        <v>51877.00651927686</v>
      </c>
      <c r="G99" s="12">
        <f t="shared" si="39"/>
        <v>0.127444953918457</v>
      </c>
      <c r="H99" s="12">
        <f t="shared" si="40"/>
        <v>0.45248868778280543</v>
      </c>
      <c r="I99" s="14">
        <f t="shared" si="41"/>
        <v>8.8021338780641112E-3</v>
      </c>
      <c r="J99" s="12">
        <f t="shared" si="42"/>
        <v>2.52262366538611</v>
      </c>
      <c r="K99" s="12"/>
    </row>
    <row r="100" spans="1:11" x14ac:dyDescent="0.25">
      <c r="A100">
        <f t="shared" si="43"/>
        <v>19</v>
      </c>
      <c r="B100" s="3" t="s">
        <v>263</v>
      </c>
      <c r="C100" s="12">
        <f t="shared" si="35"/>
        <v>83.4</v>
      </c>
      <c r="D100" s="12">
        <f t="shared" si="37"/>
        <v>5.67</v>
      </c>
      <c r="E100" s="12">
        <f t="shared" si="38"/>
        <v>8.0276451337688293E-2</v>
      </c>
      <c r="F100" s="12">
        <f t="shared" si="39"/>
        <v>143341.47312464545</v>
      </c>
      <c r="G100" s="12">
        <f t="shared" si="39"/>
        <v>0.11003183364868199</v>
      </c>
      <c r="H100" s="12">
        <f t="shared" si="40"/>
        <v>0.71942446043165476</v>
      </c>
      <c r="I100" s="14">
        <f t="shared" si="41"/>
        <v>5.1534943639291462E-3</v>
      </c>
      <c r="J100" s="12">
        <f t="shared" si="42"/>
        <v>0.700406724896945</v>
      </c>
      <c r="K100" s="12"/>
    </row>
    <row r="101" spans="1:11" x14ac:dyDescent="0.25">
      <c r="A101">
        <f t="shared" si="43"/>
        <v>20</v>
      </c>
      <c r="B101" s="3" t="s">
        <v>240</v>
      </c>
      <c r="C101" s="12">
        <f t="shared" si="35"/>
        <v>75.900000000000006</v>
      </c>
      <c r="D101" s="12">
        <f t="shared" si="37"/>
        <v>9.0399999999999991</v>
      </c>
      <c r="E101" s="12">
        <f t="shared" si="38"/>
        <v>0.27430235411284154</v>
      </c>
      <c r="F101" s="12">
        <f t="shared" si="39"/>
        <v>42501.027882049464</v>
      </c>
      <c r="G101" s="12">
        <f t="shared" si="39"/>
        <v>0.126531772613525</v>
      </c>
      <c r="H101" s="12">
        <f t="shared" si="40"/>
        <v>0.24691358024691359</v>
      </c>
      <c r="I101" s="14">
        <f t="shared" si="41"/>
        <v>4.7076942293280038E-3</v>
      </c>
      <c r="J101" s="12">
        <f t="shared" si="42"/>
        <v>2.0498651345644303</v>
      </c>
      <c r="K101" s="12"/>
    </row>
    <row r="102" spans="1:11" x14ac:dyDescent="0.25">
      <c r="A102">
        <f t="shared" si="43"/>
        <v>21</v>
      </c>
      <c r="B102" s="3" t="s">
        <v>361</v>
      </c>
      <c r="C102" s="12">
        <f t="shared" si="35"/>
        <v>83.6</v>
      </c>
      <c r="D102" s="12">
        <f t="shared" si="37"/>
        <v>10.58</v>
      </c>
      <c r="E102" s="12">
        <f t="shared" si="38"/>
        <v>0.31994288197678028</v>
      </c>
      <c r="F102" s="12">
        <f t="shared" si="39"/>
        <v>62445.681490419811</v>
      </c>
      <c r="G102" s="12">
        <f t="shared" si="39"/>
        <v>0.12658941268920901</v>
      </c>
      <c r="H102" s="12">
        <f t="shared" si="40"/>
        <v>0.64935064935064934</v>
      </c>
      <c r="I102" s="14">
        <f t="shared" si="41"/>
        <v>3.3846997389033943E-3</v>
      </c>
      <c r="J102" s="12">
        <f t="shared" si="42"/>
        <v>0.49920686499012495</v>
      </c>
      <c r="K102" s="12"/>
    </row>
    <row r="103" spans="1:11" x14ac:dyDescent="0.25">
      <c r="A103">
        <f t="shared" si="43"/>
        <v>22</v>
      </c>
      <c r="B103" s="3" t="s">
        <v>14</v>
      </c>
      <c r="C103" s="12">
        <f t="shared" si="35"/>
        <v>82</v>
      </c>
      <c r="D103" s="12">
        <f t="shared" si="37"/>
        <v>11.29</v>
      </c>
      <c r="E103" s="12">
        <f t="shared" si="38"/>
        <v>0.13384097468367057</v>
      </c>
      <c r="F103" s="12">
        <f t="shared" si="39"/>
        <v>78215.066303860061</v>
      </c>
      <c r="G103" s="12">
        <f t="shared" si="39"/>
        <v>0.11019962310791</v>
      </c>
      <c r="H103" s="12">
        <f t="shared" si="40"/>
        <v>1.2345679012345678</v>
      </c>
      <c r="I103" s="14">
        <f t="shared" si="41"/>
        <v>7.7238079295154178E-3</v>
      </c>
      <c r="J103" s="12">
        <f t="shared" si="42"/>
        <v>1.5832811384634797</v>
      </c>
      <c r="K103" s="12"/>
    </row>
    <row r="104" spans="1:11" x14ac:dyDescent="0.25">
      <c r="A104">
        <f t="shared" si="43"/>
        <v>23</v>
      </c>
      <c r="B104" s="3" t="s">
        <v>619</v>
      </c>
      <c r="C104" s="12">
        <f t="shared" si="35"/>
        <v>83.1</v>
      </c>
      <c r="D104" s="12">
        <f t="shared" si="37"/>
        <v>10.08</v>
      </c>
      <c r="E104" s="12">
        <f t="shared" si="38"/>
        <v>0.14869711477331149</v>
      </c>
      <c r="F104" s="12">
        <f t="shared" si="39"/>
        <v>104459.81192279447</v>
      </c>
      <c r="G104" s="12">
        <f t="shared" si="39"/>
        <v>0.102669334411621</v>
      </c>
      <c r="H104" s="12">
        <f t="shared" si="40"/>
        <v>1.8181818181818181</v>
      </c>
      <c r="I104" s="14">
        <f t="shared" si="41"/>
        <v>1.1847360350492882E-2</v>
      </c>
      <c r="J104" s="12">
        <f t="shared" si="42"/>
        <v>1.6376655408969301</v>
      </c>
      <c r="K104" s="12"/>
    </row>
    <row r="105" spans="1:11" x14ac:dyDescent="0.25">
      <c r="A105">
        <f t="shared" si="43"/>
        <v>24</v>
      </c>
      <c r="B105" s="3" t="s">
        <v>65</v>
      </c>
      <c r="C105" s="12">
        <f t="shared" si="35"/>
        <v>78.599999999999994</v>
      </c>
      <c r="D105" s="12">
        <f t="shared" si="37"/>
        <v>6.44</v>
      </c>
      <c r="E105" s="12">
        <f t="shared" si="38"/>
        <v>0.13573008461313113</v>
      </c>
      <c r="F105" s="12">
        <f t="shared" si="39"/>
        <v>49463.99116942488</v>
      </c>
      <c r="G105" s="12">
        <f t="shared" si="39"/>
        <v>0.111692733764648</v>
      </c>
      <c r="H105" s="12">
        <f t="shared" si="40"/>
        <v>1.4492753623188408</v>
      </c>
      <c r="I105" s="14">
        <f t="shared" si="41"/>
        <v>1.4290033692977473E-2</v>
      </c>
      <c r="J105" s="12">
        <f t="shared" si="42"/>
        <v>2.38851188830618</v>
      </c>
      <c r="K105" s="12"/>
    </row>
    <row r="106" spans="1:11" x14ac:dyDescent="0.25">
      <c r="A106">
        <f t="shared" si="43"/>
        <v>25</v>
      </c>
      <c r="B106" s="3" t="s">
        <v>388</v>
      </c>
      <c r="C106" s="12">
        <f t="shared" si="35"/>
        <v>82.4</v>
      </c>
      <c r="D106" s="12">
        <f t="shared" si="37"/>
        <v>11.14</v>
      </c>
      <c r="E106" s="12">
        <f t="shared" si="38"/>
        <v>0.26420724338332457</v>
      </c>
      <c r="F106" s="12">
        <f t="shared" si="39"/>
        <v>48758.857022163567</v>
      </c>
      <c r="G106" s="12">
        <f t="shared" si="39"/>
        <v>9.7091884613037097E-2</v>
      </c>
      <c r="H106" s="12">
        <f t="shared" si="40"/>
        <v>1.3888888888888888</v>
      </c>
      <c r="I106" s="14">
        <f t="shared" si="41"/>
        <v>2.7257933919082444E-3</v>
      </c>
      <c r="J106" s="12">
        <f t="shared" si="42"/>
        <v>1.3543893401962401</v>
      </c>
      <c r="K106" s="12"/>
    </row>
    <row r="107" spans="1:11" x14ac:dyDescent="0.25">
      <c r="A107">
        <f t="shared" si="43"/>
        <v>26</v>
      </c>
      <c r="B107" s="3" t="s">
        <v>503</v>
      </c>
      <c r="C107" s="12">
        <f t="shared" si="35"/>
        <v>76.599999999999994</v>
      </c>
      <c r="D107" s="12">
        <f t="shared" si="37"/>
        <v>6.48</v>
      </c>
      <c r="E107" s="12">
        <f t="shared" si="38"/>
        <v>0.28057278923453338</v>
      </c>
      <c r="F107" s="12">
        <f t="shared" si="39"/>
        <v>47903.341148648993</v>
      </c>
      <c r="G107" s="12">
        <f t="shared" si="39"/>
        <v>8.1443548202514593E-2</v>
      </c>
      <c r="H107" s="12">
        <f t="shared" si="40"/>
        <v>1.0989010989010988</v>
      </c>
      <c r="I107" s="14">
        <f t="shared" si="41"/>
        <v>5.7539370505220707E-3</v>
      </c>
      <c r="J107" s="12">
        <f t="shared" si="42"/>
        <v>1.7305450659253301</v>
      </c>
      <c r="K107" s="12"/>
    </row>
    <row r="108" spans="1:11" x14ac:dyDescent="0.25">
      <c r="A108">
        <f t="shared" si="43"/>
        <v>27</v>
      </c>
      <c r="B108" s="3" t="s">
        <v>334</v>
      </c>
      <c r="C108" s="12">
        <f t="shared" si="35"/>
        <v>82</v>
      </c>
      <c r="D108" s="12">
        <f t="shared" si="37"/>
        <v>9.48</v>
      </c>
      <c r="E108" s="12">
        <f t="shared" si="38"/>
        <v>0.16849951511945693</v>
      </c>
      <c r="F108" s="12">
        <f t="shared" si="39"/>
        <v>54947.470137240023</v>
      </c>
      <c r="G108" s="12">
        <f t="shared" si="39"/>
        <v>0.11501742362976101</v>
      </c>
      <c r="H108" s="12">
        <f t="shared" si="40"/>
        <v>1.6129032258064517</v>
      </c>
      <c r="I108" s="14">
        <f t="shared" si="41"/>
        <v>3.2744315004659833E-3</v>
      </c>
      <c r="J108" s="12">
        <f t="shared" si="42"/>
        <v>1.1879860151950101</v>
      </c>
      <c r="K108" s="12"/>
    </row>
    <row r="109" spans="1:11" x14ac:dyDescent="0.25">
      <c r="A109">
        <f t="shared" si="43"/>
        <v>28</v>
      </c>
      <c r="B109" s="3" t="s">
        <v>63</v>
      </c>
      <c r="C109" s="12">
        <f t="shared" si="35"/>
        <v>83.4</v>
      </c>
      <c r="D109" s="12">
        <f t="shared" si="37"/>
        <v>11.25</v>
      </c>
      <c r="E109" s="12">
        <f t="shared" si="38"/>
        <v>0.30835749238297477</v>
      </c>
      <c r="F109" s="12">
        <f t="shared" si="39"/>
        <v>70206.611636511487</v>
      </c>
      <c r="G109" s="12">
        <f t="shared" si="39"/>
        <v>0.13531939506530802</v>
      </c>
      <c r="H109" s="12">
        <f t="shared" si="40"/>
        <v>0.9009009009009008</v>
      </c>
      <c r="I109" s="14">
        <f t="shared" si="41"/>
        <v>6.5356158624584309E-3</v>
      </c>
      <c r="J109" s="12">
        <f t="shared" si="42"/>
        <v>1.30746311852624</v>
      </c>
      <c r="K109" s="12"/>
    </row>
    <row r="110" spans="1:11" x14ac:dyDescent="0.25">
      <c r="B110" t="s">
        <v>686</v>
      </c>
      <c r="C110" s="12">
        <f>MIN(C82:C109)</f>
        <v>75.8</v>
      </c>
      <c r="D110" s="12">
        <f t="shared" ref="D110:J110" si="44">MIN(D82:D109)</f>
        <v>5.67</v>
      </c>
      <c r="E110" s="12">
        <f t="shared" si="44"/>
        <v>8.0276451337688293E-2</v>
      </c>
      <c r="F110" s="12">
        <f t="shared" si="44"/>
        <v>38689.548074916594</v>
      </c>
      <c r="G110" s="12">
        <f t="shared" si="44"/>
        <v>7.1118955612182594E-2</v>
      </c>
      <c r="H110" s="12">
        <f t="shared" si="44"/>
        <v>0.24691358024691359</v>
      </c>
      <c r="I110" s="12">
        <f t="shared" si="44"/>
        <v>2.190270488395412E-3</v>
      </c>
      <c r="J110" s="12">
        <f t="shared" si="44"/>
        <v>1E-3</v>
      </c>
      <c r="K110" s="12"/>
    </row>
    <row r="111" spans="1:11" x14ac:dyDescent="0.25">
      <c r="B111" t="s">
        <v>687</v>
      </c>
      <c r="C111">
        <f>MAX(C82:C109)</f>
        <v>84.2</v>
      </c>
      <c r="D111" s="12">
        <f t="shared" ref="D111:J111" si="45">MAX(D82:D109)</f>
        <v>12.934129710000001</v>
      </c>
      <c r="E111" s="12">
        <f t="shared" si="45"/>
        <v>0.31994288197678028</v>
      </c>
      <c r="F111" s="12">
        <f t="shared" si="45"/>
        <v>143341.47312464545</v>
      </c>
      <c r="G111" s="12">
        <f t="shared" si="45"/>
        <v>0.15406312942504902</v>
      </c>
      <c r="H111" s="12">
        <f t="shared" si="45"/>
        <v>2.0833333333333335</v>
      </c>
      <c r="I111" s="12">
        <f t="shared" si="45"/>
        <v>2.789659192825112E-2</v>
      </c>
      <c r="J111" s="12">
        <f t="shared" si="45"/>
        <v>3.6920744951686402</v>
      </c>
      <c r="K111" s="12"/>
    </row>
    <row r="113" spans="1:11" x14ac:dyDescent="0.25">
      <c r="B113" s="163" t="s">
        <v>688</v>
      </c>
      <c r="C113" s="163"/>
      <c r="D113" s="163"/>
      <c r="E113" s="163"/>
    </row>
    <row r="115" spans="1:11" ht="45" customHeight="1" x14ac:dyDescent="0.25">
      <c r="A115" s="93" t="s">
        <v>678</v>
      </c>
      <c r="B115" s="38" t="s">
        <v>653</v>
      </c>
      <c r="C115" s="91" t="s">
        <v>680</v>
      </c>
      <c r="D115" s="91" t="s">
        <v>674</v>
      </c>
      <c r="E115" s="91" t="s">
        <v>681</v>
      </c>
      <c r="F115" s="91" t="s">
        <v>677</v>
      </c>
      <c r="G115" s="91" t="s">
        <v>676</v>
      </c>
      <c r="H115" s="91" t="s">
        <v>679</v>
      </c>
      <c r="I115" s="91" t="s">
        <v>675</v>
      </c>
      <c r="J115" s="91" t="str">
        <f>J81</f>
        <v>military expenditure (% of GDP), 2022</v>
      </c>
      <c r="K115" s="94" t="s">
        <v>871</v>
      </c>
    </row>
    <row r="116" spans="1:11" x14ac:dyDescent="0.25">
      <c r="A116">
        <v>1</v>
      </c>
      <c r="B116" s="4" t="s">
        <v>54</v>
      </c>
      <c r="C116">
        <f>(C82-C$110)/(C$111-C$110)</f>
        <v>0.69047619047618969</v>
      </c>
      <c r="D116">
        <f t="shared" ref="D116:J116" si="46">(D82-D$110)/(D$111-D$110)</f>
        <v>0.88517141855937465</v>
      </c>
      <c r="E116">
        <f t="shared" si="46"/>
        <v>0.29412941030462914</v>
      </c>
      <c r="F116">
        <f t="shared" si="46"/>
        <v>0.33503258172081024</v>
      </c>
      <c r="G116">
        <f t="shared" si="46"/>
        <v>0.20489479123873372</v>
      </c>
      <c r="H116">
        <f t="shared" si="46"/>
        <v>0.62184873949579822</v>
      </c>
      <c r="I116">
        <f t="shared" si="46"/>
        <v>0</v>
      </c>
      <c r="J116" s="51">
        <f t="shared" si="46"/>
        <v>0.20904675817215124</v>
      </c>
      <c r="K116" s="68">
        <f>SUMPRODUCT(C116:J116,$C$74:$J$74)</f>
        <v>0.34109250641603628</v>
      </c>
    </row>
    <row r="117" spans="1:11" x14ac:dyDescent="0.25">
      <c r="A117">
        <f>A116+1</f>
        <v>2</v>
      </c>
      <c r="B117" s="3" t="s">
        <v>587</v>
      </c>
      <c r="C117">
        <f t="shared" ref="C117:J117" si="47">(C83-C$110)/(C$111-C$110)</f>
        <v>0.79761904761904745</v>
      </c>
      <c r="D117">
        <f t="shared" si="47"/>
        <v>0.73964919742601887</v>
      </c>
      <c r="E117">
        <f t="shared" si="47"/>
        <v>0.22903845682167454</v>
      </c>
      <c r="F117">
        <f t="shared" si="47"/>
        <v>0.3035434879557557</v>
      </c>
      <c r="G117">
        <f t="shared" si="47"/>
        <v>0.50730322086314195</v>
      </c>
      <c r="H117">
        <f t="shared" si="47"/>
        <v>0.21914220233547962</v>
      </c>
      <c r="I117">
        <f t="shared" si="47"/>
        <v>2.1981643937232054E-2</v>
      </c>
      <c r="J117" s="51">
        <f t="shared" si="47"/>
        <v>0.31934795216916512</v>
      </c>
      <c r="K117" s="68">
        <f t="shared" ref="K117:K143" si="48">SUMPRODUCT(C117:J117,$C$74:$J$74)</f>
        <v>0.26997893663282901</v>
      </c>
    </row>
    <row r="118" spans="1:11" x14ac:dyDescent="0.25">
      <c r="A118">
        <f t="shared" ref="A118:A143" si="49">A117+1</f>
        <v>3</v>
      </c>
      <c r="B118" s="3" t="s">
        <v>556</v>
      </c>
      <c r="C118">
        <f t="shared" ref="C118:J118" si="50">(C84-C$110)/(C$111-C$110)</f>
        <v>0</v>
      </c>
      <c r="D118">
        <f t="shared" si="50"/>
        <v>0.39784531876152307</v>
      </c>
      <c r="E118">
        <f t="shared" si="50"/>
        <v>0.51254635086459155</v>
      </c>
      <c r="F118">
        <f t="shared" si="50"/>
        <v>0</v>
      </c>
      <c r="G118">
        <f t="shared" si="50"/>
        <v>0.41591537261965073</v>
      </c>
      <c r="H118">
        <f t="shared" si="50"/>
        <v>0.35612082670906192</v>
      </c>
      <c r="I118">
        <f t="shared" si="50"/>
        <v>0.26642035659377789</v>
      </c>
      <c r="J118" s="51">
        <f t="shared" si="50"/>
        <v>0.40831564269937926</v>
      </c>
      <c r="K118" s="68">
        <f t="shared" si="48"/>
        <v>0.32588024247193598</v>
      </c>
    </row>
    <row r="119" spans="1:11" x14ac:dyDescent="0.25">
      <c r="A119">
        <f t="shared" si="49"/>
        <v>4</v>
      </c>
      <c r="B119" s="3" t="s">
        <v>169</v>
      </c>
      <c r="C119">
        <f t="shared" ref="C119:J119" si="51">(C85-C$110)/(C$111-C$110)</f>
        <v>1</v>
      </c>
      <c r="D119">
        <f t="shared" si="51"/>
        <v>0.84402123788618288</v>
      </c>
      <c r="E119">
        <f t="shared" si="51"/>
        <v>0.69730820274142036</v>
      </c>
      <c r="F119">
        <f t="shared" si="51"/>
        <v>0.51877549099436338</v>
      </c>
      <c r="G119">
        <f t="shared" si="51"/>
        <v>0.89686175994072059</v>
      </c>
      <c r="H119">
        <f t="shared" si="51"/>
        <v>1</v>
      </c>
      <c r="I119">
        <f t="shared" si="51"/>
        <v>7.9700972839700845E-2</v>
      </c>
      <c r="J119" s="51">
        <f t="shared" si="51"/>
        <v>0.2068918936495284</v>
      </c>
      <c r="K119" s="68">
        <f t="shared" si="48"/>
        <v>0.56784133766345946</v>
      </c>
    </row>
    <row r="120" spans="1:11" x14ac:dyDescent="0.25">
      <c r="A120">
        <f t="shared" si="49"/>
        <v>5</v>
      </c>
      <c r="B120" s="3" t="s">
        <v>401</v>
      </c>
      <c r="C120">
        <f t="shared" ref="C120:J120" si="52">(C86-C$110)/(C$111-C$110)</f>
        <v>0.79761904761904745</v>
      </c>
      <c r="D120">
        <f t="shared" si="52"/>
        <v>0.51761190261014756</v>
      </c>
      <c r="E120">
        <f t="shared" si="52"/>
        <v>0.42756156085767333</v>
      </c>
      <c r="F120">
        <f t="shared" si="52"/>
        <v>0.17592525660741398</v>
      </c>
      <c r="G120">
        <f t="shared" si="52"/>
        <v>0.67808431257097979</v>
      </c>
      <c r="H120">
        <f t="shared" si="52"/>
        <v>0.57273818618356431</v>
      </c>
      <c r="I120">
        <f t="shared" si="52"/>
        <v>1</v>
      </c>
      <c r="J120" s="51">
        <f t="shared" si="52"/>
        <v>0.49140071651277256</v>
      </c>
      <c r="K120" s="68">
        <f t="shared" si="48"/>
        <v>0.58298232422528373</v>
      </c>
    </row>
    <row r="121" spans="1:11" x14ac:dyDescent="0.25">
      <c r="A121">
        <f t="shared" si="49"/>
        <v>6</v>
      </c>
      <c r="B121" s="3" t="s">
        <v>311</v>
      </c>
      <c r="C121">
        <f t="shared" ref="C121:J121" si="53">(C87-C$110)/(C$111-C$110)</f>
        <v>0.5</v>
      </c>
      <c r="D121">
        <f t="shared" si="53"/>
        <v>0.52570464081099122</v>
      </c>
      <c r="E121">
        <f t="shared" si="53"/>
        <v>0.167512767361018</v>
      </c>
      <c r="F121">
        <f t="shared" si="53"/>
        <v>0.14454827569983411</v>
      </c>
      <c r="G121">
        <f t="shared" si="53"/>
        <v>0.45392072759825441</v>
      </c>
      <c r="H121">
        <f t="shared" si="53"/>
        <v>0.59159663865546208</v>
      </c>
      <c r="I121">
        <f t="shared" si="53"/>
        <v>9.8847034463884348E-2</v>
      </c>
      <c r="J121" s="51">
        <f t="shared" si="53"/>
        <v>0.367660916602494</v>
      </c>
      <c r="K121" s="68">
        <f t="shared" si="48"/>
        <v>0.32884945989297476</v>
      </c>
    </row>
    <row r="122" spans="1:11" x14ac:dyDescent="0.25">
      <c r="A122">
        <f t="shared" si="49"/>
        <v>7</v>
      </c>
      <c r="B122" s="3" t="s">
        <v>436</v>
      </c>
      <c r="C122">
        <f t="shared" ref="C122:J122" si="54">(C88-C$110)/(C$111-C$110)</f>
        <v>0.64285714285714313</v>
      </c>
      <c r="D122">
        <f t="shared" si="54"/>
        <v>1</v>
      </c>
      <c r="E122">
        <f t="shared" si="54"/>
        <v>0.2401476275423132</v>
      </c>
      <c r="F122">
        <f t="shared" si="54"/>
        <v>0.29286365384073249</v>
      </c>
      <c r="G122">
        <f t="shared" si="54"/>
        <v>0.23561353965419465</v>
      </c>
      <c r="H122">
        <f t="shared" si="54"/>
        <v>0.60140813081989541</v>
      </c>
      <c r="I122">
        <f t="shared" si="54"/>
        <v>1.4954733804047445E-2</v>
      </c>
      <c r="J122" s="51">
        <f t="shared" si="54"/>
        <v>0.37632808858631989</v>
      </c>
      <c r="K122" s="68">
        <f t="shared" si="48"/>
        <v>0.36362339494520213</v>
      </c>
    </row>
    <row r="123" spans="1:11" x14ac:dyDescent="0.25">
      <c r="A123">
        <f t="shared" si="49"/>
        <v>8</v>
      </c>
      <c r="B123" s="3" t="s">
        <v>274</v>
      </c>
      <c r="C123">
        <f t="shared" ref="C123:J123" si="55">(C89-C$110)/(C$111-C$110)</f>
        <v>0.72619047619047672</v>
      </c>
      <c r="D123">
        <f t="shared" si="55"/>
        <v>0.70896311128783518</v>
      </c>
      <c r="E123">
        <f t="shared" si="55"/>
        <v>0.55446617253105301</v>
      </c>
      <c r="F123">
        <f t="shared" si="55"/>
        <v>0.36309274531508007</v>
      </c>
      <c r="G123">
        <f t="shared" si="55"/>
        <v>0.57586750503919115</v>
      </c>
      <c r="H123">
        <f t="shared" si="55"/>
        <v>0.41008403361344536</v>
      </c>
      <c r="I123">
        <f t="shared" si="55"/>
        <v>0.78872202350707521</v>
      </c>
      <c r="J123" s="51">
        <f t="shared" si="55"/>
        <v>0.38415923961681386</v>
      </c>
      <c r="K123" s="68">
        <f t="shared" si="48"/>
        <v>0.53140761294582739</v>
      </c>
    </row>
    <row r="124" spans="1:11" x14ac:dyDescent="0.25">
      <c r="A124">
        <f t="shared" si="49"/>
        <v>9</v>
      </c>
      <c r="B124" s="3" t="s">
        <v>72</v>
      </c>
      <c r="C124">
        <f t="shared" ref="C124:J124" si="56">(C90-C$110)/(C$111-C$110)</f>
        <v>0.97619047619047583</v>
      </c>
      <c r="D124">
        <f t="shared" si="56"/>
        <v>0.69795544303406976</v>
      </c>
      <c r="E124">
        <f t="shared" si="56"/>
        <v>0.64001680372289471</v>
      </c>
      <c r="F124">
        <f t="shared" si="56"/>
        <v>0.13463379651887458</v>
      </c>
      <c r="G124">
        <f t="shared" si="56"/>
        <v>0.24916816396577943</v>
      </c>
      <c r="H124">
        <f t="shared" si="56"/>
        <v>0.65473145780051156</v>
      </c>
      <c r="I124">
        <f t="shared" si="56"/>
        <v>7.0897272257300248E-2</v>
      </c>
      <c r="J124" s="51">
        <f t="shared" si="56"/>
        <v>0.39691256455944129</v>
      </c>
      <c r="K124" s="68">
        <f t="shared" si="48"/>
        <v>0.40781930948999823</v>
      </c>
    </row>
    <row r="125" spans="1:11" x14ac:dyDescent="0.25">
      <c r="A125">
        <f t="shared" si="49"/>
        <v>10</v>
      </c>
      <c r="B125" s="3" t="s">
        <v>468</v>
      </c>
      <c r="C125">
        <f t="shared" ref="C125:J125" si="57">(C91-C$110)/(C$111-C$110)</f>
        <v>0.35714285714285693</v>
      </c>
      <c r="D125">
        <f t="shared" si="57"/>
        <v>0.2506250580153806</v>
      </c>
      <c r="E125">
        <f t="shared" si="57"/>
        <v>0.44664410821290051</v>
      </c>
      <c r="F125">
        <f t="shared" si="57"/>
        <v>9.8446281531556143E-2</v>
      </c>
      <c r="G125">
        <f t="shared" si="57"/>
        <v>0.86082942494861048</v>
      </c>
      <c r="H125">
        <f t="shared" si="57"/>
        <v>0.26890756302521007</v>
      </c>
      <c r="I125">
        <f t="shared" si="57"/>
        <v>0.20714257037948294</v>
      </c>
      <c r="J125" s="51">
        <f t="shared" si="57"/>
        <v>0.56505654202435396</v>
      </c>
      <c r="K125" s="68">
        <f t="shared" si="48"/>
        <v>0.34681919093750813</v>
      </c>
    </row>
    <row r="126" spans="1:11" x14ac:dyDescent="0.25">
      <c r="A126">
        <f t="shared" si="49"/>
        <v>11</v>
      </c>
      <c r="B126" s="3" t="s">
        <v>47</v>
      </c>
      <c r="C126">
        <f t="shared" ref="C126:J126" si="58">(C92-C$110)/(C$111-C$110)</f>
        <v>0.70238095238095255</v>
      </c>
      <c r="D126">
        <f t="shared" si="58"/>
        <v>0.63049534945597763</v>
      </c>
      <c r="E126">
        <f t="shared" si="58"/>
        <v>0.30011373681741466</v>
      </c>
      <c r="F126">
        <f t="shared" si="58"/>
        <v>0.25198892494700226</v>
      </c>
      <c r="G126">
        <f t="shared" si="58"/>
        <v>0.37606335831686599</v>
      </c>
      <c r="H126">
        <f t="shared" si="58"/>
        <v>0.22857142857142854</v>
      </c>
      <c r="I126">
        <f t="shared" si="58"/>
        <v>0.46948184750195765</v>
      </c>
      <c r="J126" s="51">
        <f t="shared" si="58"/>
        <v>0.4661739839899694</v>
      </c>
      <c r="K126" s="68">
        <f t="shared" si="48"/>
        <v>0.37163859151107115</v>
      </c>
    </row>
    <row r="127" spans="1:11" x14ac:dyDescent="0.25">
      <c r="A127">
        <f t="shared" si="49"/>
        <v>12</v>
      </c>
      <c r="B127" s="3" t="s">
        <v>337</v>
      </c>
      <c r="C127">
        <f t="shared" ref="C127:J127" si="59">(C93-C$110)/(C$111-C$110)</f>
        <v>0.86904761904761807</v>
      </c>
      <c r="D127">
        <f t="shared" si="59"/>
        <v>0.91378775366058251</v>
      </c>
      <c r="E127">
        <f t="shared" si="59"/>
        <v>0.72038586382339076</v>
      </c>
      <c r="F127">
        <f t="shared" si="59"/>
        <v>0.21468525049743706</v>
      </c>
      <c r="G127">
        <f t="shared" si="59"/>
        <v>0.21261474933620358</v>
      </c>
      <c r="H127">
        <f t="shared" si="59"/>
        <v>0.31557747065768454</v>
      </c>
      <c r="I127">
        <f t="shared" si="59"/>
        <v>0.29027108485924735</v>
      </c>
      <c r="J127" s="51">
        <f t="shared" si="59"/>
        <v>0.52497542940546316</v>
      </c>
      <c r="K127" s="68">
        <f t="shared" si="48"/>
        <v>0.42694922304553107</v>
      </c>
    </row>
    <row r="128" spans="1:11" x14ac:dyDescent="0.25">
      <c r="A128">
        <f t="shared" si="49"/>
        <v>13</v>
      </c>
      <c r="B128" s="3" t="s">
        <v>631</v>
      </c>
      <c r="C128">
        <f t="shared" ref="C128:J128" si="60">(C94-C$110)/(C$111-C$110)</f>
        <v>0.69047619047618969</v>
      </c>
      <c r="D128">
        <f t="shared" si="60"/>
        <v>0.48223091820313879</v>
      </c>
      <c r="E128">
        <f t="shared" si="60"/>
        <v>0.54029657181235724</v>
      </c>
      <c r="F128">
        <f t="shared" si="60"/>
        <v>2.3862572300376861E-2</v>
      </c>
      <c r="G128">
        <f t="shared" si="60"/>
        <v>0</v>
      </c>
      <c r="H128">
        <f t="shared" si="60"/>
        <v>0.58204334365325083</v>
      </c>
      <c r="I128">
        <f t="shared" si="60"/>
        <v>0.24755140989629271</v>
      </c>
      <c r="J128" s="51">
        <f t="shared" si="60"/>
        <v>1</v>
      </c>
      <c r="K128" s="68">
        <f t="shared" si="48"/>
        <v>0.46216595266670613</v>
      </c>
    </row>
    <row r="129" spans="1:11" x14ac:dyDescent="0.25">
      <c r="A129">
        <f t="shared" si="49"/>
        <v>14</v>
      </c>
      <c r="B129" s="3" t="s">
        <v>473</v>
      </c>
      <c r="C129">
        <f t="shared" ref="C129:J129" si="61">(C95-C$110)/(C$111-C$110)</f>
        <v>0.33333333333333276</v>
      </c>
      <c r="D129">
        <f t="shared" si="61"/>
        <v>0.33452045833581345</v>
      </c>
      <c r="E129">
        <f t="shared" si="61"/>
        <v>0.74580145142087317</v>
      </c>
      <c r="F129">
        <f t="shared" si="61"/>
        <v>6.8991434279191383E-2</v>
      </c>
      <c r="G129">
        <f t="shared" si="61"/>
        <v>0.43507712197091686</v>
      </c>
      <c r="H129">
        <f t="shared" si="61"/>
        <v>0.54621848739495793</v>
      </c>
      <c r="I129">
        <f t="shared" si="61"/>
        <v>4.1408269951536431E-2</v>
      </c>
      <c r="J129" s="51">
        <f t="shared" si="61"/>
        <v>0.58695388542738847</v>
      </c>
      <c r="K129" s="68">
        <f t="shared" si="48"/>
        <v>0.39348623072404676</v>
      </c>
    </row>
    <row r="130" spans="1:11" x14ac:dyDescent="0.25">
      <c r="A130">
        <f t="shared" si="49"/>
        <v>15</v>
      </c>
      <c r="B130" s="3" t="s">
        <v>46</v>
      </c>
      <c r="C130">
        <f t="shared" ref="C130:J130" si="62">(C96-C$110)/(C$111-C$110)</f>
        <v>0.13095238095238187</v>
      </c>
      <c r="D130">
        <f t="shared" si="62"/>
        <v>0.23540328549557243</v>
      </c>
      <c r="E130">
        <f t="shared" si="62"/>
        <v>0.5737559692682872</v>
      </c>
      <c r="F130">
        <f t="shared" si="62"/>
        <v>6.9302322076916223E-2</v>
      </c>
      <c r="G130">
        <f t="shared" si="62"/>
        <v>0.39199813919840137</v>
      </c>
      <c r="H130">
        <f t="shared" si="62"/>
        <v>0.4843391902215432</v>
      </c>
      <c r="I130">
        <f t="shared" si="62"/>
        <v>0.11788468856954332</v>
      </c>
      <c r="J130" s="51">
        <f t="shared" si="62"/>
        <v>0.41308762770932828</v>
      </c>
      <c r="K130" s="68">
        <f t="shared" si="48"/>
        <v>0.33146908020091331</v>
      </c>
    </row>
    <row r="131" spans="1:11" x14ac:dyDescent="0.25">
      <c r="A131">
        <f t="shared" si="49"/>
        <v>16</v>
      </c>
      <c r="B131" s="3" t="s">
        <v>25</v>
      </c>
      <c r="C131">
        <f t="shared" ref="C131:J131" si="63">(C97-C$110)/(C$111-C$110)</f>
        <v>0.80952380952380865</v>
      </c>
      <c r="D131">
        <f t="shared" si="63"/>
        <v>0.55891072462691471</v>
      </c>
      <c r="E131">
        <f t="shared" si="63"/>
        <v>0.72204797329909265</v>
      </c>
      <c r="F131">
        <f t="shared" si="63"/>
        <v>0.3714947787074534</v>
      </c>
      <c r="G131">
        <f t="shared" si="63"/>
        <v>1</v>
      </c>
      <c r="H131">
        <f t="shared" si="63"/>
        <v>0.37926113841763115</v>
      </c>
      <c r="I131">
        <f t="shared" si="63"/>
        <v>4.3380073420313733E-2</v>
      </c>
      <c r="J131" s="51">
        <f t="shared" si="63"/>
        <v>0</v>
      </c>
      <c r="K131" s="68">
        <f t="shared" si="48"/>
        <v>0.35439114774166947</v>
      </c>
    </row>
    <row r="132" spans="1:11" x14ac:dyDescent="0.25">
      <c r="A132">
        <f t="shared" si="49"/>
        <v>17</v>
      </c>
      <c r="B132" s="3" t="s">
        <v>155</v>
      </c>
      <c r="C132">
        <f t="shared" ref="C132:J132" si="64">(C98-C$110)/(C$111-C$110)</f>
        <v>0.95238095238095177</v>
      </c>
      <c r="D132">
        <f t="shared" si="64"/>
        <v>0.51072876560735314</v>
      </c>
      <c r="E132">
        <f t="shared" si="64"/>
        <v>0.54673504503057779</v>
      </c>
      <c r="F132">
        <f t="shared" si="64"/>
        <v>0.19173426378368874</v>
      </c>
      <c r="G132">
        <f t="shared" si="64"/>
        <v>3.9215094476728135E-2</v>
      </c>
      <c r="H132">
        <f t="shared" si="64"/>
        <v>0.85561497326203195</v>
      </c>
      <c r="I132">
        <f t="shared" si="64"/>
        <v>2.715701355058046E-2</v>
      </c>
      <c r="J132" s="51">
        <f t="shared" si="64"/>
        <v>0.45463518567779276</v>
      </c>
      <c r="K132" s="68">
        <f t="shared" si="48"/>
        <v>0.42156206873582408</v>
      </c>
    </row>
    <row r="133" spans="1:11" x14ac:dyDescent="0.25">
      <c r="A133">
        <f t="shared" si="49"/>
        <v>18</v>
      </c>
      <c r="B133" s="3" t="s">
        <v>379</v>
      </c>
      <c r="C133">
        <f t="shared" ref="C133:J133" si="65">(C99-C$110)/(C$111-C$110)</f>
        <v>0.17857142857142846</v>
      </c>
      <c r="D133">
        <f t="shared" si="65"/>
        <v>0.29597489112016423</v>
      </c>
      <c r="E133">
        <f t="shared" si="65"/>
        <v>0.66229242313099246</v>
      </c>
      <c r="F133">
        <f t="shared" si="65"/>
        <v>0.12601257395020496</v>
      </c>
      <c r="G133">
        <f t="shared" si="65"/>
        <v>0.67908324017252475</v>
      </c>
      <c r="H133">
        <f t="shared" si="65"/>
        <v>0.11194341990189739</v>
      </c>
      <c r="I133">
        <f t="shared" si="65"/>
        <v>0.25720768353178314</v>
      </c>
      <c r="J133" s="51">
        <f t="shared" si="65"/>
        <v>0.68316791456979264</v>
      </c>
      <c r="K133" s="68">
        <f t="shared" si="48"/>
        <v>0.36094196308272275</v>
      </c>
    </row>
    <row r="134" spans="1:11" x14ac:dyDescent="0.25">
      <c r="A134">
        <f t="shared" si="49"/>
        <v>19</v>
      </c>
      <c r="B134" s="3" t="s">
        <v>263</v>
      </c>
      <c r="C134">
        <f t="shared" ref="C134:J134" si="66">(C100-C$110)/(C$111-C$110)</f>
        <v>0.90476190476190521</v>
      </c>
      <c r="D134">
        <f t="shared" si="66"/>
        <v>0</v>
      </c>
      <c r="E134">
        <f t="shared" si="66"/>
        <v>0</v>
      </c>
      <c r="F134">
        <f t="shared" si="66"/>
        <v>1</v>
      </c>
      <c r="G134">
        <f t="shared" si="66"/>
        <v>0.46914540524922532</v>
      </c>
      <c r="H134">
        <f t="shared" si="66"/>
        <v>0.25730004231908593</v>
      </c>
      <c r="I134">
        <f t="shared" si="66"/>
        <v>0.11527218635566734</v>
      </c>
      <c r="J134" s="51">
        <f t="shared" si="66"/>
        <v>0.18948594123809198</v>
      </c>
      <c r="K134" s="68">
        <f t="shared" si="48"/>
        <v>0.27966558529332386</v>
      </c>
    </row>
    <row r="135" spans="1:11" x14ac:dyDescent="0.25">
      <c r="A135">
        <f t="shared" si="49"/>
        <v>20</v>
      </c>
      <c r="B135" s="3" t="s">
        <v>240</v>
      </c>
      <c r="C135">
        <f t="shared" ref="C135:J135" si="67">(C101-C$110)/(C$111-C$110)</f>
        <v>1.1904761904762912E-2</v>
      </c>
      <c r="D135">
        <f t="shared" si="67"/>
        <v>0.46392343398835029</v>
      </c>
      <c r="E135">
        <f t="shared" si="67"/>
        <v>0.80956645558481344</v>
      </c>
      <c r="F135">
        <f t="shared" si="67"/>
        <v>3.6420541765683885E-2</v>
      </c>
      <c r="G135">
        <f t="shared" si="67"/>
        <v>0.66807365067450564</v>
      </c>
      <c r="H135" s="15">
        <f t="shared" si="67"/>
        <v>0</v>
      </c>
      <c r="I135">
        <f t="shared" si="67"/>
        <v>9.7930143245992265E-2</v>
      </c>
      <c r="J135" s="51">
        <f t="shared" si="67"/>
        <v>0.55508636773553399</v>
      </c>
      <c r="K135" s="68">
        <f t="shared" si="48"/>
        <v>0.29987561702859511</v>
      </c>
    </row>
    <row r="136" spans="1:11" x14ac:dyDescent="0.25">
      <c r="A136">
        <f t="shared" si="49"/>
        <v>21</v>
      </c>
      <c r="B136" s="3" t="s">
        <v>361</v>
      </c>
      <c r="C136">
        <f t="shared" ref="C136:J136" si="68">(C102-C$110)/(C$111-C$110)</f>
        <v>0.9285714285714276</v>
      </c>
      <c r="D136">
        <f t="shared" si="68"/>
        <v>0.67592405367442143</v>
      </c>
      <c r="E136">
        <f t="shared" si="68"/>
        <v>1</v>
      </c>
      <c r="F136">
        <f t="shared" si="68"/>
        <v>0.22700139920230514</v>
      </c>
      <c r="G136">
        <f t="shared" si="68"/>
        <v>0.66876857682825885</v>
      </c>
      <c r="H136">
        <f t="shared" si="68"/>
        <v>0.21914220233547962</v>
      </c>
      <c r="I136">
        <f t="shared" si="68"/>
        <v>4.6464417450880778E-2</v>
      </c>
      <c r="J136" s="51">
        <f t="shared" si="68"/>
        <v>0.13497610672508589</v>
      </c>
      <c r="K136" s="68">
        <f t="shared" si="48"/>
        <v>0.34627300126465793</v>
      </c>
    </row>
    <row r="137" spans="1:11" x14ac:dyDescent="0.25">
      <c r="A137">
        <f t="shared" si="49"/>
        <v>22</v>
      </c>
      <c r="B137" s="3" t="s">
        <v>14</v>
      </c>
      <c r="C137">
        <f t="shared" ref="C137:J137" si="69">(C103-C$110)/(C$111-C$110)</f>
        <v>0.73809523809523792</v>
      </c>
      <c r="D137">
        <f t="shared" si="69"/>
        <v>0.77366459911410346</v>
      </c>
      <c r="E137">
        <f t="shared" si="69"/>
        <v>0.22349614505105148</v>
      </c>
      <c r="F137">
        <f t="shared" si="69"/>
        <v>0.37768553430968038</v>
      </c>
      <c r="G137">
        <f t="shared" si="69"/>
        <v>0.47116832562464023</v>
      </c>
      <c r="H137">
        <f t="shared" si="69"/>
        <v>0.53781512605042014</v>
      </c>
      <c r="I137">
        <f t="shared" si="69"/>
        <v>0.21525979335731305</v>
      </c>
      <c r="J137" s="51">
        <f t="shared" si="69"/>
        <v>0.42867764943096537</v>
      </c>
      <c r="K137" s="68">
        <f t="shared" si="48"/>
        <v>0.40753837342914012</v>
      </c>
    </row>
    <row r="138" spans="1:11" x14ac:dyDescent="0.25">
      <c r="A138">
        <f t="shared" si="49"/>
        <v>23</v>
      </c>
      <c r="B138" s="3" t="s">
        <v>619</v>
      </c>
      <c r="C138">
        <f t="shared" ref="C138:J138" si="70">(C104-C$110)/(C$111-C$110)</f>
        <v>0.86904761904761807</v>
      </c>
      <c r="D138">
        <f t="shared" si="70"/>
        <v>0.60709268364647628</v>
      </c>
      <c r="E138">
        <f t="shared" si="70"/>
        <v>0.28548288240941117</v>
      </c>
      <c r="F138">
        <f t="shared" si="70"/>
        <v>0.62846683246987523</v>
      </c>
      <c r="G138">
        <f t="shared" si="70"/>
        <v>0.38038089173834494</v>
      </c>
      <c r="H138">
        <f t="shared" si="70"/>
        <v>0.85561497326203195</v>
      </c>
      <c r="I138">
        <f t="shared" si="70"/>
        <v>0.37566984777234141</v>
      </c>
      <c r="J138" s="51">
        <f t="shared" si="70"/>
        <v>0.44341167945518617</v>
      </c>
      <c r="K138" s="68">
        <f t="shared" si="48"/>
        <v>0.5384172152273885</v>
      </c>
    </row>
    <row r="139" spans="1:11" x14ac:dyDescent="0.25">
      <c r="A139">
        <f t="shared" si="49"/>
        <v>24</v>
      </c>
      <c r="B139" s="3" t="s">
        <v>65</v>
      </c>
      <c r="C139">
        <f t="shared" ref="C139:J139" si="71">(C105-C$110)/(C$111-C$110)</f>
        <v>0.33333333333333276</v>
      </c>
      <c r="D139">
        <f t="shared" si="71"/>
        <v>0.10600030984303561</v>
      </c>
      <c r="E139">
        <f t="shared" si="71"/>
        <v>0.23137839174043173</v>
      </c>
      <c r="F139">
        <f t="shared" si="71"/>
        <v>0.10295503966495073</v>
      </c>
      <c r="G139">
        <f t="shared" si="71"/>
        <v>0.48916971846636853</v>
      </c>
      <c r="H139">
        <f t="shared" si="71"/>
        <v>0.65473145780051156</v>
      </c>
      <c r="I139">
        <f t="shared" si="71"/>
        <v>0.47069213045092839</v>
      </c>
      <c r="J139" s="51">
        <f t="shared" si="71"/>
        <v>0.64683383969390673</v>
      </c>
      <c r="K139" s="68">
        <f t="shared" si="48"/>
        <v>0.43810777883057639</v>
      </c>
    </row>
    <row r="140" spans="1:11" x14ac:dyDescent="0.25">
      <c r="A140">
        <f t="shared" si="49"/>
        <v>25</v>
      </c>
      <c r="B140" s="3" t="s">
        <v>388</v>
      </c>
      <c r="C140">
        <f t="shared" ref="C140:J140" si="72">(C106-C$110)/(C$111-C$110)</f>
        <v>0.78571428571428614</v>
      </c>
      <c r="D140">
        <f t="shared" si="72"/>
        <v>0.7530151881057201</v>
      </c>
      <c r="E140">
        <f t="shared" si="72"/>
        <v>0.76744495069738539</v>
      </c>
      <c r="F140">
        <f t="shared" si="72"/>
        <v>9.6217140224245323E-2</v>
      </c>
      <c r="G140">
        <f t="shared" si="72"/>
        <v>0.31313747315698193</v>
      </c>
      <c r="H140">
        <f t="shared" si="72"/>
        <v>0.62184873949579822</v>
      </c>
      <c r="I140">
        <f t="shared" si="72"/>
        <v>2.0832342922567852E-2</v>
      </c>
      <c r="J140" s="51">
        <f t="shared" si="72"/>
        <v>0.36666540921017249</v>
      </c>
      <c r="K140" s="68">
        <f t="shared" si="48"/>
        <v>0.40343762227546887</v>
      </c>
    </row>
    <row r="141" spans="1:11" x14ac:dyDescent="0.25">
      <c r="A141">
        <f t="shared" si="49"/>
        <v>26</v>
      </c>
      <c r="B141" s="3" t="s">
        <v>503</v>
      </c>
      <c r="C141">
        <f t="shared" ref="C141:J141" si="73">(C107-C$110)/(C$111-C$110)</f>
        <v>9.523809523809483E-2</v>
      </c>
      <c r="D141">
        <f t="shared" si="73"/>
        <v>0.11150681944527123</v>
      </c>
      <c r="E141">
        <f t="shared" si="73"/>
        <v>0.83572963206710671</v>
      </c>
      <c r="F141">
        <f t="shared" si="73"/>
        <v>8.8042270310404291E-2</v>
      </c>
      <c r="G141">
        <f t="shared" si="73"/>
        <v>0.12447640522197151</v>
      </c>
      <c r="H141">
        <f t="shared" si="73"/>
        <v>0.46393942192261511</v>
      </c>
      <c r="I141">
        <f t="shared" si="73"/>
        <v>0.13862996969303679</v>
      </c>
      <c r="J141" s="51">
        <f t="shared" si="73"/>
        <v>0.46857495512192571</v>
      </c>
      <c r="K141" s="68">
        <f t="shared" si="48"/>
        <v>0.34999569247904727</v>
      </c>
    </row>
    <row r="142" spans="1:11" x14ac:dyDescent="0.25">
      <c r="A142">
        <f t="shared" si="49"/>
        <v>27</v>
      </c>
      <c r="B142" s="3" t="s">
        <v>334</v>
      </c>
      <c r="C142">
        <f t="shared" ref="C142:J142" si="74">(C108-C$110)/(C$111-C$110)</f>
        <v>0.73809523809523792</v>
      </c>
      <c r="D142">
        <f t="shared" si="74"/>
        <v>0.52449503961294219</v>
      </c>
      <c r="E142">
        <f t="shared" si="74"/>
        <v>0.36810772183035373</v>
      </c>
      <c r="F142">
        <f t="shared" si="74"/>
        <v>0.15535234592768296</v>
      </c>
      <c r="G142">
        <f t="shared" si="74"/>
        <v>0.52925318319065373</v>
      </c>
      <c r="H142">
        <f t="shared" si="74"/>
        <v>0.74383301707779892</v>
      </c>
      <c r="I142">
        <f t="shared" si="74"/>
        <v>4.217487961500635E-2</v>
      </c>
      <c r="J142" s="51">
        <f t="shared" si="74"/>
        <v>0.32158278483641889</v>
      </c>
      <c r="K142" s="68">
        <f t="shared" si="48"/>
        <v>0.38075822998463577</v>
      </c>
    </row>
    <row r="143" spans="1:11" x14ac:dyDescent="0.25">
      <c r="A143">
        <f t="shared" si="49"/>
        <v>28</v>
      </c>
      <c r="B143" s="3" t="s">
        <v>63</v>
      </c>
      <c r="C143" s="5">
        <f t="shared" ref="C143:J143" si="75">(C109-C$110)/(C$111-C$110)</f>
        <v>0.90476190476190521</v>
      </c>
      <c r="D143" s="5">
        <f t="shared" si="75"/>
        <v>0.76815808951186793</v>
      </c>
      <c r="E143" s="5">
        <f t="shared" si="75"/>
        <v>0.95166035742714561</v>
      </c>
      <c r="F143" s="5">
        <f t="shared" si="75"/>
        <v>0.30116085821277061</v>
      </c>
      <c r="G143" s="5">
        <f t="shared" si="75"/>
        <v>0.77401987990103482</v>
      </c>
      <c r="H143" s="5">
        <f t="shared" si="75"/>
        <v>0.35612082670906192</v>
      </c>
      <c r="I143" s="5">
        <f t="shared" si="75"/>
        <v>0.16903800818914094</v>
      </c>
      <c r="J143" s="50">
        <f t="shared" si="75"/>
        <v>0.35395197800432082</v>
      </c>
      <c r="K143" s="69">
        <f t="shared" si="48"/>
        <v>0.45399255095507124</v>
      </c>
    </row>
    <row r="144" spans="1:11" x14ac:dyDescent="0.25">
      <c r="B144" t="s">
        <v>686</v>
      </c>
      <c r="C144">
        <f>MIN(C116:C143)</f>
        <v>0</v>
      </c>
      <c r="D144">
        <f t="shared" ref="D144:J144" si="76">MIN(D116:D143)</f>
        <v>0</v>
      </c>
      <c r="E144">
        <f t="shared" si="76"/>
        <v>0</v>
      </c>
      <c r="F144">
        <f t="shared" si="76"/>
        <v>0</v>
      </c>
      <c r="G144">
        <f t="shared" si="76"/>
        <v>0</v>
      </c>
      <c r="H144">
        <f t="shared" si="76"/>
        <v>0</v>
      </c>
      <c r="I144">
        <f t="shared" si="76"/>
        <v>0</v>
      </c>
      <c r="J144" s="51">
        <f t="shared" si="76"/>
        <v>0</v>
      </c>
    </row>
    <row r="145" spans="2:10" x14ac:dyDescent="0.25">
      <c r="B145" t="s">
        <v>687</v>
      </c>
      <c r="C145">
        <f>MAX(C116:C143)</f>
        <v>1</v>
      </c>
      <c r="D145">
        <f t="shared" ref="D145:J145" si="77">MAX(D116:D143)</f>
        <v>1</v>
      </c>
      <c r="E145">
        <f t="shared" si="77"/>
        <v>1</v>
      </c>
      <c r="F145">
        <f t="shared" si="77"/>
        <v>1</v>
      </c>
      <c r="G145">
        <f t="shared" si="77"/>
        <v>1</v>
      </c>
      <c r="H145">
        <f t="shared" si="77"/>
        <v>1</v>
      </c>
      <c r="I145">
        <f t="shared" si="77"/>
        <v>1</v>
      </c>
      <c r="J145" s="51">
        <f t="shared" si="77"/>
        <v>1</v>
      </c>
    </row>
    <row r="149" spans="2:10" x14ac:dyDescent="0.25">
      <c r="C149" t="s">
        <v>689</v>
      </c>
      <c r="D149" t="s">
        <v>889</v>
      </c>
    </row>
    <row r="150" spans="2:10" x14ac:dyDescent="0.25">
      <c r="C150" s="71" t="s">
        <v>401</v>
      </c>
      <c r="D150" s="71">
        <v>0.58298232422528373</v>
      </c>
    </row>
    <row r="151" spans="2:10" x14ac:dyDescent="0.25">
      <c r="C151" s="72" t="s">
        <v>169</v>
      </c>
      <c r="D151" s="72">
        <v>0.56784133766345946</v>
      </c>
    </row>
    <row r="152" spans="2:10" x14ac:dyDescent="0.25">
      <c r="C152" s="72" t="s">
        <v>619</v>
      </c>
      <c r="D152" s="72">
        <v>0.5384172152273885</v>
      </c>
    </row>
    <row r="153" spans="2:10" x14ac:dyDescent="0.25">
      <c r="C153" s="73" t="s">
        <v>274</v>
      </c>
      <c r="D153" s="73">
        <v>0.53140761294582739</v>
      </c>
    </row>
    <row r="154" spans="2:10" x14ac:dyDescent="0.25">
      <c r="C154" s="74" t="s">
        <v>631</v>
      </c>
      <c r="D154" s="74">
        <v>0.46216595266670613</v>
      </c>
    </row>
    <row r="155" spans="2:10" x14ac:dyDescent="0.25">
      <c r="C155" s="74" t="s">
        <v>63</v>
      </c>
      <c r="D155" s="74">
        <v>0.45399255095507124</v>
      </c>
    </row>
    <row r="156" spans="2:10" x14ac:dyDescent="0.25">
      <c r="C156" s="74" t="s">
        <v>65</v>
      </c>
      <c r="D156" s="74">
        <v>0.43810777883057639</v>
      </c>
    </row>
    <row r="157" spans="2:10" x14ac:dyDescent="0.25">
      <c r="C157" s="74" t="s">
        <v>337</v>
      </c>
      <c r="D157" s="74">
        <v>0.42694922304553107</v>
      </c>
    </row>
    <row r="158" spans="2:10" x14ac:dyDescent="0.25">
      <c r="C158" s="74" t="s">
        <v>155</v>
      </c>
      <c r="D158" s="74">
        <v>0.42156206873582408</v>
      </c>
    </row>
    <row r="159" spans="2:10" x14ac:dyDescent="0.25">
      <c r="C159" s="74" t="s">
        <v>72</v>
      </c>
      <c r="D159" s="74">
        <v>0.40781930948999823</v>
      </c>
    </row>
    <row r="160" spans="2:10" x14ac:dyDescent="0.25">
      <c r="C160" s="74" t="s">
        <v>14</v>
      </c>
      <c r="D160" s="74">
        <v>0.40753837342914012</v>
      </c>
    </row>
    <row r="161" spans="3:8" x14ac:dyDescent="0.25">
      <c r="C161" s="75" t="s">
        <v>388</v>
      </c>
      <c r="D161" s="75">
        <v>0.40343762227546887</v>
      </c>
    </row>
    <row r="162" spans="3:8" x14ac:dyDescent="0.25">
      <c r="C162" s="76" t="s">
        <v>473</v>
      </c>
      <c r="D162" s="76">
        <v>0.39348623072404676</v>
      </c>
    </row>
    <row r="163" spans="3:8" x14ac:dyDescent="0.25">
      <c r="C163" s="76" t="s">
        <v>334</v>
      </c>
      <c r="D163" s="76">
        <v>0.38075822998463577</v>
      </c>
    </row>
    <row r="164" spans="3:8" x14ac:dyDescent="0.25">
      <c r="C164" s="76" t="s">
        <v>47</v>
      </c>
      <c r="D164" s="76">
        <v>0.37163859151107115</v>
      </c>
    </row>
    <row r="165" spans="3:8" x14ac:dyDescent="0.25">
      <c r="C165" s="76" t="s">
        <v>436</v>
      </c>
      <c r="D165" s="76">
        <v>0.36362339494520213</v>
      </c>
    </row>
    <row r="166" spans="3:8" x14ac:dyDescent="0.25">
      <c r="C166" s="76" t="s">
        <v>379</v>
      </c>
      <c r="D166" s="76">
        <v>0.36094196308272275</v>
      </c>
    </row>
    <row r="167" spans="3:8" x14ac:dyDescent="0.25">
      <c r="C167" s="76" t="s">
        <v>25</v>
      </c>
      <c r="D167" s="76">
        <v>0.35439114774166947</v>
      </c>
    </row>
    <row r="168" spans="3:8" x14ac:dyDescent="0.25">
      <c r="C168" s="76" t="s">
        <v>503</v>
      </c>
      <c r="D168" s="76">
        <v>0.34999569247904727</v>
      </c>
    </row>
    <row r="169" spans="3:8" x14ac:dyDescent="0.25">
      <c r="C169" s="76" t="s">
        <v>468</v>
      </c>
      <c r="D169" s="76">
        <v>0.34681919093750813</v>
      </c>
    </row>
    <row r="170" spans="3:8" x14ac:dyDescent="0.25">
      <c r="C170" s="76" t="s">
        <v>361</v>
      </c>
      <c r="D170" s="76">
        <v>0.34627300126465793</v>
      </c>
      <c r="G170" t="s">
        <v>690</v>
      </c>
      <c r="H170">
        <f>D179+D180</f>
        <v>0.47799082515779684</v>
      </c>
    </row>
    <row r="171" spans="3:8" x14ac:dyDescent="0.25">
      <c r="C171" s="76" t="s">
        <v>54</v>
      </c>
      <c r="D171" s="76">
        <v>0.34109250641603628</v>
      </c>
      <c r="G171" t="s">
        <v>683</v>
      </c>
      <c r="H171">
        <f>D179</f>
        <v>0.39596286571776579</v>
      </c>
    </row>
    <row r="172" spans="3:8" x14ac:dyDescent="0.25">
      <c r="C172" s="76" t="s">
        <v>46</v>
      </c>
      <c r="D172" s="76">
        <v>0.33146908020091331</v>
      </c>
      <c r="G172" t="s">
        <v>691</v>
      </c>
      <c r="H172">
        <f>D179-D180</f>
        <v>0.31393490627773474</v>
      </c>
    </row>
    <row r="173" spans="3:8" x14ac:dyDescent="0.25">
      <c r="C173" s="76" t="s">
        <v>311</v>
      </c>
      <c r="D173" s="76">
        <v>0.32884945989297476</v>
      </c>
    </row>
    <row r="174" spans="3:8" x14ac:dyDescent="0.25">
      <c r="C174" s="77" t="s">
        <v>556</v>
      </c>
      <c r="D174" s="77">
        <v>0.32588024247193598</v>
      </c>
    </row>
    <row r="175" spans="3:8" x14ac:dyDescent="0.25">
      <c r="C175" s="78" t="s">
        <v>240</v>
      </c>
      <c r="D175" s="78">
        <v>0.29987561702859511</v>
      </c>
    </row>
    <row r="176" spans="3:8" x14ac:dyDescent="0.25">
      <c r="C176" s="78" t="s">
        <v>263</v>
      </c>
      <c r="D176" s="78">
        <v>0.27966558529332386</v>
      </c>
    </row>
    <row r="177" spans="1:5" x14ac:dyDescent="0.25">
      <c r="C177" s="78" t="s">
        <v>587</v>
      </c>
      <c r="D177" s="78">
        <v>0.26997893663282901</v>
      </c>
    </row>
    <row r="178" spans="1:5" x14ac:dyDescent="0.25">
      <c r="A178" s="7"/>
      <c r="B178" s="7"/>
      <c r="C178" s="7"/>
      <c r="D178" s="7"/>
      <c r="E178" s="7"/>
    </row>
    <row r="179" spans="1:5" x14ac:dyDescent="0.25">
      <c r="C179" t="s">
        <v>683</v>
      </c>
      <c r="D179">
        <f>AVERAGE(D150:D177)</f>
        <v>0.39596286571776579</v>
      </c>
    </row>
    <row r="180" spans="1:5" x14ac:dyDescent="0.25">
      <c r="C180" t="s">
        <v>897</v>
      </c>
      <c r="D180">
        <f>_xlfn.STDEV.S(D150:D177)</f>
        <v>8.2027959440031037E-2</v>
      </c>
    </row>
  </sheetData>
  <autoFilter ref="C149:D177" xr:uid="{65F5C24B-8C3D-4192-949F-47E1DFAFEA77}">
    <sortState xmlns:xlrd2="http://schemas.microsoft.com/office/spreadsheetml/2017/richdata2" ref="C150:D177">
      <sortCondition descending="1" ref="D149:D177"/>
    </sortState>
  </autoFilter>
  <sortState xmlns:xlrd2="http://schemas.microsoft.com/office/spreadsheetml/2017/richdata2" ref="C150:D177">
    <sortCondition descending="1" ref="D150:D177"/>
  </sortState>
  <mergeCells count="2">
    <mergeCell ref="B79:E79"/>
    <mergeCell ref="B113:E113"/>
  </mergeCells>
  <phoneticPr fontId="4" type="noConversion"/>
  <pageMargins left="0.7" right="0.7" top="0.75" bottom="0.75" header="0.3" footer="0.3"/>
  <ignoredErrors>
    <ignoredError sqref="E82:E109" 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B1249-FE6E-4678-9BDA-78392322C9A2}">
  <sheetPr>
    <tabColor theme="8" tint="0.79998168889431442"/>
  </sheetPr>
  <dimension ref="A1:M154"/>
  <sheetViews>
    <sheetView topLeftCell="A36" zoomScaleNormal="100" workbookViewId="0">
      <selection activeCell="B64" sqref="B36:B64"/>
    </sheetView>
  </sheetViews>
  <sheetFormatPr defaultRowHeight="15" x14ac:dyDescent="0.25"/>
  <cols>
    <col min="1" max="1" width="3.7109375" bestFit="1" customWidth="1"/>
    <col min="2" max="2" width="21.85546875" bestFit="1" customWidth="1"/>
    <col min="3" max="3" width="21.42578125" bestFit="1" customWidth="1"/>
    <col min="4" max="4" width="42.5703125" bestFit="1" customWidth="1"/>
    <col min="5" max="5" width="17.7109375" bestFit="1" customWidth="1"/>
    <col min="6" max="6" width="32.7109375" bestFit="1" customWidth="1"/>
    <col min="7" max="7" width="27" bestFit="1" customWidth="1"/>
    <col min="8" max="8" width="31.42578125" customWidth="1"/>
    <col min="9" max="9" width="23.140625" customWidth="1"/>
    <col min="10" max="10" width="17.42578125" customWidth="1"/>
  </cols>
  <sheetData>
    <row r="1" spans="1:11" ht="51.75" customHeight="1" x14ac:dyDescent="0.25">
      <c r="A1" s="87" t="s">
        <v>678</v>
      </c>
      <c r="B1" s="88" t="str">
        <f>'Miernik bezwzorcowy, różne wagi'!B1</f>
        <v>Country Name</v>
      </c>
      <c r="C1" s="38" t="str">
        <f>'Miernik bezwzorcowy, różne wagi'!C1</f>
        <v>oczekiwana długość życia 2023</v>
      </c>
      <c r="D1" s="38" t="str">
        <f>'Miernik bezwzorcowy, różne wagi'!D1</f>
        <v>health costs jako % PKB 2021</v>
      </c>
      <c r="E1" s="38" t="str">
        <f>'Miernik bezwzorcowy, różne wagi'!E1</f>
        <v>CO2 emissions (metric tons per capita) 2020</v>
      </c>
      <c r="F1" s="38" t="str">
        <f>'Miernik bezwzorcowy, różne wagi'!F1</f>
        <v>GDP per capita PPP USD 2023</v>
      </c>
      <c r="G1" s="38" t="str">
        <f>'Miernik bezwzorcowy, różne wagi'!G1</f>
        <v>% wydatków rządowych przeznaczanych na edukację, 2021</v>
      </c>
      <c r="H1" s="38" t="str">
        <f>'Miernik bezwzorcowy, różne wagi'!H1</f>
        <v>zabójsta umyślne na 100 tys mieszkańców 2022</v>
      </c>
      <c r="I1" s="38" t="str">
        <f>'Miernik bezwzorcowy, różne wagi'!I1</f>
        <v>ofiary w wypadkach drogowych/100 tys. mieszkańców 2021</v>
      </c>
      <c r="J1" s="38" t="str">
        <f>'Miernik bezwzorcowy, różne wagi'!J1</f>
        <v>military expenditure (% of GDP), 2022</v>
      </c>
      <c r="K1" s="6"/>
    </row>
    <row r="2" spans="1:11" x14ac:dyDescent="0.25">
      <c r="A2">
        <v>1</v>
      </c>
      <c r="B2" s="4" t="str">
        <f>'Miernik bezwzorcowy, różne wagi'!B2</f>
        <v>Austria</v>
      </c>
      <c r="C2">
        <f>'Miernik bezwzorcowy, różne wagi'!C2</f>
        <v>81.599999999999994</v>
      </c>
      <c r="D2">
        <f>'Miernik bezwzorcowy, różne wagi'!D2</f>
        <v>12.1</v>
      </c>
      <c r="E2">
        <f>'Miernik bezwzorcowy, różne wagi'!E2</f>
        <v>6.6326457373354577</v>
      </c>
      <c r="F2">
        <f>'Miernik bezwzorcowy, różne wagi'!F2</f>
        <v>73751.352706379985</v>
      </c>
      <c r="G2">
        <f>'Miernik bezwzorcowy, różne wagi'!G2</f>
        <v>8.8113784790039104E-2</v>
      </c>
      <c r="H2">
        <f>'Miernik bezwzorcowy, różne wagi'!H2</f>
        <v>0.72</v>
      </c>
      <c r="I2">
        <f>'Miernik bezwzorcowy, różne wagi'!I2</f>
        <v>456.564613958981</v>
      </c>
      <c r="J2">
        <f>'Miernik bezwzorcowy, różne wagi'!J2</f>
        <v>0.77260715738691399</v>
      </c>
    </row>
    <row r="3" spans="1:11" x14ac:dyDescent="0.25">
      <c r="A3">
        <f>A2+1</f>
        <v>2</v>
      </c>
      <c r="B3" s="3" t="s">
        <v>587</v>
      </c>
      <c r="C3">
        <f>'Miernik bezwzorcowy, różne wagi'!C3</f>
        <v>82.5</v>
      </c>
      <c r="D3">
        <f>'Miernik bezwzorcowy, różne wagi'!D3</f>
        <v>11.04290771</v>
      </c>
      <c r="E3">
        <f>'Miernik bezwzorcowy, różne wagi'!E3</f>
        <v>7.3981306577468127</v>
      </c>
      <c r="F3">
        <f>'Miernik bezwzorcowy, różne wagi'!F3</f>
        <v>70455.958425795616</v>
      </c>
      <c r="G3">
        <f>'Miernik bezwzorcowy, różne wagi'!G3</f>
        <v>0.113196802139282</v>
      </c>
      <c r="H3">
        <f>'Miernik bezwzorcowy, różne wagi'!H3</f>
        <v>1.54</v>
      </c>
      <c r="I3">
        <f>'Miernik bezwzorcowy, różne wagi'!I3</f>
        <v>362.93192027235858</v>
      </c>
      <c r="J3">
        <f>'Miernik bezwzorcowy, różne wagi'!J3</f>
        <v>1.17973708133594</v>
      </c>
    </row>
    <row r="4" spans="1:11" x14ac:dyDescent="0.25">
      <c r="A4">
        <f t="shared" ref="A4:A29" si="0">A3+1</f>
        <v>3</v>
      </c>
      <c r="B4" s="3" t="s">
        <v>556</v>
      </c>
      <c r="C4">
        <f>'Miernik bezwzorcowy, różne wagi'!C4</f>
        <v>75.8</v>
      </c>
      <c r="D4">
        <f>'Miernik bezwzorcowy, różne wagi'!D4</f>
        <v>8.56</v>
      </c>
      <c r="E4">
        <f>'Miernik bezwzorcowy, różne wagi'!E4</f>
        <v>4.9232803794050053</v>
      </c>
      <c r="F4">
        <f>'Miernik bezwzorcowy, różne wagi'!F4</f>
        <v>38689.548074916594</v>
      </c>
      <c r="G4">
        <f>'Miernik bezwzorcowy, różne wagi'!G4</f>
        <v>0.10561671257019001</v>
      </c>
      <c r="H4">
        <f>'Miernik bezwzorcowy, różne wagi'!H4</f>
        <v>1.1100000000000001</v>
      </c>
      <c r="I4">
        <f>'Miernik bezwzorcowy, różne wagi'!I4</f>
        <v>110.63222339072571</v>
      </c>
      <c r="J4">
        <f>'Miernik bezwzorcowy, różne wagi'!J4</f>
        <v>1.50812345474607</v>
      </c>
    </row>
    <row r="5" spans="1:11" x14ac:dyDescent="0.25">
      <c r="A5">
        <f t="shared" si="0"/>
        <v>4</v>
      </c>
      <c r="B5" s="3" t="s">
        <v>169</v>
      </c>
      <c r="C5">
        <f>'Miernik bezwzorcowy, różne wagi'!C5</f>
        <v>84.2</v>
      </c>
      <c r="D5">
        <f>'Miernik bezwzorcowy, różne wagi'!D5</f>
        <v>11.80107975</v>
      </c>
      <c r="E5">
        <f>'Miernik bezwzorcowy, różne wagi'!E5</f>
        <v>4.042072814753408</v>
      </c>
      <c r="F5">
        <f>'Miernik bezwzorcowy, różne wagi'!F5</f>
        <v>92980.401876094998</v>
      </c>
      <c r="G5">
        <f>'Miernik bezwzorcowy, różne wagi'!G5</f>
        <v>0.14550841331481901</v>
      </c>
      <c r="H5">
        <f>'Miernik bezwzorcowy, różne wagi'!H5</f>
        <v>0.48</v>
      </c>
      <c r="I5">
        <f>'Miernik bezwzorcowy, różne wagi'!I5</f>
        <v>235.89972412116612</v>
      </c>
      <c r="J5">
        <f>'Miernik bezwzorcowy, różne wagi'!J5</f>
        <v>0.76465339190691706</v>
      </c>
    </row>
    <row r="6" spans="1:11" x14ac:dyDescent="0.25">
      <c r="A6">
        <f t="shared" si="0"/>
        <v>5</v>
      </c>
      <c r="B6" s="3" t="s">
        <v>401</v>
      </c>
      <c r="C6">
        <f>'Miernik bezwzorcowy, różne wagi'!C6</f>
        <v>82.5</v>
      </c>
      <c r="D6">
        <f>'Miernik bezwzorcowy, różne wagi'!D6</f>
        <v>9.43</v>
      </c>
      <c r="E6">
        <f>'Miernik bezwzorcowy, różne wagi'!E6</f>
        <v>5.4719980089484199</v>
      </c>
      <c r="F6">
        <f>'Miernik bezwzorcowy, różne wagi'!F6</f>
        <v>57100.46484375</v>
      </c>
      <c r="G6">
        <f>'Miernik bezwzorcowy, różne wagi'!G6</f>
        <v>0.12736209869384799</v>
      </c>
      <c r="H6">
        <f>'Miernik bezwzorcowy, różne wagi'!H6</f>
        <v>0.77</v>
      </c>
      <c r="I6">
        <f>'Miernik bezwzorcowy, różne wagi'!I6</f>
        <v>35.846672689336337</v>
      </c>
      <c r="J6">
        <f>'Miernik bezwzorcowy, różne wagi'!J6</f>
        <v>1.8147966516278899</v>
      </c>
    </row>
    <row r="7" spans="1:11" x14ac:dyDescent="0.25">
      <c r="A7">
        <f t="shared" si="0"/>
        <v>6</v>
      </c>
      <c r="B7" s="3" t="s">
        <v>311</v>
      </c>
      <c r="C7">
        <f>'Miernik bezwzorcowy, różne wagi'!C7</f>
        <v>80</v>
      </c>
      <c r="D7">
        <f>'Miernik bezwzorcowy, różne wagi'!D7</f>
        <v>9.4887867000000004</v>
      </c>
      <c r="E7">
        <f>'Miernik bezwzorcowy, różne wagi'!E7</f>
        <v>8.3040174958388864</v>
      </c>
      <c r="F7">
        <f>'Miernik bezwzorcowy, różne wagi'!F7</f>
        <v>53816.803389523178</v>
      </c>
      <c r="G7">
        <f>'Miernik bezwzorcowy, różne wagi'!G7</f>
        <v>0.108769035339355</v>
      </c>
      <c r="H7">
        <f>'Miernik bezwzorcowy, różne wagi'!H7</f>
        <v>0.75</v>
      </c>
      <c r="I7">
        <f>'Miernik bezwzorcowy, różne wagi'!I7</f>
        <v>211.36000286318796</v>
      </c>
      <c r="J7">
        <f>'Miernik bezwzorcowy, różne wagi'!J7</f>
        <v>1.3580638321417899</v>
      </c>
    </row>
    <row r="8" spans="1:11" x14ac:dyDescent="0.25">
      <c r="A8">
        <f t="shared" si="0"/>
        <v>7</v>
      </c>
      <c r="B8" s="3" t="s">
        <v>436</v>
      </c>
      <c r="C8">
        <f>'Miernik bezwzorcowy, różne wagi'!C8</f>
        <v>81.2</v>
      </c>
      <c r="D8">
        <f>'Miernik bezwzorcowy, różne wagi'!D8</f>
        <v>12.934129710000001</v>
      </c>
      <c r="E8">
        <f>'Miernik bezwzorcowy, różne wagi'!E8</f>
        <v>7.2552210281684033</v>
      </c>
      <c r="F8">
        <f>'Miernik bezwzorcowy, różne wagi'!F8</f>
        <v>69338.293226446665</v>
      </c>
      <c r="G8">
        <f>'Miernik bezwzorcowy, różne wagi'!G8</f>
        <v>9.0661725997924811E-2</v>
      </c>
      <c r="H8">
        <f>'Miernik bezwzorcowy, różne wagi'!H8</f>
        <v>0.74</v>
      </c>
      <c r="I8">
        <f>'Miernik bezwzorcowy, różne wagi'!I8</f>
        <v>388.39451061623362</v>
      </c>
      <c r="J8">
        <f>'Miernik bezwzorcowy, różne wagi'!J8</f>
        <v>1.3900550095965298</v>
      </c>
    </row>
    <row r="9" spans="1:11" x14ac:dyDescent="0.25">
      <c r="A9">
        <f t="shared" si="0"/>
        <v>8</v>
      </c>
      <c r="B9" s="3" t="s">
        <v>274</v>
      </c>
      <c r="C9">
        <f>'Miernik bezwzorcowy, różne wagi'!C9</f>
        <v>81.900000000000006</v>
      </c>
      <c r="D9">
        <f>'Miernik bezwzorcowy, różne wagi'!D9</f>
        <v>10.82</v>
      </c>
      <c r="E9">
        <f>'Miernik bezwzorcowy, różne wagi'!E9</f>
        <v>4.6912373075163369</v>
      </c>
      <c r="F9">
        <f>'Miernik bezwzorcowy, różne wagi'!F9</f>
        <v>76687.902843730641</v>
      </c>
      <c r="G9">
        <f>'Miernik bezwzorcowy, różne wagi'!G9</f>
        <v>0.11888381004333499</v>
      </c>
      <c r="H9">
        <f>'Miernik bezwzorcowy, różne wagi'!H9</f>
        <v>1</v>
      </c>
      <c r="I9">
        <f>'Miernik bezwzorcowy, różne wagi'!I9</f>
        <v>44.512870912845095</v>
      </c>
      <c r="J9">
        <f>'Miernik bezwzorcowy, różne wagi'!J9</f>
        <v>1.4189603714329999</v>
      </c>
    </row>
    <row r="10" spans="1:11" x14ac:dyDescent="0.25">
      <c r="A10">
        <f t="shared" si="0"/>
        <v>9</v>
      </c>
      <c r="B10" s="3" t="s">
        <v>72</v>
      </c>
      <c r="C10">
        <f>'Miernik bezwzorcowy, różne wagi'!C10</f>
        <v>84</v>
      </c>
      <c r="D10">
        <f>'Miernik bezwzorcowy, różne wagi'!D10</f>
        <v>10.740038869999999</v>
      </c>
      <c r="E10">
        <f>'Miernik bezwzorcowy, różne wagi'!E10</f>
        <v>4.2795945712140995</v>
      </c>
      <c r="F10">
        <f>'Miernik bezwzorcowy, różne wagi'!F10</f>
        <v>52779.234057370304</v>
      </c>
      <c r="G10">
        <f>'Miernik bezwzorcowy, różne wagi'!G10</f>
        <v>9.1786003112793002E-2</v>
      </c>
      <c r="H10">
        <f>'Miernik bezwzorcowy, różne wagi'!H10</f>
        <v>0.69</v>
      </c>
      <c r="I10">
        <f>'Miernik bezwzorcowy, różne wagi'!I10</f>
        <v>249.20388341488072</v>
      </c>
      <c r="J10">
        <f>'Miernik bezwzorcowy, różne wagi'!J10</f>
        <v>1.4660338438573299</v>
      </c>
    </row>
    <row r="11" spans="1:11" x14ac:dyDescent="0.25">
      <c r="A11">
        <f t="shared" si="0"/>
        <v>10</v>
      </c>
      <c r="B11" s="3" t="s">
        <v>468</v>
      </c>
      <c r="C11">
        <f>'Miernik bezwzorcowy, różne wagi'!C11</f>
        <v>78.8</v>
      </c>
      <c r="D11">
        <f>'Miernik bezwzorcowy, różne wagi'!D11</f>
        <v>7.4905729299999999</v>
      </c>
      <c r="E11">
        <f>'Miernik bezwzorcowy, różne wagi'!E11</f>
        <v>5.3383998158736761</v>
      </c>
      <c r="F11">
        <f>'Miernik bezwzorcowy, różne wagi'!F11</f>
        <v>48992.140951181515</v>
      </c>
      <c r="G11">
        <f>'Miernik bezwzorcowy, różne wagi'!G11</f>
        <v>0.14251974105835</v>
      </c>
      <c r="H11">
        <f>'Miernik bezwzorcowy, różne wagi'!H11</f>
        <v>1.35</v>
      </c>
      <c r="I11">
        <f>'Miernik bezwzorcowy, różne wagi'!I11</f>
        <v>133.06464943362997</v>
      </c>
      <c r="J11">
        <f>'Miernik bezwzorcowy, różne wagi'!J11</f>
        <v>2.0866657905942798</v>
      </c>
    </row>
    <row r="12" spans="1:11" x14ac:dyDescent="0.25">
      <c r="A12">
        <f t="shared" si="0"/>
        <v>11</v>
      </c>
      <c r="B12" s="3" t="s">
        <v>47</v>
      </c>
      <c r="C12">
        <f>'Miernik bezwzorcowy, różne wagi'!C12</f>
        <v>81.7</v>
      </c>
      <c r="D12">
        <f>'Miernik bezwzorcowy, różne wagi'!D12</f>
        <v>10.25</v>
      </c>
      <c r="E12">
        <f>'Miernik bezwzorcowy, różne wagi'!E12</f>
        <v>6.5701451277257457</v>
      </c>
      <c r="F12">
        <f>'Miernik bezwzorcowy, różne wagi'!F12</f>
        <v>65060.674161832023</v>
      </c>
      <c r="G12">
        <f>'Miernik bezwzorcowy, różne wagi'!G12</f>
        <v>0.10231122016906699</v>
      </c>
      <c r="H12">
        <f>'Miernik bezwzorcowy, różne wagi'!H12</f>
        <v>1.5</v>
      </c>
      <c r="I12">
        <f>'Miernik bezwzorcowy, różne wagi'!I12</f>
        <v>70.131530006134255</v>
      </c>
      <c r="J12">
        <f>'Miernik bezwzorcowy, różne wagi'!J12</f>
        <v>1.7216829026165299</v>
      </c>
    </row>
    <row r="13" spans="1:11" x14ac:dyDescent="0.25">
      <c r="A13">
        <f t="shared" si="0"/>
        <v>12</v>
      </c>
      <c r="B13" s="3" t="s">
        <v>337</v>
      </c>
      <c r="C13">
        <f>'Miernik bezwzorcowy, różne wagi'!C13</f>
        <v>83.1</v>
      </c>
      <c r="D13">
        <f>'Miernik bezwzorcowy, różne wagi'!D13</f>
        <v>12.307872769999999</v>
      </c>
      <c r="E13">
        <f>'Miernik bezwzorcowy, różne wagi'!E13</f>
        <v>3.9536824518799136</v>
      </c>
      <c r="F13">
        <f>'Miernik bezwzorcowy, różne wagi'!F13</f>
        <v>61156.772819256643</v>
      </c>
      <c r="G13">
        <f>'Miernik bezwzorcowy, różne wagi'!G13</f>
        <v>8.875411033630369E-2</v>
      </c>
      <c r="H13">
        <f>'Miernik bezwzorcowy, różne wagi'!H13</f>
        <v>1.21</v>
      </c>
      <c r="I13">
        <f>'Miernik bezwzorcowy, różne wagi'!I13</f>
        <v>103.60469429450643</v>
      </c>
      <c r="J13">
        <f>'Miernik bezwzorcowy, różne wagi'!J13</f>
        <v>1.9387234180687101</v>
      </c>
    </row>
    <row r="14" spans="1:11" x14ac:dyDescent="0.25">
      <c r="A14">
        <f t="shared" si="0"/>
        <v>13</v>
      </c>
      <c r="B14" s="3" t="s">
        <v>631</v>
      </c>
      <c r="C14">
        <f>'Miernik bezwzorcowy, różne wagi'!C14</f>
        <v>81.599999999999994</v>
      </c>
      <c r="D14">
        <f>'Miernik bezwzorcowy, różne wagi'!D14</f>
        <v>9.1729879400000005</v>
      </c>
      <c r="E14">
        <f>'Miernik bezwzorcowy, różne wagi'!E14</f>
        <v>4.7671849370183885</v>
      </c>
      <c r="F14">
        <f>'Miernik bezwzorcowy, różne wagi'!F14</f>
        <v>41186.81220278937</v>
      </c>
      <c r="G14">
        <f>'Miernik bezwzorcowy, różne wagi'!G14</f>
        <v>7.1118955612182594E-2</v>
      </c>
      <c r="H14">
        <f>'Miernik bezwzorcowy, różne wagi'!H14</f>
        <v>0.76</v>
      </c>
      <c r="I14">
        <f>'Miernik bezwzorcowy, różne wagi'!I14</f>
        <v>116.90564864516325</v>
      </c>
      <c r="J14">
        <f>'Miernik bezwzorcowy, różne wagi'!J14</f>
        <v>3.6920744951686402</v>
      </c>
    </row>
    <row r="15" spans="1:11" x14ac:dyDescent="0.25">
      <c r="A15">
        <f t="shared" si="0"/>
        <v>14</v>
      </c>
      <c r="B15" s="3" t="s">
        <v>473</v>
      </c>
      <c r="C15">
        <f>'Miernik bezwzorcowy, różne wagi'!C15</f>
        <v>78.599999999999994</v>
      </c>
      <c r="D15">
        <f>'Miernik bezwzorcowy, różne wagi'!D15</f>
        <v>8.1</v>
      </c>
      <c r="E15">
        <f>'Miernik bezwzorcowy, różne wagi'!E15</f>
        <v>3.8607053917305714</v>
      </c>
      <c r="F15">
        <f>'Miernik bezwzorcowy, różne wagi'!F15</f>
        <v>45909.634484175825</v>
      </c>
      <c r="G15">
        <f>'Miernik bezwzorcowy, różne wagi'!G15</f>
        <v>0.10720606803894001</v>
      </c>
      <c r="H15">
        <f>'Miernik bezwzorcowy, różne wagi'!H15</f>
        <v>0.8</v>
      </c>
      <c r="I15">
        <f>'Miernik bezwzorcowy, różne wagi'!I15</f>
        <v>307.24564002762583</v>
      </c>
      <c r="J15">
        <f>'Miernik bezwzorcowy, różne wagi'!J15</f>
        <v>2.1674905163411697</v>
      </c>
    </row>
    <row r="16" spans="1:11" x14ac:dyDescent="0.25">
      <c r="A16">
        <f t="shared" si="0"/>
        <v>15</v>
      </c>
      <c r="B16" s="3" t="s">
        <v>46</v>
      </c>
      <c r="C16">
        <f>'Miernik bezwzorcowy, różne wagi'!C16</f>
        <v>76.900000000000006</v>
      </c>
      <c r="D16">
        <f>'Miernik bezwzorcowy, różne wagi'!D16</f>
        <v>7.38</v>
      </c>
      <c r="E16">
        <f>'Miernik bezwzorcowy, różne wagi'!E16</f>
        <v>4.591652907047882</v>
      </c>
      <c r="F16">
        <f>'Miernik bezwzorcowy, różne wagi'!F16</f>
        <v>45942.169490682201</v>
      </c>
      <c r="G16">
        <f>'Miernik bezwzorcowy, różne wagi'!G16</f>
        <v>0.103632917404175</v>
      </c>
      <c r="H16">
        <f>'Miernik bezwzorcowy, różne wagi'!H16</f>
        <v>0.88</v>
      </c>
      <c r="I16">
        <f>'Miernik bezwzorcowy, różne wagi'!I16</f>
        <v>191.54694939417959</v>
      </c>
      <c r="J16">
        <f>'Miernik bezwzorcowy, różne wagi'!J16</f>
        <v>1.52573720690762</v>
      </c>
    </row>
    <row r="17" spans="1:10" x14ac:dyDescent="0.25">
      <c r="A17">
        <f t="shared" si="0"/>
        <v>16</v>
      </c>
      <c r="B17" s="3" t="s">
        <v>25</v>
      </c>
      <c r="C17">
        <f>'Miernik bezwzorcowy, różne wagi'!C17</f>
        <v>82.6</v>
      </c>
      <c r="D17">
        <f>'Miernik bezwzorcowy, różne wagi'!D17</f>
        <v>9.73</v>
      </c>
      <c r="E17">
        <f>'Miernik bezwzorcowy, różne wagi'!E17</f>
        <v>3.9474653648526594</v>
      </c>
      <c r="F17">
        <f>'Miernik bezwzorcowy, różne wagi'!F17</f>
        <v>77567.191812574616</v>
      </c>
      <c r="G17">
        <f>'Miernik bezwzorcowy, różne wagi'!G17</f>
        <v>0.15406312942504902</v>
      </c>
      <c r="H17">
        <f>'Miernik bezwzorcowy, różne wagi'!H17</f>
        <v>1.06</v>
      </c>
      <c r="I17">
        <f>'Miernik bezwzorcowy, różne wagi'!I17</f>
        <v>302.53409212928165</v>
      </c>
      <c r="J17">
        <f>'Miernik bezwzorcowy, różne wagi'!J17</f>
        <v>1E-3</v>
      </c>
    </row>
    <row r="18" spans="1:10" x14ac:dyDescent="0.25">
      <c r="A18">
        <f t="shared" si="0"/>
        <v>17</v>
      </c>
      <c r="B18" s="3" t="s">
        <v>155</v>
      </c>
      <c r="C18">
        <f>'Miernik bezwzorcowy, różne wagi'!C18</f>
        <v>83.8</v>
      </c>
      <c r="D18">
        <f>'Miernik bezwzorcowy, różne wagi'!D18</f>
        <v>9.3800000000000008</v>
      </c>
      <c r="E18">
        <f>'Miernik bezwzorcowy, różne wagi'!E18</f>
        <v>4.7323727707993539</v>
      </c>
      <c r="F18">
        <f>'Miernik bezwzorcowy, różne wagi'!F18</f>
        <v>58754.90787787213</v>
      </c>
      <c r="G18">
        <f>'Miernik bezwzorcowy, różne wagi'!G18</f>
        <v>7.437161922454831E-2</v>
      </c>
      <c r="H18">
        <f>'Miernik bezwzorcowy, różne wagi'!H18</f>
        <v>0.55000000000000004</v>
      </c>
      <c r="I18">
        <f>'Miernik bezwzorcowy, różne wagi'!I18</f>
        <v>346.2151439091557</v>
      </c>
      <c r="J18">
        <f>'Miernik bezwzorcowy, różne wagi'!J18</f>
        <v>1.6790923384615599</v>
      </c>
    </row>
    <row r="19" spans="1:10" x14ac:dyDescent="0.25">
      <c r="A19">
        <f t="shared" si="0"/>
        <v>18</v>
      </c>
      <c r="B19" s="3" t="s">
        <v>379</v>
      </c>
      <c r="C19">
        <f>'Miernik bezwzorcowy, różne wagi'!C19</f>
        <v>77.3</v>
      </c>
      <c r="D19">
        <f>'Miernik bezwzorcowy, różne wagi'!D19</f>
        <v>7.82</v>
      </c>
      <c r="E19">
        <f>'Miernik bezwzorcowy, różne wagi'!E19</f>
        <v>4.1840004150439096</v>
      </c>
      <c r="F19">
        <f>'Miernik bezwzorcowy, różne wagi'!F19</f>
        <v>51877.00651927686</v>
      </c>
      <c r="G19">
        <f>'Miernik bezwzorcowy, różne wagi'!G19</f>
        <v>0.127444953918457</v>
      </c>
      <c r="H19">
        <f>'Miernik bezwzorcowy, różne wagi'!H19</f>
        <v>2.21</v>
      </c>
      <c r="I19">
        <f>'Miernik bezwzorcowy, różne wagi'!I19</f>
        <v>113.60881507291208</v>
      </c>
      <c r="J19">
        <f>'Miernik bezwzorcowy, różne wagi'!J19</f>
        <v>2.52262366538611</v>
      </c>
    </row>
    <row r="20" spans="1:10" x14ac:dyDescent="0.25">
      <c r="A20">
        <f t="shared" si="0"/>
        <v>19</v>
      </c>
      <c r="B20" s="3" t="s">
        <v>263</v>
      </c>
      <c r="C20">
        <f>'Miernik bezwzorcowy, różne wagi'!C20</f>
        <v>83.4</v>
      </c>
      <c r="D20">
        <f>'Miernik bezwzorcowy, różne wagi'!D20</f>
        <v>5.67</v>
      </c>
      <c r="E20">
        <f>'Miernik bezwzorcowy, różne wagi'!E20</f>
        <v>12.456953232691275</v>
      </c>
      <c r="F20">
        <f>'Miernik bezwzorcowy, różne wagi'!F20</f>
        <v>143341.47312464545</v>
      </c>
      <c r="G20">
        <f>'Miernik bezwzorcowy, różne wagi'!G20</f>
        <v>0.11003183364868199</v>
      </c>
      <c r="H20">
        <f>'Miernik bezwzorcowy, różne wagi'!H20</f>
        <v>1.39</v>
      </c>
      <c r="I20">
        <f>'Miernik bezwzorcowy, różne wagi'!I20</f>
        <v>194.04309569043096</v>
      </c>
      <c r="J20">
        <f>'Miernik bezwzorcowy, różne wagi'!J20</f>
        <v>0.700406724896945</v>
      </c>
    </row>
    <row r="21" spans="1:10" x14ac:dyDescent="0.25">
      <c r="A21">
        <f t="shared" si="0"/>
        <v>20</v>
      </c>
      <c r="B21" s="3" t="s">
        <v>240</v>
      </c>
      <c r="C21">
        <f>'Miernik bezwzorcowy, różne wagi'!C21</f>
        <v>75.900000000000006</v>
      </c>
      <c r="D21">
        <f>'Miernik bezwzorcowy, różne wagi'!D21</f>
        <v>9.0399999999999991</v>
      </c>
      <c r="E21">
        <f>'Miernik bezwzorcowy, różne wagi'!E21</f>
        <v>3.6456121684928142</v>
      </c>
      <c r="F21">
        <f>'Miernik bezwzorcowy, różne wagi'!F21</f>
        <v>42501.027882049464</v>
      </c>
      <c r="G21">
        <f>'Miernik bezwzorcowy, różne wagi'!G21</f>
        <v>0.126531772613525</v>
      </c>
      <c r="H21">
        <f>'Miernik bezwzorcowy, różne wagi'!H21</f>
        <v>4.05</v>
      </c>
      <c r="I21">
        <f>'Miernik bezwzorcowy, różne wagi'!I21</f>
        <v>212.41821394647889</v>
      </c>
      <c r="J21">
        <f>'Miernik bezwzorcowy, różne wagi'!J21</f>
        <v>2.0498651345644303</v>
      </c>
    </row>
    <row r="22" spans="1:10" x14ac:dyDescent="0.25">
      <c r="A22">
        <f t="shared" si="0"/>
        <v>21</v>
      </c>
      <c r="B22" s="3" t="s">
        <v>361</v>
      </c>
      <c r="C22">
        <f>'Miernik bezwzorcowy, różne wagi'!C22</f>
        <v>83.6</v>
      </c>
      <c r="D22">
        <f>'Miernik bezwzorcowy, różne wagi'!D22</f>
        <v>10.58</v>
      </c>
      <c r="E22">
        <f>'Miernik bezwzorcowy, różne wagi'!E22</f>
        <v>3.1255578927759191</v>
      </c>
      <c r="F22">
        <f>'Miernik bezwzorcowy, różne wagi'!F22</f>
        <v>62445.681490419811</v>
      </c>
      <c r="G22">
        <f>'Miernik bezwzorcowy, różne wagi'!G22</f>
        <v>0.12658941268920901</v>
      </c>
      <c r="H22">
        <f>'Miernik bezwzorcowy, różne wagi'!H22</f>
        <v>1.54</v>
      </c>
      <c r="I22">
        <f>'Miernik bezwzorcowy, różne wagi'!I22</f>
        <v>295.44718206643319</v>
      </c>
      <c r="J22">
        <f>'Miernik bezwzorcowy, różne wagi'!J22</f>
        <v>0.49920686499012495</v>
      </c>
    </row>
    <row r="23" spans="1:10" x14ac:dyDescent="0.25">
      <c r="A23">
        <f t="shared" si="0"/>
        <v>22</v>
      </c>
      <c r="B23" s="3" t="s">
        <v>14</v>
      </c>
      <c r="C23">
        <f>'Miernik bezwzorcowy, różne wagi'!C23</f>
        <v>82</v>
      </c>
      <c r="D23">
        <f>'Miernik bezwzorcowy, różne wagi'!D23</f>
        <v>11.29</v>
      </c>
      <c r="E23">
        <f>'Miernik bezwzorcowy, różne wagi'!E23</f>
        <v>7.4715534787718951</v>
      </c>
      <c r="F23">
        <f>'Miernik bezwzorcowy, różne wagi'!F23</f>
        <v>78215.066303860061</v>
      </c>
      <c r="G23">
        <f>'Miernik bezwzorcowy, różne wagi'!G23</f>
        <v>0.11019962310791</v>
      </c>
      <c r="H23">
        <f>'Miernik bezwzorcowy, różne wagi'!H23</f>
        <v>0.81</v>
      </c>
      <c r="I23">
        <f>'Miernik bezwzorcowy, różne wagi'!I23</f>
        <v>129.46981710648762</v>
      </c>
      <c r="J23">
        <f>'Miernik bezwzorcowy, różne wagi'!J23</f>
        <v>1.5832811384634797</v>
      </c>
    </row>
    <row r="24" spans="1:10" x14ac:dyDescent="0.25">
      <c r="A24">
        <f t="shared" si="0"/>
        <v>23</v>
      </c>
      <c r="B24" s="3" t="s">
        <v>619</v>
      </c>
      <c r="C24">
        <f>'Miernik bezwzorcowy, różne wagi'!C24</f>
        <v>83.1</v>
      </c>
      <c r="D24">
        <f>'Miernik bezwzorcowy, różne wagi'!D24</f>
        <v>10.08</v>
      </c>
      <c r="E24">
        <f>'Miernik bezwzorcowy, różne wagi'!E24</f>
        <v>6.7250800496330969</v>
      </c>
      <c r="F24">
        <f>'Miernik bezwzorcowy, różne wagi'!F24</f>
        <v>104459.81192279447</v>
      </c>
      <c r="G24">
        <f>'Miernik bezwzorcowy, różne wagi'!G24</f>
        <v>0.102669334411621</v>
      </c>
      <c r="H24">
        <f>'Miernik bezwzorcowy, różne wagi'!H24</f>
        <v>0.55000000000000004</v>
      </c>
      <c r="I24">
        <f>'Miernik bezwzorcowy, różne wagi'!I24</f>
        <v>84.406987752204003</v>
      </c>
      <c r="J24">
        <f>'Miernik bezwzorcowy, różne wagi'!J24</f>
        <v>1.6376655408969301</v>
      </c>
    </row>
    <row r="25" spans="1:10" x14ac:dyDescent="0.25">
      <c r="A25">
        <f t="shared" si="0"/>
        <v>24</v>
      </c>
      <c r="B25" s="3" t="s">
        <v>65</v>
      </c>
      <c r="C25">
        <f>'Miernik bezwzorcowy, różne wagi'!C25</f>
        <v>78.599999999999994</v>
      </c>
      <c r="D25">
        <f>'Miernik bezwzorcowy, różne wagi'!D25</f>
        <v>6.44</v>
      </c>
      <c r="E25">
        <f>'Miernik bezwzorcowy, różne wagi'!E25</f>
        <v>7.3675633729270924</v>
      </c>
      <c r="F25">
        <f>'Miernik bezwzorcowy, różne wagi'!F25</f>
        <v>49463.99116942488</v>
      </c>
      <c r="G25">
        <f>'Miernik bezwzorcowy, różne wagi'!G25</f>
        <v>0.111692733764648</v>
      </c>
      <c r="H25">
        <f>'Miernik bezwzorcowy, różne wagi'!H25</f>
        <v>0.69</v>
      </c>
      <c r="I25">
        <f>'Miernik bezwzorcowy, różne wagi'!I25</f>
        <v>69.97884130192277</v>
      </c>
      <c r="J25">
        <f>'Miernik bezwzorcowy, różne wagi'!J25</f>
        <v>2.38851188830618</v>
      </c>
    </row>
    <row r="26" spans="1:10" x14ac:dyDescent="0.25">
      <c r="A26">
        <f t="shared" si="0"/>
        <v>25</v>
      </c>
      <c r="B26" s="3" t="s">
        <v>388</v>
      </c>
      <c r="C26">
        <f>'Miernik bezwzorcowy, różne wagi'!C26</f>
        <v>82.4</v>
      </c>
      <c r="D26">
        <f>'Miernik bezwzorcowy, różne wagi'!D26</f>
        <v>11.14</v>
      </c>
      <c r="E26">
        <f>'Miernik bezwzorcowy, różne wagi'!E26</f>
        <v>3.7849075869171078</v>
      </c>
      <c r="F26">
        <f>'Miernik bezwzorcowy, różne wagi'!F26</f>
        <v>48758.857022163567</v>
      </c>
      <c r="G26">
        <f>'Miernik bezwzorcowy, różne wagi'!G26</f>
        <v>9.7091884613037097E-2</v>
      </c>
      <c r="H26">
        <f>'Miernik bezwzorcowy, różne wagi'!H26</f>
        <v>0.72</v>
      </c>
      <c r="I26">
        <f>'Miernik bezwzorcowy, różne wagi'!I26</f>
        <v>366.86566302808836</v>
      </c>
      <c r="J26">
        <f>'Miernik bezwzorcowy, różne wagi'!J26</f>
        <v>1.3543893401962401</v>
      </c>
    </row>
    <row r="27" spans="1:10" x14ac:dyDescent="0.25">
      <c r="A27">
        <f t="shared" si="0"/>
        <v>26</v>
      </c>
      <c r="B27" s="3" t="s">
        <v>503</v>
      </c>
      <c r="C27">
        <f>'Miernik bezwzorcowy, różne wagi'!C27</f>
        <v>76.599999999999994</v>
      </c>
      <c r="D27">
        <f>'Miernik bezwzorcowy, różne wagi'!D27</f>
        <v>6.48</v>
      </c>
      <c r="E27">
        <f>'Miernik bezwzorcowy, różne wagi'!E27</f>
        <v>3.5641375014598826</v>
      </c>
      <c r="F27">
        <f>'Miernik bezwzorcowy, różne wagi'!F27</f>
        <v>47903.341148648993</v>
      </c>
      <c r="G27">
        <f>'Miernik bezwzorcowy, różne wagi'!G27</f>
        <v>8.1443548202514593E-2</v>
      </c>
      <c r="H27">
        <f>'Miernik bezwzorcowy, różne wagi'!H27</f>
        <v>0.91</v>
      </c>
      <c r="I27">
        <f>'Miernik bezwzorcowy, różne wagi'!I27</f>
        <v>173.79404592361107</v>
      </c>
      <c r="J27">
        <f>'Miernik bezwzorcowy, różne wagi'!J27</f>
        <v>1.7305450659253301</v>
      </c>
    </row>
    <row r="28" spans="1:10" x14ac:dyDescent="0.25">
      <c r="A28">
        <f t="shared" si="0"/>
        <v>27</v>
      </c>
      <c r="B28" s="3" t="s">
        <v>334</v>
      </c>
      <c r="C28">
        <f>'Miernik bezwzorcowy, różne wagi'!C28</f>
        <v>82</v>
      </c>
      <c r="D28">
        <f>'Miernik bezwzorcowy, różne wagi'!D28</f>
        <v>9.48</v>
      </c>
      <c r="E28">
        <f>'Miernik bezwzorcowy, różne wagi'!E28</f>
        <v>5.9347351788582579</v>
      </c>
      <c r="F28">
        <f>'Miernik bezwzorcowy, różne wagi'!F28</f>
        <v>54947.470137240023</v>
      </c>
      <c r="G28">
        <f>'Miernik bezwzorcowy, różne wagi'!G28</f>
        <v>0.11501742362976101</v>
      </c>
      <c r="H28">
        <f>'Miernik bezwzorcowy, różne wagi'!H28</f>
        <v>0.62</v>
      </c>
      <c r="I28">
        <f>'Miernik bezwzorcowy, różne wagi'!I28</f>
        <v>305.39652451354999</v>
      </c>
      <c r="J28">
        <f>'Miernik bezwzorcowy, różne wagi'!J28</f>
        <v>1.1879860151950101</v>
      </c>
    </row>
    <row r="29" spans="1:10" x14ac:dyDescent="0.25">
      <c r="A29">
        <f t="shared" si="0"/>
        <v>28</v>
      </c>
      <c r="B29" s="3" t="s">
        <v>63</v>
      </c>
      <c r="C29">
        <f>'Miernik bezwzorcowy, różne wagi'!C29</f>
        <v>83.4</v>
      </c>
      <c r="D29">
        <f>'Miernik bezwzorcowy, różne wagi'!D29</f>
        <v>11.25</v>
      </c>
      <c r="E29">
        <f>'Miernik bezwzorcowy, różne wagi'!E29</f>
        <v>3.242989143127474</v>
      </c>
      <c r="F29">
        <f>'Miernik bezwzorcowy, różne wagi'!F29</f>
        <v>70206.611636511487</v>
      </c>
      <c r="G29">
        <f>'Miernik bezwzorcowy, różne wagi'!G29</f>
        <v>0.13531939506530802</v>
      </c>
      <c r="H29">
        <f>'Miernik bezwzorcowy, różne wagi'!H29</f>
        <v>1.1100000000000001</v>
      </c>
      <c r="I29">
        <f>'Miernik bezwzorcowy, różne wagi'!I29</f>
        <v>153.00776867014963</v>
      </c>
      <c r="J29">
        <f>'Miernik bezwzorcowy, różne wagi'!J29</f>
        <v>1.30746311852624</v>
      </c>
    </row>
    <row r="30" spans="1:10" x14ac:dyDescent="0.25">
      <c r="C30" t="str">
        <f>'Miernik bezwzorcowy, różne wagi'!C30</f>
        <v>stymulanta</v>
      </c>
      <c r="D30" t="str">
        <f>'Miernik bezwzorcowy, różne wagi'!D30</f>
        <v>stymulanta</v>
      </c>
      <c r="E30" t="str">
        <f>'Miernik bezwzorcowy, różne wagi'!E30</f>
        <v>destymulanta</v>
      </c>
      <c r="F30" t="str">
        <f>'Miernik bezwzorcowy, różne wagi'!F30</f>
        <v>stymulanta</v>
      </c>
      <c r="G30" t="str">
        <f>'Miernik bezwzorcowy, różne wagi'!G30</f>
        <v>stymulanta</v>
      </c>
      <c r="H30" t="str">
        <f>'Miernik bezwzorcowy, różne wagi'!H30</f>
        <v>destymulanta</v>
      </c>
      <c r="I30" t="str">
        <f>'Miernik bezwzorcowy, różne wagi'!I30</f>
        <v>destymulanta</v>
      </c>
      <c r="J30" t="str">
        <f>'Miernik bezwzorcowy, różne wagi'!J30</f>
        <v>stymulanta</v>
      </c>
    </row>
    <row r="32" spans="1:10" x14ac:dyDescent="0.25">
      <c r="B32" s="163" t="s">
        <v>915</v>
      </c>
      <c r="C32" s="163"/>
      <c r="D32" s="163"/>
      <c r="E32" s="163"/>
    </row>
    <row r="36" spans="1:10" ht="45" x14ac:dyDescent="0.25">
      <c r="A36" t="s">
        <v>678</v>
      </c>
      <c r="B36" s="5" t="s">
        <v>653</v>
      </c>
      <c r="C36" s="6" t="s">
        <v>680</v>
      </c>
      <c r="D36" s="6" t="s">
        <v>699</v>
      </c>
      <c r="E36" s="6" t="s">
        <v>674</v>
      </c>
      <c r="F36" s="6" t="s">
        <v>676</v>
      </c>
      <c r="G36" s="6" t="s">
        <v>679</v>
      </c>
      <c r="H36" s="6" t="s">
        <v>675</v>
      </c>
      <c r="I36" s="6" t="s">
        <v>681</v>
      </c>
      <c r="J36" s="6" t="s">
        <v>700</v>
      </c>
    </row>
    <row r="37" spans="1:10" x14ac:dyDescent="0.25">
      <c r="A37">
        <v>1</v>
      </c>
      <c r="B37" s="4" t="s">
        <v>54</v>
      </c>
      <c r="C37">
        <f>'Miernik bezwzorcowy, różne wagi'!C82</f>
        <v>81.599999999999994</v>
      </c>
      <c r="D37">
        <f>'Miernik bezwzorcowy, różne wagi'!D82</f>
        <v>12.1</v>
      </c>
      <c r="E37">
        <f>'Miernik bezwzorcowy, różne wagi'!E82</f>
        <v>0.15076939725137972</v>
      </c>
      <c r="F37">
        <f>'Miernik bezwzorcowy, różne wagi'!F82</f>
        <v>73751.352706379985</v>
      </c>
      <c r="G37">
        <f>'Miernik bezwzorcowy, różne wagi'!G82</f>
        <v>8.8113784790039104E-2</v>
      </c>
      <c r="H37">
        <f>'Miernik bezwzorcowy, różne wagi'!H82</f>
        <v>1.3888888888888888</v>
      </c>
      <c r="I37">
        <f>'Miernik bezwzorcowy, różne wagi'!I82</f>
        <v>2.190270488395412E-3</v>
      </c>
      <c r="J37">
        <f>'Miernik bezwzorcowy, różne wagi'!J82</f>
        <v>0.77260715738691399</v>
      </c>
    </row>
    <row r="38" spans="1:10" x14ac:dyDescent="0.25">
      <c r="A38">
        <f>A37+1</f>
        <v>2</v>
      </c>
      <c r="B38" s="3" t="s">
        <v>587</v>
      </c>
      <c r="C38">
        <f>'Miernik bezwzorcowy, różne wagi'!C83</f>
        <v>82.5</v>
      </c>
      <c r="D38">
        <f>'Miernik bezwzorcowy, różne wagi'!D83</f>
        <v>11.04290771</v>
      </c>
      <c r="E38">
        <f>'Miernik bezwzorcowy, różne wagi'!E83</f>
        <v>0.13516928076322482</v>
      </c>
      <c r="F38">
        <f>'Miernik bezwzorcowy, różne wagi'!F83</f>
        <v>70455.958425795616</v>
      </c>
      <c r="G38">
        <f>'Miernik bezwzorcowy, różne wagi'!G83</f>
        <v>0.113196802139282</v>
      </c>
      <c r="H38">
        <f>'Miernik bezwzorcowy, różne wagi'!H83</f>
        <v>0.64935064935064934</v>
      </c>
      <c r="I38">
        <f>'Miernik bezwzorcowy, różne wagi'!I83</f>
        <v>2.7553376932223546E-3</v>
      </c>
      <c r="J38">
        <f>'Miernik bezwzorcowy, różne wagi'!J83</f>
        <v>1.17973708133594</v>
      </c>
    </row>
    <row r="39" spans="1:10" x14ac:dyDescent="0.25">
      <c r="A39">
        <f t="shared" ref="A39:A64" si="1">A38+1</f>
        <v>3</v>
      </c>
      <c r="B39" s="3" t="s">
        <v>556</v>
      </c>
      <c r="C39">
        <f>'Miernik bezwzorcowy, różne wagi'!C84</f>
        <v>75.8</v>
      </c>
      <c r="D39">
        <f>'Miernik bezwzorcowy, różne wagi'!D84</f>
        <v>8.56</v>
      </c>
      <c r="E39">
        <f>'Miernik bezwzorcowy, różne wagi'!E84</f>
        <v>0.20311660578649662</v>
      </c>
      <c r="F39">
        <f>'Miernik bezwzorcowy, różne wagi'!F84</f>
        <v>38689.548074916594</v>
      </c>
      <c r="G39">
        <f>'Miernik bezwzorcowy, różne wagi'!G84</f>
        <v>0.10561671257019001</v>
      </c>
      <c r="H39">
        <f>'Miernik bezwzorcowy, różne wagi'!H84</f>
        <v>0.9009009009009008</v>
      </c>
      <c r="I39">
        <f>'Miernik bezwzorcowy, różne wagi'!I84</f>
        <v>9.038957813116047E-3</v>
      </c>
      <c r="J39">
        <f>'Miernik bezwzorcowy, różne wagi'!J84</f>
        <v>1.50812345474607</v>
      </c>
    </row>
    <row r="40" spans="1:10" x14ac:dyDescent="0.25">
      <c r="A40">
        <f t="shared" si="1"/>
        <v>4</v>
      </c>
      <c r="B40" s="3" t="s">
        <v>169</v>
      </c>
      <c r="C40">
        <f>'Miernik bezwzorcowy, różne wagi'!C85</f>
        <v>84.2</v>
      </c>
      <c r="D40">
        <f>'Miernik bezwzorcowy, różne wagi'!D85</f>
        <v>11.80107975</v>
      </c>
      <c r="E40">
        <f>'Miernik bezwzorcowy, różne wagi'!E85</f>
        <v>0.24739781934408481</v>
      </c>
      <c r="F40">
        <f>'Miernik bezwzorcowy, różne wagi'!F85</f>
        <v>92980.401876094998</v>
      </c>
      <c r="G40">
        <f>'Miernik bezwzorcowy, różne wagi'!G85</f>
        <v>0.14550841331481901</v>
      </c>
      <c r="H40">
        <f>'Miernik bezwzorcowy, różne wagi'!H85</f>
        <v>2.0833333333333335</v>
      </c>
      <c r="I40">
        <f>'Miernik bezwzorcowy, różne wagi'!I85</f>
        <v>4.2390893152819712E-3</v>
      </c>
      <c r="J40">
        <f>'Miernik bezwzorcowy, różne wagi'!J85</f>
        <v>0.76465339190691706</v>
      </c>
    </row>
    <row r="41" spans="1:10" x14ac:dyDescent="0.25">
      <c r="A41">
        <f t="shared" si="1"/>
        <v>5</v>
      </c>
      <c r="B41" s="3" t="s">
        <v>401</v>
      </c>
      <c r="C41">
        <f>'Miernik bezwzorcowy, różne wagi'!C86</f>
        <v>82.5</v>
      </c>
      <c r="D41">
        <f>'Miernik bezwzorcowy, różne wagi'!D86</f>
        <v>9.43</v>
      </c>
      <c r="E41">
        <f>'Miernik bezwzorcowy, różne wagi'!E86</f>
        <v>0.18274860450692576</v>
      </c>
      <c r="F41">
        <f>'Miernik bezwzorcowy, różne wagi'!F86</f>
        <v>57100.46484375</v>
      </c>
      <c r="G41">
        <f>'Miernik bezwzorcowy, różne wagi'!G86</f>
        <v>0.12736209869384799</v>
      </c>
      <c r="H41">
        <f>'Miernik bezwzorcowy, różne wagi'!H86</f>
        <v>1.2987012987012987</v>
      </c>
      <c r="I41">
        <f>'Miernik bezwzorcowy, różne wagi'!I86</f>
        <v>2.789659192825112E-2</v>
      </c>
      <c r="J41">
        <f>'Miernik bezwzorcowy, różne wagi'!J86</f>
        <v>1.8147966516278899</v>
      </c>
    </row>
    <row r="42" spans="1:10" x14ac:dyDescent="0.25">
      <c r="A42">
        <f t="shared" si="1"/>
        <v>6</v>
      </c>
      <c r="B42" s="3" t="s">
        <v>311</v>
      </c>
      <c r="C42">
        <f>'Miernik bezwzorcowy, różne wagi'!C87</f>
        <v>80</v>
      </c>
      <c r="D42">
        <f>'Miernik bezwzorcowy, różne wagi'!D87</f>
        <v>9.4887867000000004</v>
      </c>
      <c r="E42">
        <f>'Miernik bezwzorcowy, różne wagi'!E87</f>
        <v>0.12042363837758006</v>
      </c>
      <c r="F42">
        <f>'Miernik bezwzorcowy, różne wagi'!F87</f>
        <v>53816.803389523178</v>
      </c>
      <c r="G42">
        <f>'Miernik bezwzorcowy, różne wagi'!G87</f>
        <v>0.108769035339355</v>
      </c>
      <c r="H42">
        <f>'Miernik bezwzorcowy, różne wagi'!H87</f>
        <v>1.3333333333333333</v>
      </c>
      <c r="I42">
        <f>'Miernik bezwzorcowy, różne wagi'!I87</f>
        <v>4.7312641297005183E-3</v>
      </c>
      <c r="J42">
        <f>'Miernik bezwzorcowy, różne wagi'!J87</f>
        <v>1.3580638321417899</v>
      </c>
    </row>
    <row r="43" spans="1:10" x14ac:dyDescent="0.25">
      <c r="A43">
        <f t="shared" si="1"/>
        <v>7</v>
      </c>
      <c r="B43" s="3" t="s">
        <v>436</v>
      </c>
      <c r="C43">
        <f>'Miernik bezwzorcowy, różne wagi'!C88</f>
        <v>81.2</v>
      </c>
      <c r="D43">
        <f>'Miernik bezwzorcowy, różne wagi'!D88</f>
        <v>12.934129710000001</v>
      </c>
      <c r="E43">
        <f>'Miernik bezwzorcowy, różne wagi'!E88</f>
        <v>0.13783177605720059</v>
      </c>
      <c r="F43">
        <f>'Miernik bezwzorcowy, różne wagi'!F88</f>
        <v>69338.293226446665</v>
      </c>
      <c r="G43">
        <f>'Miernik bezwzorcowy, różne wagi'!G88</f>
        <v>9.0661725997924811E-2</v>
      </c>
      <c r="H43">
        <f>'Miernik bezwzorcowy, różne wagi'!H88</f>
        <v>1.3513513513513513</v>
      </c>
      <c r="I43">
        <f>'Miernik bezwzorcowy, różne wagi'!I88</f>
        <v>2.5747016826097317E-3</v>
      </c>
      <c r="J43">
        <f>'Miernik bezwzorcowy, różne wagi'!J88</f>
        <v>1.3900550095965298</v>
      </c>
    </row>
    <row r="44" spans="1:10" x14ac:dyDescent="0.25">
      <c r="A44">
        <f t="shared" si="1"/>
        <v>8</v>
      </c>
      <c r="B44" s="3" t="s">
        <v>274</v>
      </c>
      <c r="C44">
        <f>'Miernik bezwzorcowy, różne wagi'!C89</f>
        <v>81.900000000000006</v>
      </c>
      <c r="D44">
        <f>'Miernik bezwzorcowy, różne wagi'!D89</f>
        <v>10.82</v>
      </c>
      <c r="E44">
        <f>'Miernik bezwzorcowy, różne wagi'!E89</f>
        <v>0.21316337981832473</v>
      </c>
      <c r="F44">
        <f>'Miernik bezwzorcowy, różne wagi'!F89</f>
        <v>76687.902843730641</v>
      </c>
      <c r="G44">
        <f>'Miernik bezwzorcowy, różne wagi'!G89</f>
        <v>0.11888381004333499</v>
      </c>
      <c r="H44">
        <f>'Miernik bezwzorcowy, różne wagi'!H89</f>
        <v>1</v>
      </c>
      <c r="I44">
        <f>'Miernik bezwzorcowy, różne wagi'!I89</f>
        <v>2.2465412351361718E-2</v>
      </c>
      <c r="J44">
        <f>'Miernik bezwzorcowy, różne wagi'!J89</f>
        <v>1.4189603714329999</v>
      </c>
    </row>
    <row r="45" spans="1:10" x14ac:dyDescent="0.25">
      <c r="A45">
        <f t="shared" si="1"/>
        <v>9</v>
      </c>
      <c r="B45" s="3" t="s">
        <v>72</v>
      </c>
      <c r="C45">
        <f>'Miernik bezwzorcowy, różne wagi'!C90</f>
        <v>84</v>
      </c>
      <c r="D45">
        <f>'Miernik bezwzorcowy, różne wagi'!D90</f>
        <v>10.740038869999999</v>
      </c>
      <c r="E45">
        <f>'Miernik bezwzorcowy, różne wagi'!E90</f>
        <v>0.23366699423499479</v>
      </c>
      <c r="F45">
        <f>'Miernik bezwzorcowy, różne wagi'!F90</f>
        <v>52779.234057370304</v>
      </c>
      <c r="G45">
        <f>'Miernik bezwzorcowy, różne wagi'!G90</f>
        <v>9.1786003112793002E-2</v>
      </c>
      <c r="H45">
        <f>'Miernik bezwzorcowy, różne wagi'!H90</f>
        <v>1.4492753623188408</v>
      </c>
      <c r="I45">
        <f>'Miernik bezwzorcowy, różne wagi'!I90</f>
        <v>4.0127785582505368E-3</v>
      </c>
      <c r="J45">
        <f>'Miernik bezwzorcowy, różne wagi'!J90</f>
        <v>1.4660338438573299</v>
      </c>
    </row>
    <row r="46" spans="1:10" x14ac:dyDescent="0.25">
      <c r="A46">
        <f t="shared" si="1"/>
        <v>10</v>
      </c>
      <c r="B46" s="3" t="s">
        <v>468</v>
      </c>
      <c r="C46">
        <f>'Miernik bezwzorcowy, różne wagi'!C91</f>
        <v>78.8</v>
      </c>
      <c r="D46">
        <f>'Miernik bezwzorcowy, różne wagi'!D91</f>
        <v>7.4905729299999999</v>
      </c>
      <c r="E46">
        <f>'Miernik bezwzorcowy, różne wagi'!E91</f>
        <v>0.18732205051905451</v>
      </c>
      <c r="F46">
        <f>'Miernik bezwzorcowy, różne wagi'!F91</f>
        <v>48992.140951181515</v>
      </c>
      <c r="G46">
        <f>'Miernik bezwzorcowy, różne wagi'!G91</f>
        <v>0.14251974105835</v>
      </c>
      <c r="H46">
        <f>'Miernik bezwzorcowy, różne wagi'!H91</f>
        <v>0.7407407407407407</v>
      </c>
      <c r="I46">
        <f>'Miernik bezwzorcowy, różne wagi'!I91</f>
        <v>7.5151439864483346E-3</v>
      </c>
      <c r="J46">
        <f>'Miernik bezwzorcowy, różne wagi'!J91</f>
        <v>2.0866657905942798</v>
      </c>
    </row>
    <row r="47" spans="1:10" x14ac:dyDescent="0.25">
      <c r="A47">
        <f t="shared" si="1"/>
        <v>11</v>
      </c>
      <c r="B47" s="3" t="s">
        <v>47</v>
      </c>
      <c r="C47">
        <f>'Miernik bezwzorcowy, różne wagi'!C92</f>
        <v>81.7</v>
      </c>
      <c r="D47">
        <f>'Miernik bezwzorcowy, różne wagi'!D92</f>
        <v>10.25</v>
      </c>
      <c r="E47">
        <f>'Miernik bezwzorcowy, różne wagi'!E92</f>
        <v>0.15220363942647791</v>
      </c>
      <c r="F47">
        <f>'Miernik bezwzorcowy, różne wagi'!F92</f>
        <v>65060.674161832023</v>
      </c>
      <c r="G47">
        <f>'Miernik bezwzorcowy, różne wagi'!G92</f>
        <v>0.10231122016906699</v>
      </c>
      <c r="H47">
        <f>'Miernik bezwzorcowy, różne wagi'!H92</f>
        <v>0.66666666666666663</v>
      </c>
      <c r="I47">
        <f>'Miernik bezwzorcowy, różne wagi'!I92</f>
        <v>1.4258921770458054E-2</v>
      </c>
      <c r="J47">
        <f>'Miernik bezwzorcowy, różne wagi'!J92</f>
        <v>1.7216829026165299</v>
      </c>
    </row>
    <row r="48" spans="1:10" x14ac:dyDescent="0.25">
      <c r="A48">
        <f t="shared" si="1"/>
        <v>12</v>
      </c>
      <c r="B48" s="3" t="s">
        <v>337</v>
      </c>
      <c r="C48">
        <f>'Miernik bezwzorcowy, różne wagi'!C93</f>
        <v>83.1</v>
      </c>
      <c r="D48">
        <f>'Miernik bezwzorcowy, różne wagi'!D93</f>
        <v>12.307872769999999</v>
      </c>
      <c r="E48">
        <f>'Miernik bezwzorcowy, różne wagi'!E93</f>
        <v>0.25292876000309933</v>
      </c>
      <c r="F48">
        <f>'Miernik bezwzorcowy, różne wagi'!F93</f>
        <v>61156.772819256643</v>
      </c>
      <c r="G48">
        <f>'Miernik bezwzorcowy, różne wagi'!G93</f>
        <v>8.875411033630369E-2</v>
      </c>
      <c r="H48">
        <f>'Miernik bezwzorcowy, różne wagi'!H93</f>
        <v>0.82644628099173556</v>
      </c>
      <c r="I48">
        <f>'Miernik bezwzorcowy, różne wagi'!I93</f>
        <v>9.6520723004828585E-3</v>
      </c>
      <c r="J48">
        <f>'Miernik bezwzorcowy, różne wagi'!J93</f>
        <v>1.9387234180687101</v>
      </c>
    </row>
    <row r="49" spans="1:10" x14ac:dyDescent="0.25">
      <c r="A49">
        <f t="shared" si="1"/>
        <v>13</v>
      </c>
      <c r="B49" s="3" t="s">
        <v>631</v>
      </c>
      <c r="C49">
        <f>'Miernik bezwzorcowy, różne wagi'!C94</f>
        <v>81.599999999999994</v>
      </c>
      <c r="D49">
        <f>'Miernik bezwzorcowy, różne wagi'!D94</f>
        <v>9.1729879400000005</v>
      </c>
      <c r="E49">
        <f>'Miernik bezwzorcowy, różne wagi'!E94</f>
        <v>0.20976740219049378</v>
      </c>
      <c r="F49">
        <f>'Miernik bezwzorcowy, różne wagi'!F94</f>
        <v>41186.81220278937</v>
      </c>
      <c r="G49">
        <f>'Miernik bezwzorcowy, różne wagi'!G94</f>
        <v>7.1118955612182594E-2</v>
      </c>
      <c r="H49">
        <f>'Miernik bezwzorcowy, różne wagi'!H94</f>
        <v>1.3157894736842106</v>
      </c>
      <c r="I49">
        <f>'Miernik bezwzorcowy, różne wagi'!I94</f>
        <v>8.55390660407899E-3</v>
      </c>
      <c r="J49">
        <f>'Miernik bezwzorcowy, różne wagi'!J94</f>
        <v>3.6920744951686402</v>
      </c>
    </row>
    <row r="50" spans="1:10" x14ac:dyDescent="0.25">
      <c r="A50">
        <f t="shared" si="1"/>
        <v>14</v>
      </c>
      <c r="B50" s="3" t="s">
        <v>473</v>
      </c>
      <c r="C50">
        <f>'Miernik bezwzorcowy, różne wagi'!C95</f>
        <v>78.599999999999994</v>
      </c>
      <c r="D50">
        <f>'Miernik bezwzorcowy, różne wagi'!D95</f>
        <v>8.1</v>
      </c>
      <c r="E50">
        <f>'Miernik bezwzorcowy, różne wagi'!E95</f>
        <v>0.25902002316518313</v>
      </c>
      <c r="F50">
        <f>'Miernik bezwzorcowy, różne wagi'!F95</f>
        <v>45909.634484175825</v>
      </c>
      <c r="G50">
        <f>'Miernik bezwzorcowy, różne wagi'!G95</f>
        <v>0.10720606803894001</v>
      </c>
      <c r="H50">
        <f>'Miernik bezwzorcowy, różne wagi'!H95</f>
        <v>1.25</v>
      </c>
      <c r="I50">
        <f>'Miernik bezwzorcowy, różne wagi'!I95</f>
        <v>3.2547247860379258E-3</v>
      </c>
      <c r="J50">
        <f>'Miernik bezwzorcowy, różne wagi'!J95</f>
        <v>2.1674905163411697</v>
      </c>
    </row>
    <row r="51" spans="1:10" x14ac:dyDescent="0.25">
      <c r="A51">
        <f t="shared" si="1"/>
        <v>15</v>
      </c>
      <c r="B51" s="3" t="s">
        <v>46</v>
      </c>
      <c r="C51">
        <f>'Miernik bezwzorcowy, różne wagi'!C96</f>
        <v>76.900000000000006</v>
      </c>
      <c r="D51">
        <f>'Miernik bezwzorcowy, różne wagi'!D96</f>
        <v>7.38</v>
      </c>
      <c r="E51">
        <f>'Miernik bezwzorcowy, różne wagi'!E96</f>
        <v>0.21778649655009125</v>
      </c>
      <c r="F51">
        <f>'Miernik bezwzorcowy, różne wagi'!F96</f>
        <v>45942.169490682201</v>
      </c>
      <c r="G51">
        <f>'Miernik bezwzorcowy, różne wagi'!G96</f>
        <v>0.103632917404175</v>
      </c>
      <c r="H51">
        <f>'Miernik bezwzorcowy, różne wagi'!H96</f>
        <v>1.1363636363636365</v>
      </c>
      <c r="I51">
        <f>'Miernik bezwzorcowy, różne wagi'!I96</f>
        <v>5.2206521856013764E-3</v>
      </c>
      <c r="J51">
        <f>'Miernik bezwzorcowy, różne wagi'!J96</f>
        <v>1.52573720690762</v>
      </c>
    </row>
    <row r="52" spans="1:10" x14ac:dyDescent="0.25">
      <c r="A52">
        <f t="shared" si="1"/>
        <v>16</v>
      </c>
      <c r="B52" s="3" t="s">
        <v>25</v>
      </c>
      <c r="C52">
        <f>'Miernik bezwzorcowy, różne wagi'!C97</f>
        <v>82.6</v>
      </c>
      <c r="D52">
        <f>'Miernik bezwzorcowy, różne wagi'!D97</f>
        <v>9.73</v>
      </c>
      <c r="E52">
        <f>'Miernik bezwzorcowy, różne wagi'!E97</f>
        <v>0.25332711184847223</v>
      </c>
      <c r="F52">
        <f>'Miernik bezwzorcowy, różne wagi'!F97</f>
        <v>77567.191812574616</v>
      </c>
      <c r="G52">
        <f>'Miernik bezwzorcowy, różne wagi'!G97</f>
        <v>0.15406312942504902</v>
      </c>
      <c r="H52">
        <f>'Miernik bezwzorcowy, różne wagi'!H97</f>
        <v>0.94339622641509424</v>
      </c>
      <c r="I52">
        <f>'Miernik bezwzorcowy, różne wagi'!I97</f>
        <v>3.3054125998225378E-3</v>
      </c>
      <c r="J52">
        <f>'Miernik bezwzorcowy, różne wagi'!J97</f>
        <v>1E-3</v>
      </c>
    </row>
    <row r="53" spans="1:10" x14ac:dyDescent="0.25">
      <c r="A53">
        <f t="shared" si="1"/>
        <v>17</v>
      </c>
      <c r="B53" s="3" t="s">
        <v>155</v>
      </c>
      <c r="C53">
        <f>'Miernik bezwzorcowy, różne wagi'!C98</f>
        <v>83.8</v>
      </c>
      <c r="D53">
        <f>'Miernik bezwzorcowy, różne wagi'!D98</f>
        <v>9.3800000000000008</v>
      </c>
      <c r="E53">
        <f>'Miernik bezwzorcowy, różne wagi'!E98</f>
        <v>0.21131048808547009</v>
      </c>
      <c r="F53">
        <f>'Miernik bezwzorcowy, różne wagi'!F98</f>
        <v>58754.90787787213</v>
      </c>
      <c r="G53">
        <f>'Miernik bezwzorcowy, różne wagi'!G98</f>
        <v>7.437161922454831E-2</v>
      </c>
      <c r="H53">
        <f>'Miernik bezwzorcowy, różne wagi'!H98</f>
        <v>1.8181818181818181</v>
      </c>
      <c r="I53">
        <f>'Miernik bezwzorcowy, różne wagi'!I98</f>
        <v>2.8883774080731505E-3</v>
      </c>
      <c r="J53">
        <f>'Miernik bezwzorcowy, różne wagi'!J98</f>
        <v>1.6790923384615599</v>
      </c>
    </row>
    <row r="54" spans="1:10" x14ac:dyDescent="0.25">
      <c r="A54">
        <f t="shared" si="1"/>
        <v>18</v>
      </c>
      <c r="B54" s="3" t="s">
        <v>379</v>
      </c>
      <c r="C54">
        <f>'Miernik bezwzorcowy, różne wagi'!C99</f>
        <v>77.3</v>
      </c>
      <c r="D54">
        <f>'Miernik bezwzorcowy, różne wagi'!D99</f>
        <v>7.82</v>
      </c>
      <c r="E54">
        <f>'Miernik bezwzorcowy, różne wagi'!E99</f>
        <v>0.23900571242880847</v>
      </c>
      <c r="F54">
        <f>'Miernik bezwzorcowy, różne wagi'!F99</f>
        <v>51877.00651927686</v>
      </c>
      <c r="G54">
        <f>'Miernik bezwzorcowy, różne wagi'!G99</f>
        <v>0.127444953918457</v>
      </c>
      <c r="H54">
        <f>'Miernik bezwzorcowy, różne wagi'!H99</f>
        <v>0.45248868778280543</v>
      </c>
      <c r="I54">
        <f>'Miernik bezwzorcowy, różne wagi'!I99</f>
        <v>8.8021338780641112E-3</v>
      </c>
      <c r="J54">
        <f>'Miernik bezwzorcowy, różne wagi'!J99</f>
        <v>2.52262366538611</v>
      </c>
    </row>
    <row r="55" spans="1:10" x14ac:dyDescent="0.25">
      <c r="A55">
        <f t="shared" si="1"/>
        <v>19</v>
      </c>
      <c r="B55" s="3" t="s">
        <v>263</v>
      </c>
      <c r="C55">
        <f>'Miernik bezwzorcowy, różne wagi'!C100</f>
        <v>83.4</v>
      </c>
      <c r="D55">
        <f>'Miernik bezwzorcowy, różne wagi'!D100</f>
        <v>5.67</v>
      </c>
      <c r="E55">
        <f>'Miernik bezwzorcowy, różne wagi'!E100</f>
        <v>8.0276451337688293E-2</v>
      </c>
      <c r="F55">
        <f>'Miernik bezwzorcowy, różne wagi'!F100</f>
        <v>143341.47312464545</v>
      </c>
      <c r="G55">
        <f>'Miernik bezwzorcowy, różne wagi'!G100</f>
        <v>0.11003183364868199</v>
      </c>
      <c r="H55">
        <f>'Miernik bezwzorcowy, różne wagi'!H100</f>
        <v>0.71942446043165476</v>
      </c>
      <c r="I55">
        <f>'Miernik bezwzorcowy, różne wagi'!I100</f>
        <v>5.1534943639291462E-3</v>
      </c>
      <c r="J55">
        <f>'Miernik bezwzorcowy, różne wagi'!J100</f>
        <v>0.700406724896945</v>
      </c>
    </row>
    <row r="56" spans="1:10" x14ac:dyDescent="0.25">
      <c r="A56">
        <f t="shared" si="1"/>
        <v>20</v>
      </c>
      <c r="B56" s="3" t="s">
        <v>240</v>
      </c>
      <c r="C56">
        <f>'Miernik bezwzorcowy, różne wagi'!C101</f>
        <v>75.900000000000006</v>
      </c>
      <c r="D56">
        <f>'Miernik bezwzorcowy, różne wagi'!D101</f>
        <v>9.0399999999999991</v>
      </c>
      <c r="E56">
        <f>'Miernik bezwzorcowy, różne wagi'!E101</f>
        <v>0.27430235411284154</v>
      </c>
      <c r="F56">
        <f>'Miernik bezwzorcowy, różne wagi'!F101</f>
        <v>42501.027882049464</v>
      </c>
      <c r="G56">
        <f>'Miernik bezwzorcowy, różne wagi'!G101</f>
        <v>0.126531772613525</v>
      </c>
      <c r="H56">
        <f>'Miernik bezwzorcowy, różne wagi'!H101</f>
        <v>0.24691358024691359</v>
      </c>
      <c r="I56">
        <f>'Miernik bezwzorcowy, różne wagi'!I101</f>
        <v>4.7076942293280038E-3</v>
      </c>
      <c r="J56">
        <f>'Miernik bezwzorcowy, różne wagi'!J101</f>
        <v>2.0498651345644303</v>
      </c>
    </row>
    <row r="57" spans="1:10" x14ac:dyDescent="0.25">
      <c r="A57">
        <f t="shared" si="1"/>
        <v>21</v>
      </c>
      <c r="B57" s="3" t="s">
        <v>361</v>
      </c>
      <c r="C57">
        <f>'Miernik bezwzorcowy, różne wagi'!C102</f>
        <v>83.6</v>
      </c>
      <c r="D57">
        <f>'Miernik bezwzorcowy, różne wagi'!D102</f>
        <v>10.58</v>
      </c>
      <c r="E57">
        <f>'Miernik bezwzorcowy, różne wagi'!E102</f>
        <v>0.31994288197678028</v>
      </c>
      <c r="F57">
        <f>'Miernik bezwzorcowy, różne wagi'!F102</f>
        <v>62445.681490419811</v>
      </c>
      <c r="G57">
        <f>'Miernik bezwzorcowy, różne wagi'!G102</f>
        <v>0.12658941268920901</v>
      </c>
      <c r="H57">
        <f>'Miernik bezwzorcowy, różne wagi'!H102</f>
        <v>0.64935064935064934</v>
      </c>
      <c r="I57">
        <f>'Miernik bezwzorcowy, różne wagi'!I102</f>
        <v>3.3846997389033943E-3</v>
      </c>
      <c r="J57">
        <f>'Miernik bezwzorcowy, różne wagi'!J102</f>
        <v>0.49920686499012495</v>
      </c>
    </row>
    <row r="58" spans="1:10" x14ac:dyDescent="0.25">
      <c r="A58">
        <f t="shared" si="1"/>
        <v>22</v>
      </c>
      <c r="B58" s="3" t="s">
        <v>14</v>
      </c>
      <c r="C58">
        <f>'Miernik bezwzorcowy, różne wagi'!C103</f>
        <v>82</v>
      </c>
      <c r="D58">
        <f>'Miernik bezwzorcowy, różne wagi'!D103</f>
        <v>11.29</v>
      </c>
      <c r="E58">
        <f>'Miernik bezwzorcowy, różne wagi'!E103</f>
        <v>0.13384097468367057</v>
      </c>
      <c r="F58">
        <f>'Miernik bezwzorcowy, różne wagi'!F103</f>
        <v>78215.066303860061</v>
      </c>
      <c r="G58">
        <f>'Miernik bezwzorcowy, różne wagi'!G103</f>
        <v>0.11019962310791</v>
      </c>
      <c r="H58">
        <f>'Miernik bezwzorcowy, różne wagi'!H103</f>
        <v>1.2345679012345678</v>
      </c>
      <c r="I58">
        <f>'Miernik bezwzorcowy, różne wagi'!I103</f>
        <v>7.7238079295154178E-3</v>
      </c>
      <c r="J58">
        <f>'Miernik bezwzorcowy, różne wagi'!J103</f>
        <v>1.5832811384634797</v>
      </c>
    </row>
    <row r="59" spans="1:10" x14ac:dyDescent="0.25">
      <c r="A59">
        <f t="shared" si="1"/>
        <v>23</v>
      </c>
      <c r="B59" s="3" t="s">
        <v>619</v>
      </c>
      <c r="C59">
        <f>'Miernik bezwzorcowy, różne wagi'!C104</f>
        <v>83.1</v>
      </c>
      <c r="D59">
        <f>'Miernik bezwzorcowy, różne wagi'!D104</f>
        <v>10.08</v>
      </c>
      <c r="E59">
        <f>'Miernik bezwzorcowy, różne wagi'!E104</f>
        <v>0.14869711477331149</v>
      </c>
      <c r="F59">
        <f>'Miernik bezwzorcowy, różne wagi'!F104</f>
        <v>104459.81192279447</v>
      </c>
      <c r="G59">
        <f>'Miernik bezwzorcowy, różne wagi'!G104</f>
        <v>0.102669334411621</v>
      </c>
      <c r="H59">
        <f>'Miernik bezwzorcowy, różne wagi'!H104</f>
        <v>1.8181818181818181</v>
      </c>
      <c r="I59">
        <f>'Miernik bezwzorcowy, różne wagi'!I104</f>
        <v>1.1847360350492882E-2</v>
      </c>
      <c r="J59">
        <f>'Miernik bezwzorcowy, różne wagi'!J104</f>
        <v>1.6376655408969301</v>
      </c>
    </row>
    <row r="60" spans="1:10" x14ac:dyDescent="0.25">
      <c r="A60">
        <f t="shared" si="1"/>
        <v>24</v>
      </c>
      <c r="B60" s="3" t="s">
        <v>65</v>
      </c>
      <c r="C60">
        <f>'Miernik bezwzorcowy, różne wagi'!C105</f>
        <v>78.599999999999994</v>
      </c>
      <c r="D60">
        <f>'Miernik bezwzorcowy, różne wagi'!D105</f>
        <v>6.44</v>
      </c>
      <c r="E60">
        <f>'Miernik bezwzorcowy, różne wagi'!E105</f>
        <v>0.13573008461313113</v>
      </c>
      <c r="F60">
        <f>'Miernik bezwzorcowy, różne wagi'!F105</f>
        <v>49463.99116942488</v>
      </c>
      <c r="G60">
        <f>'Miernik bezwzorcowy, różne wagi'!G105</f>
        <v>0.111692733764648</v>
      </c>
      <c r="H60">
        <f>'Miernik bezwzorcowy, różne wagi'!H105</f>
        <v>1.4492753623188408</v>
      </c>
      <c r="I60">
        <f>'Miernik bezwzorcowy, różne wagi'!I105</f>
        <v>1.4290033692977473E-2</v>
      </c>
      <c r="J60">
        <f>'Miernik bezwzorcowy, różne wagi'!J105</f>
        <v>2.38851188830618</v>
      </c>
    </row>
    <row r="61" spans="1:10" x14ac:dyDescent="0.25">
      <c r="A61">
        <f t="shared" si="1"/>
        <v>25</v>
      </c>
      <c r="B61" s="3" t="s">
        <v>388</v>
      </c>
      <c r="C61">
        <f>'Miernik bezwzorcowy, różne wagi'!C106</f>
        <v>82.4</v>
      </c>
      <c r="D61">
        <f>'Miernik bezwzorcowy, różne wagi'!D106</f>
        <v>11.14</v>
      </c>
      <c r="E61">
        <f>'Miernik bezwzorcowy, różne wagi'!E106</f>
        <v>0.26420724338332457</v>
      </c>
      <c r="F61">
        <f>'Miernik bezwzorcowy, różne wagi'!F106</f>
        <v>48758.857022163567</v>
      </c>
      <c r="G61">
        <f>'Miernik bezwzorcowy, różne wagi'!G106</f>
        <v>9.7091884613037097E-2</v>
      </c>
      <c r="H61">
        <f>'Miernik bezwzorcowy, różne wagi'!H106</f>
        <v>1.3888888888888888</v>
      </c>
      <c r="I61">
        <f>'Miernik bezwzorcowy, różne wagi'!I106</f>
        <v>2.7257933919082444E-3</v>
      </c>
      <c r="J61">
        <f>'Miernik bezwzorcowy, różne wagi'!J106</f>
        <v>1.3543893401962401</v>
      </c>
    </row>
    <row r="62" spans="1:10" x14ac:dyDescent="0.25">
      <c r="A62">
        <f t="shared" si="1"/>
        <v>26</v>
      </c>
      <c r="B62" s="3" t="s">
        <v>503</v>
      </c>
      <c r="C62">
        <f>'Miernik bezwzorcowy, różne wagi'!C107</f>
        <v>76.599999999999994</v>
      </c>
      <c r="D62">
        <f>'Miernik bezwzorcowy, różne wagi'!D107</f>
        <v>6.48</v>
      </c>
      <c r="E62">
        <f>'Miernik bezwzorcowy, różne wagi'!E107</f>
        <v>0.28057278923453338</v>
      </c>
      <c r="F62">
        <f>'Miernik bezwzorcowy, różne wagi'!F107</f>
        <v>47903.341148648993</v>
      </c>
      <c r="G62">
        <f>'Miernik bezwzorcowy, różne wagi'!G107</f>
        <v>8.1443548202514593E-2</v>
      </c>
      <c r="H62">
        <f>'Miernik bezwzorcowy, różne wagi'!H107</f>
        <v>1.0989010989010988</v>
      </c>
      <c r="I62">
        <f>'Miernik bezwzorcowy, różne wagi'!I107</f>
        <v>5.7539370505220707E-3</v>
      </c>
      <c r="J62">
        <f>'Miernik bezwzorcowy, różne wagi'!J107</f>
        <v>1.7305450659253301</v>
      </c>
    </row>
    <row r="63" spans="1:10" x14ac:dyDescent="0.25">
      <c r="A63">
        <f t="shared" si="1"/>
        <v>27</v>
      </c>
      <c r="B63" s="3" t="s">
        <v>334</v>
      </c>
      <c r="C63">
        <f>'Miernik bezwzorcowy, różne wagi'!C108</f>
        <v>82</v>
      </c>
      <c r="D63">
        <f>'Miernik bezwzorcowy, różne wagi'!D108</f>
        <v>9.48</v>
      </c>
      <c r="E63">
        <f>'Miernik bezwzorcowy, różne wagi'!E108</f>
        <v>0.16849951511945693</v>
      </c>
      <c r="F63">
        <f>'Miernik bezwzorcowy, różne wagi'!F108</f>
        <v>54947.470137240023</v>
      </c>
      <c r="G63">
        <f>'Miernik bezwzorcowy, różne wagi'!G108</f>
        <v>0.11501742362976101</v>
      </c>
      <c r="H63">
        <f>'Miernik bezwzorcowy, różne wagi'!H108</f>
        <v>1.6129032258064517</v>
      </c>
      <c r="I63">
        <f>'Miernik bezwzorcowy, różne wagi'!I108</f>
        <v>3.2744315004659833E-3</v>
      </c>
      <c r="J63">
        <f>'Miernik bezwzorcowy, różne wagi'!J108</f>
        <v>1.1879860151950101</v>
      </c>
    </row>
    <row r="64" spans="1:10" x14ac:dyDescent="0.25">
      <c r="A64">
        <f t="shared" si="1"/>
        <v>28</v>
      </c>
      <c r="B64" s="3" t="s">
        <v>63</v>
      </c>
      <c r="C64">
        <f>'Miernik bezwzorcowy, różne wagi'!C109</f>
        <v>83.4</v>
      </c>
      <c r="D64">
        <f>'Miernik bezwzorcowy, różne wagi'!D109</f>
        <v>11.25</v>
      </c>
      <c r="E64">
        <f>'Miernik bezwzorcowy, różne wagi'!E109</f>
        <v>0.30835749238297477</v>
      </c>
      <c r="F64">
        <f>'Miernik bezwzorcowy, różne wagi'!F109</f>
        <v>70206.611636511487</v>
      </c>
      <c r="G64">
        <f>'Miernik bezwzorcowy, różne wagi'!G109</f>
        <v>0.13531939506530802</v>
      </c>
      <c r="H64">
        <f>'Miernik bezwzorcowy, różne wagi'!H109</f>
        <v>0.9009009009009008</v>
      </c>
      <c r="I64">
        <f>'Miernik bezwzorcowy, różne wagi'!I109</f>
        <v>6.5356158624584309E-3</v>
      </c>
      <c r="J64">
        <f>'Miernik bezwzorcowy, różne wagi'!J109</f>
        <v>1.30746311852624</v>
      </c>
    </row>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spans="1:13" hidden="1" x14ac:dyDescent="0.25"/>
    <row r="85" spans="1:13" x14ac:dyDescent="0.25">
      <c r="B85" s="163" t="s">
        <v>692</v>
      </c>
      <c r="C85" s="163"/>
      <c r="D85" s="163"/>
      <c r="E85" s="163"/>
    </row>
    <row r="87" spans="1:13" ht="45" x14ac:dyDescent="0.25">
      <c r="A87" s="89" t="s">
        <v>678</v>
      </c>
      <c r="B87" s="37" t="s">
        <v>653</v>
      </c>
      <c r="C87" s="37" t="s">
        <v>680</v>
      </c>
      <c r="D87" s="37" t="s">
        <v>699</v>
      </c>
      <c r="E87" s="37" t="s">
        <v>674</v>
      </c>
      <c r="F87" s="37" t="s">
        <v>676</v>
      </c>
      <c r="G87" s="37" t="s">
        <v>679</v>
      </c>
      <c r="H87" s="37" t="s">
        <v>675</v>
      </c>
      <c r="I87" s="37" t="s">
        <v>681</v>
      </c>
      <c r="J87" s="90" t="s">
        <v>700</v>
      </c>
      <c r="K87" s="52" t="s">
        <v>693</v>
      </c>
      <c r="L87" s="39" t="s">
        <v>694</v>
      </c>
      <c r="M87" s="39" t="s">
        <v>703</v>
      </c>
    </row>
    <row r="88" spans="1:13" x14ac:dyDescent="0.25">
      <c r="A88">
        <v>1</v>
      </c>
      <c r="B88" s="4" t="s">
        <v>54</v>
      </c>
      <c r="C88">
        <f>C37/SQRT(SUMSQ(C$37:C$64))</f>
        <v>0.19019287893407777</v>
      </c>
      <c r="D88">
        <f t="shared" ref="D88:I88" si="2">D37/SQRT(SUMSQ(D$37:D$64))</f>
        <v>0.23290230574207604</v>
      </c>
      <c r="E88">
        <f t="shared" si="2"/>
        <v>0.13370187289251703</v>
      </c>
      <c r="F88">
        <f t="shared" si="2"/>
        <v>0.20697261137308132</v>
      </c>
      <c r="G88">
        <f t="shared" si="2"/>
        <v>0.14891958252244794</v>
      </c>
      <c r="H88">
        <f t="shared" si="2"/>
        <v>0.21681405458357483</v>
      </c>
      <c r="I88">
        <f t="shared" si="2"/>
        <v>4.3295901189732609E-2</v>
      </c>
      <c r="J88" s="51">
        <f>J37/SQRT(SUMSQ(J$37:J$64))</f>
        <v>8.5960311628180991E-2</v>
      </c>
      <c r="K88" s="68" cm="1">
        <f t="array" ref="K88">SQRT(SUMSQ(C88:J88-C$117:J$117))</f>
        <v>0.66995347665709204</v>
      </c>
      <c r="L88" s="68" cm="1">
        <f t="array" ref="L88">SQRT(SUMSQ(C88:J88-C$118:J$118))</f>
        <v>0.2628027239490448</v>
      </c>
      <c r="M88" s="68">
        <f>L88/(K88+L88)</f>
        <v>0.2817485681448878</v>
      </c>
    </row>
    <row r="89" spans="1:13" x14ac:dyDescent="0.25">
      <c r="A89">
        <f>A88+1</f>
        <v>2</v>
      </c>
      <c r="B89" s="3" t="s">
        <v>587</v>
      </c>
      <c r="C89">
        <f t="shared" ref="C89:J89" si="3">C38/SQRT(SUMSQ(C$37:C$64))</f>
        <v>0.19229059451055658</v>
      </c>
      <c r="D89">
        <f t="shared" si="3"/>
        <v>0.21255526179801232</v>
      </c>
      <c r="E89">
        <f t="shared" si="3"/>
        <v>0.11986773393704901</v>
      </c>
      <c r="F89">
        <f t="shared" si="3"/>
        <v>0.1977245591716271</v>
      </c>
      <c r="G89">
        <f t="shared" si="3"/>
        <v>0.19131195598538922</v>
      </c>
      <c r="H89">
        <f t="shared" si="3"/>
        <v>0.10136760993517785</v>
      </c>
      <c r="I89">
        <f t="shared" si="3"/>
        <v>5.4465797326017029E-2</v>
      </c>
      <c r="J89" s="51">
        <f t="shared" si="3"/>
        <v>0.13125760767470177</v>
      </c>
      <c r="K89" s="68" cm="1">
        <f t="array" ref="K89">SQRT(SUMSQ(C89:J89-C$117:J$117))</f>
        <v>0.67084056207031695</v>
      </c>
      <c r="L89" s="68" cm="1">
        <f t="array" ref="L89">SQRT(SUMSQ(C89:J89-C$118:J$118))</f>
        <v>0.21813848976104488</v>
      </c>
      <c r="M89" s="68">
        <f t="shared" ref="M89:M115" si="4">L89/(K89+L89)</f>
        <v>0.24538091118307417</v>
      </c>
    </row>
    <row r="90" spans="1:13" x14ac:dyDescent="0.25">
      <c r="A90">
        <f t="shared" ref="A90:A115" si="5">A89+1</f>
        <v>3</v>
      </c>
      <c r="B90" s="3" t="s">
        <v>556</v>
      </c>
      <c r="C90">
        <f t="shared" ref="C90:J90" si="6">C39/SQRT(SUMSQ(C$37:C$64))</f>
        <v>0.17667426744121439</v>
      </c>
      <c r="D90">
        <f t="shared" si="6"/>
        <v>0.16476394521918769</v>
      </c>
      <c r="E90">
        <f t="shared" si="6"/>
        <v>0.18012322861479863</v>
      </c>
      <c r="F90">
        <f t="shared" si="6"/>
        <v>0.10857667695655894</v>
      </c>
      <c r="G90">
        <f t="shared" si="6"/>
        <v>0.17850097780755078</v>
      </c>
      <c r="H90">
        <f t="shared" si="6"/>
        <v>0.14063614351367015</v>
      </c>
      <c r="I90">
        <f t="shared" si="6"/>
        <v>0.17867648147034845</v>
      </c>
      <c r="J90" s="51">
        <f t="shared" si="6"/>
        <v>0.16779389228311187</v>
      </c>
      <c r="K90" s="68" cm="1">
        <f t="array" ref="K90">SQRT(SUMSQ(C90:J90-C$117:J$117))</f>
        <v>0.5858599661910755</v>
      </c>
      <c r="L90" s="68" cm="1">
        <f t="array" ref="L90">SQRT(SUMSQ(C90:J90-C$118:J$118))</f>
        <v>0.27427803876575607</v>
      </c>
      <c r="M90" s="68">
        <f t="shared" si="4"/>
        <v>0.31887678161543564</v>
      </c>
    </row>
    <row r="91" spans="1:13" x14ac:dyDescent="0.25">
      <c r="A91">
        <f t="shared" si="5"/>
        <v>4</v>
      </c>
      <c r="B91" s="3" t="s">
        <v>169</v>
      </c>
      <c r="C91">
        <f t="shared" ref="C91:J91" si="7">C40/SQRT(SUMSQ(C$37:C$64))</f>
        <v>0.19625294615501654</v>
      </c>
      <c r="D91">
        <f t="shared" si="7"/>
        <v>0.22714865157199357</v>
      </c>
      <c r="E91">
        <f t="shared" si="7"/>
        <v>0.21939168292009617</v>
      </c>
      <c r="F91">
        <f t="shared" si="7"/>
        <v>0.26093618457996315</v>
      </c>
      <c r="G91">
        <f t="shared" si="7"/>
        <v>0.24592125075526489</v>
      </c>
      <c r="H91">
        <f t="shared" si="7"/>
        <v>0.32522108187536231</v>
      </c>
      <c r="I91">
        <f t="shared" si="7"/>
        <v>8.379567414221839E-2</v>
      </c>
      <c r="J91" s="51">
        <f t="shared" si="7"/>
        <v>8.5075375276322154E-2</v>
      </c>
      <c r="K91" s="68" cm="1">
        <f t="array" ref="K91">SQRT(SUMSQ(C91:J91-C$117:J$117))</f>
        <v>0.59124878044939377</v>
      </c>
      <c r="L91" s="68" cm="1">
        <f t="array" ref="L91">SQRT(SUMSQ(C91:J91-C$118:J$118))</f>
        <v>0.40784391502668332</v>
      </c>
      <c r="M91" s="68">
        <f t="shared" si="4"/>
        <v>0.40821428969845674</v>
      </c>
    </row>
    <row r="92" spans="1:13" x14ac:dyDescent="0.25">
      <c r="A92">
        <f t="shared" si="5"/>
        <v>5</v>
      </c>
      <c r="B92" s="3" t="s">
        <v>401</v>
      </c>
      <c r="C92">
        <f t="shared" ref="C92:J92" si="8">C41/SQRT(SUMSQ(C$37:C$64))</f>
        <v>0.19229059451055658</v>
      </c>
      <c r="D92">
        <f t="shared" si="8"/>
        <v>0.18150981348328737</v>
      </c>
      <c r="E92">
        <f t="shared" si="8"/>
        <v>0.16206094297990076</v>
      </c>
      <c r="F92">
        <f t="shared" si="8"/>
        <v>0.16024427872365526</v>
      </c>
      <c r="G92">
        <f t="shared" si="8"/>
        <v>0.21525247850679957</v>
      </c>
      <c r="H92">
        <f t="shared" si="8"/>
        <v>0.2027352198703557</v>
      </c>
      <c r="I92">
        <f t="shared" si="8"/>
        <v>0.5514424332771295</v>
      </c>
      <c r="J92" s="51">
        <f t="shared" si="8"/>
        <v>0.20191436776657939</v>
      </c>
      <c r="K92" s="68" cm="1">
        <f t="array" ref="K92">SQRT(SUMSQ(C92:J92-C$117:J$117))</f>
        <v>0.37229870700445444</v>
      </c>
      <c r="L92" s="68" cm="1">
        <f t="array" ref="L92">SQRT(SUMSQ(C92:J92-C$118:J$118))</f>
        <v>0.59273978237051361</v>
      </c>
      <c r="M92" s="68">
        <f t="shared" si="4"/>
        <v>0.6142136183132102</v>
      </c>
    </row>
    <row r="93" spans="1:13" x14ac:dyDescent="0.25">
      <c r="A93">
        <f t="shared" si="5"/>
        <v>6</v>
      </c>
      <c r="B93" s="3" t="s">
        <v>311</v>
      </c>
      <c r="C93">
        <f t="shared" ref="C93:J93" si="9">C42/SQRT(SUMSQ(C$37:C$64))</f>
        <v>0.18646360679811547</v>
      </c>
      <c r="D93">
        <f t="shared" si="9"/>
        <v>0.18264134720039216</v>
      </c>
      <c r="E93">
        <f t="shared" si="9"/>
        <v>0.10679134018668569</v>
      </c>
      <c r="F93">
        <f t="shared" si="9"/>
        <v>0.1510291530194231</v>
      </c>
      <c r="G93">
        <f t="shared" si="9"/>
        <v>0.18382866395653036</v>
      </c>
      <c r="H93">
        <f t="shared" si="9"/>
        <v>0.20814149240023183</v>
      </c>
      <c r="I93">
        <f t="shared" si="9"/>
        <v>9.3524678959678836E-2</v>
      </c>
      <c r="J93" s="51">
        <f t="shared" si="9"/>
        <v>0.15109825103963917</v>
      </c>
      <c r="K93" s="68" cm="1">
        <f t="array" ref="K93">SQRT(SUMSQ(C93:J93-C$117:J$117))</f>
        <v>0.62897596829326907</v>
      </c>
      <c r="L93" s="68" cm="1">
        <f t="array" ref="L93">SQRT(SUMSQ(C93:J93-C$118:J$118))</f>
        <v>0.25826449670492962</v>
      </c>
      <c r="M93" s="68">
        <f t="shared" si="4"/>
        <v>0.29108737359657505</v>
      </c>
    </row>
    <row r="94" spans="1:13" x14ac:dyDescent="0.25">
      <c r="A94">
        <f t="shared" si="5"/>
        <v>7</v>
      </c>
      <c r="B94" s="3" t="s">
        <v>436</v>
      </c>
      <c r="C94">
        <f t="shared" ref="C94:J94" si="10">C43/SQRT(SUMSQ(C$37:C$64))</f>
        <v>0.18926056090008719</v>
      </c>
      <c r="D94">
        <f t="shared" si="10"/>
        <v>0.24895773820050326</v>
      </c>
      <c r="E94">
        <f t="shared" si="10"/>
        <v>0.1222288271951095</v>
      </c>
      <c r="F94">
        <f t="shared" si="10"/>
        <v>0.19458799182118097</v>
      </c>
      <c r="G94">
        <f t="shared" si="10"/>
        <v>0.15322581385587916</v>
      </c>
      <c r="H94">
        <f t="shared" si="10"/>
        <v>0.21095421527050523</v>
      </c>
      <c r="I94">
        <f t="shared" si="10"/>
        <v>5.0895097310549482E-2</v>
      </c>
      <c r="J94" s="51">
        <f t="shared" si="10"/>
        <v>0.15465759107042887</v>
      </c>
      <c r="K94" s="68" cm="1">
        <f t="array" ref="K94">SQRT(SUMSQ(C94:J94-C$117:J$117))</f>
        <v>0.64027007580744177</v>
      </c>
      <c r="L94" s="68" cm="1">
        <f t="array" ref="L94">SQRT(SUMSQ(C94:J94-C$118:J$118))</f>
        <v>0.29063648567120076</v>
      </c>
      <c r="M94" s="68">
        <f t="shared" si="4"/>
        <v>0.31220801066173248</v>
      </c>
    </row>
    <row r="95" spans="1:13" x14ac:dyDescent="0.25">
      <c r="A95">
        <f t="shared" si="5"/>
        <v>8</v>
      </c>
      <c r="B95" s="3" t="s">
        <v>274</v>
      </c>
      <c r="C95">
        <f t="shared" ref="C95:J95" si="11">C44/SQRT(SUMSQ(C$37:C$64))</f>
        <v>0.19089211745957071</v>
      </c>
      <c r="D95">
        <f t="shared" si="11"/>
        <v>0.20826470645696388</v>
      </c>
      <c r="E95">
        <f t="shared" si="11"/>
        <v>0.18903267926640313</v>
      </c>
      <c r="F95">
        <f t="shared" si="11"/>
        <v>0.21521361886721055</v>
      </c>
      <c r="G95">
        <f t="shared" si="11"/>
        <v>0.20092346960827437</v>
      </c>
      <c r="H95">
        <f t="shared" si="11"/>
        <v>0.15610611930017387</v>
      </c>
      <c r="I95">
        <f t="shared" si="11"/>
        <v>0.44408226221580716</v>
      </c>
      <c r="J95" s="51">
        <f t="shared" si="11"/>
        <v>0.15787360309857526</v>
      </c>
      <c r="K95" s="68" cm="1">
        <f t="array" ref="K95">SQRT(SUMSQ(C95:J95-C$117:J$117))</f>
        <v>0.39148845651797837</v>
      </c>
      <c r="L95" s="68" cm="1">
        <f t="array" ref="L95">SQRT(SUMSQ(C95:J95-C$118:J$118))</f>
        <v>0.4910633217275947</v>
      </c>
      <c r="M95" s="68">
        <f t="shared" si="4"/>
        <v>0.55641304434713246</v>
      </c>
    </row>
    <row r="96" spans="1:13" x14ac:dyDescent="0.25">
      <c r="A96">
        <f t="shared" si="5"/>
        <v>9</v>
      </c>
      <c r="B96" s="3" t="s">
        <v>72</v>
      </c>
      <c r="C96">
        <f t="shared" ref="C96:J96" si="12">C45/SQRT(SUMSQ(C$37:C$64))</f>
        <v>0.19578678713802122</v>
      </c>
      <c r="D96">
        <f t="shared" si="12"/>
        <v>0.2067256046762414</v>
      </c>
      <c r="E96">
        <f t="shared" si="12"/>
        <v>0.20721522624577507</v>
      </c>
      <c r="F96">
        <f t="shared" si="12"/>
        <v>0.14811736325183383</v>
      </c>
      <c r="G96">
        <f t="shared" si="12"/>
        <v>0.15512593514773679</v>
      </c>
      <c r="H96">
        <f t="shared" si="12"/>
        <v>0.22624075260894769</v>
      </c>
      <c r="I96">
        <f t="shared" si="12"/>
        <v>7.9322104221735745E-2</v>
      </c>
      <c r="J96" s="51">
        <f t="shared" si="12"/>
        <v>0.16311100003481613</v>
      </c>
      <c r="K96" s="68" cm="1">
        <f t="array" ref="K96">SQRT(SUMSQ(C96:J96-C$117:J$117))</f>
        <v>0.61428232011305195</v>
      </c>
      <c r="L96" s="68" cm="1">
        <f t="array" ref="L96">SQRT(SUMSQ(C96:J96-C$118:J$118))</f>
        <v>0.3070376347311462</v>
      </c>
      <c r="M96" s="68">
        <f t="shared" si="4"/>
        <v>0.33325842245875209</v>
      </c>
    </row>
    <row r="97" spans="1:13" x14ac:dyDescent="0.25">
      <c r="A97">
        <f t="shared" si="5"/>
        <v>10</v>
      </c>
      <c r="B97" s="3" t="s">
        <v>468</v>
      </c>
      <c r="C97">
        <f t="shared" ref="C97:J97" si="13">C46/SQRT(SUMSQ(C$37:C$64))</f>
        <v>0.18366665269614371</v>
      </c>
      <c r="D97">
        <f t="shared" si="13"/>
        <v>0.14417947989472549</v>
      </c>
      <c r="E97">
        <f t="shared" si="13"/>
        <v>0.16611666190258706</v>
      </c>
      <c r="F97">
        <f t="shared" si="13"/>
        <v>0.13748942869961669</v>
      </c>
      <c r="G97">
        <f t="shared" si="13"/>
        <v>0.24087014750518521</v>
      </c>
      <c r="H97">
        <f t="shared" si="13"/>
        <v>0.11563416244457324</v>
      </c>
      <c r="I97">
        <f t="shared" si="13"/>
        <v>0.1485546799757364</v>
      </c>
      <c r="J97" s="51">
        <f t="shared" si="13"/>
        <v>0.2321625419961286</v>
      </c>
      <c r="K97" s="68" cm="1">
        <f t="array" ref="K97">SQRT(SUMSQ(C97:J97-C$117:J$117))</f>
        <v>0.57758634632656558</v>
      </c>
      <c r="L97" s="68" cm="1">
        <f t="array" ref="L97">SQRT(SUMSQ(C97:J97-C$118:J$118))</f>
        <v>0.31073480459891079</v>
      </c>
      <c r="M97" s="68">
        <f t="shared" si="4"/>
        <v>0.34980007430328441</v>
      </c>
    </row>
    <row r="98" spans="1:13" x14ac:dyDescent="0.25">
      <c r="A98">
        <f t="shared" si="5"/>
        <v>11</v>
      </c>
      <c r="B98" s="3" t="s">
        <v>47</v>
      </c>
      <c r="C98">
        <f t="shared" ref="C98:J98" si="14">C47/SQRT(SUMSQ(C$37:C$64))</f>
        <v>0.19042595844257543</v>
      </c>
      <c r="D98">
        <f t="shared" si="14"/>
        <v>0.19729327552531237</v>
      </c>
      <c r="E98">
        <f t="shared" si="14"/>
        <v>0.13497375477629442</v>
      </c>
      <c r="F98">
        <f t="shared" si="14"/>
        <v>0.18258346640200204</v>
      </c>
      <c r="G98">
        <f t="shared" si="14"/>
        <v>0.1729144223147942</v>
      </c>
      <c r="H98">
        <f t="shared" si="14"/>
        <v>0.10407074620011592</v>
      </c>
      <c r="I98">
        <f t="shared" si="14"/>
        <v>0.28186147387583649</v>
      </c>
      <c r="J98" s="51">
        <f t="shared" si="14"/>
        <v>0.19155452731550734</v>
      </c>
      <c r="K98" s="68" cm="1">
        <f t="array" ref="K98">SQRT(SUMSQ(C98:J98-C$117:J$117))</f>
        <v>0.50038225927752644</v>
      </c>
      <c r="L98" s="68" cm="1">
        <f t="array" ref="L98">SQRT(SUMSQ(C98:J98-C$118:J$118))</f>
        <v>0.3437193958168554</v>
      </c>
      <c r="M98" s="68">
        <f t="shared" si="4"/>
        <v>0.40720142383611718</v>
      </c>
    </row>
    <row r="99" spans="1:13" x14ac:dyDescent="0.25">
      <c r="A99">
        <f t="shared" si="5"/>
        <v>12</v>
      </c>
      <c r="B99" s="3" t="s">
        <v>337</v>
      </c>
      <c r="C99">
        <f t="shared" ref="C99:J99" si="15">C48/SQRT(SUMSQ(C$37:C$64))</f>
        <v>0.19368907156154241</v>
      </c>
      <c r="D99">
        <f t="shared" si="15"/>
        <v>0.23690346668703408</v>
      </c>
      <c r="E99">
        <f t="shared" si="15"/>
        <v>0.22429650537378445</v>
      </c>
      <c r="F99">
        <f t="shared" si="15"/>
        <v>0.17162772625941064</v>
      </c>
      <c r="G99">
        <f t="shared" si="15"/>
        <v>0.15000178564486971</v>
      </c>
      <c r="H99">
        <f t="shared" si="15"/>
        <v>0.12901332173568089</v>
      </c>
      <c r="I99">
        <f t="shared" si="15"/>
        <v>0.19079614632620565</v>
      </c>
      <c r="J99" s="51">
        <f t="shared" si="15"/>
        <v>0.21570246610410346</v>
      </c>
      <c r="K99" s="68" cm="1">
        <f t="array" ref="K99">SQRT(SUMSQ(C99:J99-C$117:J$117))</f>
        <v>0.52505240939993558</v>
      </c>
      <c r="L99" s="68" cm="1">
        <f t="array" ref="L99">SQRT(SUMSQ(C99:J99-C$118:J$118))</f>
        <v>0.34833885970684036</v>
      </c>
      <c r="M99" s="68">
        <f t="shared" si="4"/>
        <v>0.39883483156763083</v>
      </c>
    </row>
    <row r="100" spans="1:13" x14ac:dyDescent="0.25">
      <c r="A100">
        <f t="shared" si="5"/>
        <v>13</v>
      </c>
      <c r="B100" s="3" t="s">
        <v>631</v>
      </c>
      <c r="C100">
        <f t="shared" ref="C100:J100" si="16">C49/SQRT(SUMSQ(C$37:C$64))</f>
        <v>0.19019287893407777</v>
      </c>
      <c r="D100">
        <f t="shared" si="16"/>
        <v>0.17656281336944268</v>
      </c>
      <c r="E100">
        <f t="shared" si="16"/>
        <v>0.18602113595973963</v>
      </c>
      <c r="F100">
        <f t="shared" si="16"/>
        <v>0.11558489116371932</v>
      </c>
      <c r="G100">
        <f t="shared" si="16"/>
        <v>0.12019691589046357</v>
      </c>
      <c r="H100">
        <f t="shared" si="16"/>
        <v>0.2054027885528604</v>
      </c>
      <c r="I100">
        <f t="shared" si="16"/>
        <v>0.16908829164187944</v>
      </c>
      <c r="J100" s="51">
        <f t="shared" si="16"/>
        <v>0.41078039612338024</v>
      </c>
      <c r="K100" s="68" cm="1">
        <f t="array" ref="K100">SQRT(SUMSQ(C100:J100-C$117:J$117))</f>
        <v>0.52650997119774035</v>
      </c>
      <c r="L100" s="68" cm="1">
        <f t="array" ref="L100">SQRT(SUMSQ(C100:J100-C$118:J$118))</f>
        <v>0.47987398526709324</v>
      </c>
      <c r="M100" s="68">
        <f t="shared" si="4"/>
        <v>0.47682992379247219</v>
      </c>
    </row>
    <row r="101" spans="1:13" x14ac:dyDescent="0.25">
      <c r="A101">
        <f t="shared" si="5"/>
        <v>14</v>
      </c>
      <c r="B101" s="3" t="s">
        <v>473</v>
      </c>
      <c r="C101">
        <f t="shared" ref="C101:J101" si="17">C50/SQRT(SUMSQ(C$37:C$64))</f>
        <v>0.18320049367914842</v>
      </c>
      <c r="D101">
        <f t="shared" si="17"/>
        <v>0.15590980797610049</v>
      </c>
      <c r="E101">
        <f t="shared" si="17"/>
        <v>0.22969822023037381</v>
      </c>
      <c r="F101">
        <f t="shared" si="17"/>
        <v>0.12883881566488944</v>
      </c>
      <c r="G101">
        <f t="shared" si="17"/>
        <v>0.1811871199753172</v>
      </c>
      <c r="H101">
        <f t="shared" si="17"/>
        <v>0.19513264912521736</v>
      </c>
      <c r="I101">
        <f t="shared" si="17"/>
        <v>6.4337369965344601E-2</v>
      </c>
      <c r="J101" s="51">
        <f t="shared" si="17"/>
        <v>0.241155105093736</v>
      </c>
      <c r="K101" s="68" cm="1">
        <f t="array" ref="K101">SQRT(SUMSQ(C101:J101-C$117:J$117))</f>
        <v>0.61298349671028529</v>
      </c>
      <c r="L101" s="68" cm="1">
        <f t="array" ref="L101">SQRT(SUMSQ(C101:J101-C$118:J$118))</f>
        <v>0.33845311701545655</v>
      </c>
      <c r="M101" s="68">
        <f t="shared" si="4"/>
        <v>0.3557284974456722</v>
      </c>
    </row>
    <row r="102" spans="1:13" x14ac:dyDescent="0.25">
      <c r="A102">
        <f t="shared" si="5"/>
        <v>15</v>
      </c>
      <c r="B102" s="3" t="s">
        <v>46</v>
      </c>
      <c r="C102">
        <f t="shared" ref="C102:J102" si="18">C51/SQRT(SUMSQ(C$37:C$64))</f>
        <v>0.17923814203468849</v>
      </c>
      <c r="D102">
        <f t="shared" si="18"/>
        <v>0.14205115837822491</v>
      </c>
      <c r="E102">
        <f t="shared" si="18"/>
        <v>0.19313244604206595</v>
      </c>
      <c r="F102">
        <f t="shared" si="18"/>
        <v>0.1289301205021644</v>
      </c>
      <c r="G102">
        <f t="shared" si="18"/>
        <v>0.17514819993474737</v>
      </c>
      <c r="H102">
        <f t="shared" si="18"/>
        <v>0.17739331738656125</v>
      </c>
      <c r="I102">
        <f t="shared" si="18"/>
        <v>0.10319859687254883</v>
      </c>
      <c r="J102" s="51">
        <f t="shared" si="18"/>
        <v>0.16975359924449865</v>
      </c>
      <c r="K102" s="68" cm="1">
        <f t="array" ref="K102">SQRT(SUMSQ(C102:J102-C$117:J$117))</f>
        <v>0.61868612241998644</v>
      </c>
      <c r="L102" s="68" cm="1">
        <f t="array" ref="L102">SQRT(SUMSQ(C102:J102-C$118:J$118))</f>
        <v>0.26653300125641022</v>
      </c>
      <c r="M102" s="68">
        <f t="shared" si="4"/>
        <v>0.30109268330023653</v>
      </c>
    </row>
    <row r="103" spans="1:13" x14ac:dyDescent="0.25">
      <c r="A103">
        <f t="shared" si="5"/>
        <v>16</v>
      </c>
      <c r="B103" s="3" t="s">
        <v>25</v>
      </c>
      <c r="C103">
        <f t="shared" ref="C103:J103" si="19">C52/SQRT(SUMSQ(C$37:C$64))</f>
        <v>0.19252367401905421</v>
      </c>
      <c r="D103">
        <f t="shared" si="19"/>
        <v>0.18728425081573555</v>
      </c>
      <c r="E103">
        <f t="shared" si="19"/>
        <v>0.22464976265787207</v>
      </c>
      <c r="F103">
        <f t="shared" si="19"/>
        <v>0.21768121745835392</v>
      </c>
      <c r="G103">
        <f t="shared" si="19"/>
        <v>0.26037942838058387</v>
      </c>
      <c r="H103">
        <f t="shared" si="19"/>
        <v>0.14726992386808854</v>
      </c>
      <c r="I103">
        <f t="shared" si="19"/>
        <v>6.5339335059961687E-2</v>
      </c>
      <c r="J103" s="51">
        <f t="shared" si="19"/>
        <v>1.1126005086325252E-4</v>
      </c>
      <c r="K103" s="68" cm="1">
        <f t="array" ref="K103">SQRT(SUMSQ(C103:J103-C$117:J$117))</f>
        <v>0.69136918442615469</v>
      </c>
      <c r="L103" s="68" cm="1">
        <f t="array" ref="L103">SQRT(SUMSQ(C103:J103-C$118:J$118))</f>
        <v>0.27160718941851331</v>
      </c>
      <c r="M103" s="68">
        <f t="shared" si="4"/>
        <v>0.28204969176359529</v>
      </c>
    </row>
    <row r="104" spans="1:13" x14ac:dyDescent="0.25">
      <c r="A104">
        <f t="shared" si="5"/>
        <v>17</v>
      </c>
      <c r="B104" s="3" t="s">
        <v>155</v>
      </c>
      <c r="C104">
        <f t="shared" ref="C104:J104" si="20">C53/SQRT(SUMSQ(C$37:C$64))</f>
        <v>0.19532062812102594</v>
      </c>
      <c r="D104">
        <f t="shared" si="20"/>
        <v>0.18054740726121268</v>
      </c>
      <c r="E104">
        <f t="shared" si="20"/>
        <v>0.18738954014489645</v>
      </c>
      <c r="F104">
        <f t="shared" si="20"/>
        <v>0.16488723620951354</v>
      </c>
      <c r="G104">
        <f t="shared" si="20"/>
        <v>0.12569418636174876</v>
      </c>
      <c r="H104">
        <f t="shared" si="20"/>
        <v>0.28382930781849797</v>
      </c>
      <c r="I104">
        <f t="shared" si="20"/>
        <v>5.709564344731051E-2</v>
      </c>
      <c r="J104" s="51">
        <f t="shared" si="20"/>
        <v>0.18681589898133077</v>
      </c>
      <c r="K104" s="68" cm="1">
        <f t="array" ref="K104">SQRT(SUMSQ(C104:J104-C$117:J$117))</f>
        <v>0.62024414339141998</v>
      </c>
      <c r="L104" s="68" cm="1">
        <f t="array" ref="L104">SQRT(SUMSQ(C104:J104-C$118:J$118))</f>
        <v>0.34258490490355126</v>
      </c>
      <c r="M104" s="68">
        <f t="shared" si="4"/>
        <v>0.35581072830137267</v>
      </c>
    </row>
    <row r="105" spans="1:13" x14ac:dyDescent="0.25">
      <c r="A105">
        <f t="shared" si="5"/>
        <v>18</v>
      </c>
      <c r="B105" s="3" t="s">
        <v>379</v>
      </c>
      <c r="C105">
        <f t="shared" ref="C105:J105" si="21">C54/SQRT(SUMSQ(C$37:C$64))</f>
        <v>0.18017046006867907</v>
      </c>
      <c r="D105">
        <f t="shared" si="21"/>
        <v>0.15052033313248223</v>
      </c>
      <c r="E105">
        <f t="shared" si="21"/>
        <v>0.21194958636375127</v>
      </c>
      <c r="F105">
        <f t="shared" si="21"/>
        <v>0.14558539085052283</v>
      </c>
      <c r="G105">
        <f t="shared" si="21"/>
        <v>0.21539251068777987</v>
      </c>
      <c r="H105">
        <f t="shared" si="21"/>
        <v>7.0636253077001762E-2</v>
      </c>
      <c r="I105">
        <f t="shared" si="21"/>
        <v>0.17399509360264087</v>
      </c>
      <c r="J105" s="51">
        <f t="shared" si="21"/>
        <v>0.28066723731970311</v>
      </c>
      <c r="K105" s="68" cm="1">
        <f t="array" ref="K105">SQRT(SUMSQ(C105:J105-C$117:J$117))</f>
        <v>0.5542733959024907</v>
      </c>
      <c r="L105" s="68" cm="1">
        <f t="array" ref="L105">SQRT(SUMSQ(C105:J105-C$118:J$118))</f>
        <v>0.35887884494455197</v>
      </c>
      <c r="M105" s="68">
        <f t="shared" si="4"/>
        <v>0.39301096672736069</v>
      </c>
    </row>
    <row r="106" spans="1:13" x14ac:dyDescent="0.25">
      <c r="A106">
        <f t="shared" si="5"/>
        <v>19</v>
      </c>
      <c r="B106" s="3" t="s">
        <v>263</v>
      </c>
      <c r="C106">
        <f t="shared" ref="C106:J106" si="22">C55/SQRT(SUMSQ(C$37:C$64))</f>
        <v>0.19438831008703539</v>
      </c>
      <c r="D106">
        <f t="shared" si="22"/>
        <v>0.10913686558327035</v>
      </c>
      <c r="E106">
        <f t="shared" si="22"/>
        <v>7.1188928845543342E-2</v>
      </c>
      <c r="F106">
        <f t="shared" si="22"/>
        <v>0.40226732015053285</v>
      </c>
      <c r="G106">
        <f t="shared" si="22"/>
        <v>0.18596289752149564</v>
      </c>
      <c r="H106">
        <f t="shared" si="22"/>
        <v>0.11230656064760712</v>
      </c>
      <c r="I106">
        <f t="shared" si="22"/>
        <v>0.10187106293249711</v>
      </c>
      <c r="J106" s="51">
        <f t="shared" si="22"/>
        <v>7.7927287836998219E-2</v>
      </c>
      <c r="K106" s="68" cm="1">
        <f t="array" ref="K106">SQRT(SUMSQ(C106:J106-C$117:J$117))</f>
        <v>0.65459966253035684</v>
      </c>
      <c r="L106" s="68" cm="1">
        <f t="array" ref="L106">SQRT(SUMSQ(C106:J106-C$118:J$118))</f>
        <v>0.32530038167139774</v>
      </c>
      <c r="M106" s="68">
        <f t="shared" si="4"/>
        <v>0.33197302479600732</v>
      </c>
    </row>
    <row r="107" spans="1:13" x14ac:dyDescent="0.25">
      <c r="A107">
        <f t="shared" si="5"/>
        <v>20</v>
      </c>
      <c r="B107" s="3" t="s">
        <v>240</v>
      </c>
      <c r="C107">
        <f t="shared" ref="C107:J107" si="23">C56/SQRT(SUMSQ(C$37:C$64))</f>
        <v>0.17690734694971205</v>
      </c>
      <c r="D107">
        <f t="shared" si="23"/>
        <v>0.17400304495110475</v>
      </c>
      <c r="E107">
        <f t="shared" si="23"/>
        <v>0.24325054787189396</v>
      </c>
      <c r="F107">
        <f t="shared" si="23"/>
        <v>0.11927304929319564</v>
      </c>
      <c r="G107">
        <f t="shared" si="23"/>
        <v>0.21384915877046271</v>
      </c>
      <c r="H107">
        <f t="shared" si="23"/>
        <v>3.8544720814857748E-2</v>
      </c>
      <c r="I107">
        <f t="shared" si="23"/>
        <v>9.3058763867005581E-2</v>
      </c>
      <c r="J107" s="51">
        <f t="shared" si="23"/>
        <v>0.22806809913444648</v>
      </c>
      <c r="K107" s="68" cm="1">
        <f t="array" ref="K107">SQRT(SUMSQ(C107:J107-C$117:J$117))</f>
        <v>0.64464263372978303</v>
      </c>
      <c r="L107" s="68" cm="1">
        <f t="array" ref="L107">SQRT(SUMSQ(C107:J107-C$118:J$118))</f>
        <v>0.3116708107254198</v>
      </c>
      <c r="M107" s="68">
        <f t="shared" si="4"/>
        <v>0.32590863647532836</v>
      </c>
    </row>
    <row r="108" spans="1:13" x14ac:dyDescent="0.25">
      <c r="A108">
        <f t="shared" si="5"/>
        <v>21</v>
      </c>
      <c r="B108" s="3" t="s">
        <v>361</v>
      </c>
      <c r="C108">
        <f t="shared" ref="C108:J108" si="24">C57/SQRT(SUMSQ(C$37:C$64))</f>
        <v>0.19485446910403065</v>
      </c>
      <c r="D108">
        <f t="shared" si="24"/>
        <v>0.20364515659100535</v>
      </c>
      <c r="E108">
        <f t="shared" si="24"/>
        <v>0.28372443823995985</v>
      </c>
      <c r="F108">
        <f t="shared" si="24"/>
        <v>0.17524486389421598</v>
      </c>
      <c r="G108">
        <f t="shared" si="24"/>
        <v>0.21394657526469094</v>
      </c>
      <c r="H108">
        <f t="shared" si="24"/>
        <v>0.10136760993517785</v>
      </c>
      <c r="I108">
        <f t="shared" si="24"/>
        <v>6.6906633782858799E-2</v>
      </c>
      <c r="J108" s="51">
        <f t="shared" si="24"/>
        <v>5.5541781190086133E-2</v>
      </c>
      <c r="K108" s="68" cm="1">
        <f t="array" ref="K108">SQRT(SUMSQ(C108:J108-C$117:J$117))</f>
        <v>0.68324972207404899</v>
      </c>
      <c r="L108" s="68" cm="1">
        <f t="array" ref="L108">SQRT(SUMSQ(C108:J108-C$118:J$118))</f>
        <v>0.27430648935517277</v>
      </c>
      <c r="M108" s="68">
        <f t="shared" si="4"/>
        <v>0.28646515586353988</v>
      </c>
    </row>
    <row r="109" spans="1:13" x14ac:dyDescent="0.25">
      <c r="A109">
        <f t="shared" si="5"/>
        <v>22</v>
      </c>
      <c r="B109" s="3" t="s">
        <v>14</v>
      </c>
      <c r="C109">
        <f t="shared" ref="C109:J109" si="25">C58/SQRT(SUMSQ(C$37:C$64))</f>
        <v>0.19112519696806834</v>
      </c>
      <c r="D109">
        <f t="shared" si="25"/>
        <v>0.21731132494446598</v>
      </c>
      <c r="E109">
        <f t="shared" si="25"/>
        <v>0.11868979588165697</v>
      </c>
      <c r="F109">
        <f t="shared" si="25"/>
        <v>0.21949938445302866</v>
      </c>
      <c r="G109">
        <f t="shared" si="25"/>
        <v>0.18624647558228874</v>
      </c>
      <c r="H109">
        <f t="shared" si="25"/>
        <v>0.19272360407428873</v>
      </c>
      <c r="I109">
        <f t="shared" si="25"/>
        <v>0.15267941868210089</v>
      </c>
      <c r="J109" s="51">
        <f t="shared" si="25"/>
        <v>0.1761559399962751</v>
      </c>
      <c r="K109" s="68" cm="1">
        <f t="array" ref="K109">SQRT(SUMSQ(C109:J109-C$117:J$117))</f>
        <v>0.54660789814752153</v>
      </c>
      <c r="L109" s="68" cm="1">
        <f t="array" ref="L109">SQRT(SUMSQ(C109:J109-C$118:J$118))</f>
        <v>0.31234736759656218</v>
      </c>
      <c r="M109" s="68">
        <f t="shared" si="4"/>
        <v>0.36363636158163171</v>
      </c>
    </row>
    <row r="110" spans="1:13" x14ac:dyDescent="0.25">
      <c r="A110">
        <f t="shared" si="5"/>
        <v>23</v>
      </c>
      <c r="B110" s="3" t="s">
        <v>619</v>
      </c>
      <c r="C110">
        <f t="shared" ref="C110:J110" si="26">C59/SQRT(SUMSQ(C$37:C$64))</f>
        <v>0.19368907156154241</v>
      </c>
      <c r="D110">
        <f t="shared" si="26"/>
        <v>0.19402109437025841</v>
      </c>
      <c r="E110">
        <f t="shared" si="26"/>
        <v>0.13186417868181385</v>
      </c>
      <c r="F110">
        <f t="shared" si="26"/>
        <v>0.29315150521071603</v>
      </c>
      <c r="G110">
        <f t="shared" si="26"/>
        <v>0.17351966499757721</v>
      </c>
      <c r="H110">
        <f t="shared" si="26"/>
        <v>0.28382930781849797</v>
      </c>
      <c r="I110">
        <f t="shared" si="26"/>
        <v>0.23419123154504817</v>
      </c>
      <c r="J110" s="51">
        <f t="shared" si="26"/>
        <v>0.18220675137718839</v>
      </c>
      <c r="K110" s="68" cm="1">
        <f t="array" ref="K110">SQRT(SUMSQ(C110:J110-C$117:J$117))</f>
        <v>0.44737516842002373</v>
      </c>
      <c r="L110" s="68" cm="1">
        <f t="array" ref="L110">SQRT(SUMSQ(C110:J110-C$118:J$118))</f>
        <v>0.42172482536659806</v>
      </c>
      <c r="M110" s="68">
        <f t="shared" si="4"/>
        <v>0.48524315772822157</v>
      </c>
    </row>
    <row r="111" spans="1:13" x14ac:dyDescent="0.25">
      <c r="A111">
        <f t="shared" si="5"/>
        <v>24</v>
      </c>
      <c r="B111" s="3" t="s">
        <v>65</v>
      </c>
      <c r="C111">
        <f t="shared" ref="C111:J111" si="27">C60/SQRT(SUMSQ(C$37:C$64))</f>
        <v>0.18320049367914842</v>
      </c>
      <c r="D111">
        <f t="shared" si="27"/>
        <v>0.12395792140322065</v>
      </c>
      <c r="E111">
        <f t="shared" si="27"/>
        <v>0.12036505319695685</v>
      </c>
      <c r="F111">
        <f t="shared" si="27"/>
        <v>0.13881360877581941</v>
      </c>
      <c r="G111">
        <f t="shared" si="27"/>
        <v>0.18876995605916388</v>
      </c>
      <c r="H111">
        <f t="shared" si="27"/>
        <v>0.22624075260894769</v>
      </c>
      <c r="I111">
        <f t="shared" si="27"/>
        <v>0.28247647495920047</v>
      </c>
      <c r="J111" s="51">
        <f t="shared" si="27"/>
        <v>0.2657459541804289</v>
      </c>
      <c r="K111" s="68" cm="1">
        <f t="array" ref="K111">SQRT(SUMSQ(C111:J111-C$117:J$117))</f>
        <v>0.46924638051364154</v>
      </c>
      <c r="L111" s="68" cm="1">
        <f t="array" ref="L111">SQRT(SUMSQ(C111:J111-C$118:J$118))</f>
        <v>0.4138792316120985</v>
      </c>
      <c r="M111" s="68">
        <f t="shared" si="4"/>
        <v>0.46865273289477433</v>
      </c>
    </row>
    <row r="112" spans="1:13" x14ac:dyDescent="0.25">
      <c r="A112">
        <f t="shared" si="5"/>
        <v>25</v>
      </c>
      <c r="B112" s="3" t="s">
        <v>388</v>
      </c>
      <c r="C112">
        <f t="shared" ref="C112:J112" si="28">C61/SQRT(SUMSQ(C$37:C$64))</f>
        <v>0.19205751500205895</v>
      </c>
      <c r="D112">
        <f t="shared" si="28"/>
        <v>0.21442410627824193</v>
      </c>
      <c r="E112">
        <f t="shared" si="28"/>
        <v>0.23429823237418501</v>
      </c>
      <c r="F112">
        <f t="shared" si="28"/>
        <v>0.13683475075530233</v>
      </c>
      <c r="G112">
        <f t="shared" si="28"/>
        <v>0.16409331363241689</v>
      </c>
      <c r="H112">
        <f t="shared" si="28"/>
        <v>0.21681405458357483</v>
      </c>
      <c r="I112">
        <f t="shared" si="28"/>
        <v>5.3881784001090886E-2</v>
      </c>
      <c r="J112" s="51">
        <f t="shared" si="28"/>
        <v>0.15068942687888071</v>
      </c>
      <c r="K112" s="68" cm="1">
        <f t="array" ref="K112">SQRT(SUMSQ(C112:J112-C$117:J$117))</f>
        <v>0.64058144177646692</v>
      </c>
      <c r="L112" s="68" cm="1">
        <f t="array" ref="L112">SQRT(SUMSQ(C112:J112-C$118:J$118))</f>
        <v>0.30857398679787801</v>
      </c>
      <c r="M112" s="68">
        <f t="shared" si="4"/>
        <v>0.32510374750883936</v>
      </c>
    </row>
    <row r="113" spans="1:13" x14ac:dyDescent="0.25">
      <c r="A113">
        <f t="shared" si="5"/>
        <v>26</v>
      </c>
      <c r="B113" s="3" t="s">
        <v>503</v>
      </c>
      <c r="C113">
        <f t="shared" ref="C113:J113" si="29">C62/SQRT(SUMSQ(C$37:C$64))</f>
        <v>0.17853890350919555</v>
      </c>
      <c r="D113">
        <f t="shared" si="29"/>
        <v>0.12472784638088041</v>
      </c>
      <c r="E113">
        <f t="shared" si="29"/>
        <v>0.24881115191293415</v>
      </c>
      <c r="F113">
        <f t="shared" si="29"/>
        <v>0.1344338679522793</v>
      </c>
      <c r="G113">
        <f t="shared" si="29"/>
        <v>0.13764633112021787</v>
      </c>
      <c r="H113">
        <f t="shared" si="29"/>
        <v>0.17154518604414709</v>
      </c>
      <c r="I113">
        <f t="shared" si="29"/>
        <v>0.11374023953263018</v>
      </c>
      <c r="J113" s="51">
        <f t="shared" si="29"/>
        <v>0.19254053205600291</v>
      </c>
      <c r="K113" s="68" cm="1">
        <f t="array" ref="K113">SQRT(SUMSQ(C113:J113-C$117:J$117))</f>
        <v>0.60546848952402454</v>
      </c>
      <c r="L113" s="68" cm="1">
        <f t="array" ref="L113">SQRT(SUMSQ(C113:J113-C$118:J$118))</f>
        <v>0.30405565177373861</v>
      </c>
      <c r="M113" s="68">
        <f t="shared" si="4"/>
        <v>0.33430190356453204</v>
      </c>
    </row>
    <row r="114" spans="1:13" x14ac:dyDescent="0.25">
      <c r="A114">
        <f t="shared" si="5"/>
        <v>27</v>
      </c>
      <c r="B114" s="3" t="s">
        <v>334</v>
      </c>
      <c r="C114">
        <f t="shared" ref="C114:J114" si="30">C63/SQRT(SUMSQ(C$37:C$64))</f>
        <v>0.19112519696806834</v>
      </c>
      <c r="D114">
        <f t="shared" si="30"/>
        <v>0.18247221970536207</v>
      </c>
      <c r="E114">
        <f t="shared" si="30"/>
        <v>0.14942489101677575</v>
      </c>
      <c r="F114">
        <f t="shared" si="30"/>
        <v>0.1542022073537529</v>
      </c>
      <c r="G114">
        <f t="shared" si="30"/>
        <v>0.19438895685352331</v>
      </c>
      <c r="H114">
        <f t="shared" si="30"/>
        <v>0.25178406338737724</v>
      </c>
      <c r="I114">
        <f t="shared" si="30"/>
        <v>6.4726920007301528E-2</v>
      </c>
      <c r="J114" s="51">
        <f t="shared" si="30"/>
        <v>0.13217538447542951</v>
      </c>
      <c r="K114" s="68" cm="1">
        <f t="array" ref="K114">SQRT(SUMSQ(C114:J114-C$117:J$117))</f>
        <v>0.63896773622942704</v>
      </c>
      <c r="L114" s="68" cm="1">
        <f t="array" ref="L114">SQRT(SUMSQ(C114:J114-C$118:J$118))</f>
        <v>0.28751548831306017</v>
      </c>
      <c r="M114" s="68">
        <f t="shared" si="4"/>
        <v>0.31032994521302865</v>
      </c>
    </row>
    <row r="115" spans="1:13" x14ac:dyDescent="0.25">
      <c r="A115">
        <f t="shared" si="5"/>
        <v>28</v>
      </c>
      <c r="B115" s="3" t="s">
        <v>63</v>
      </c>
      <c r="C115">
        <f t="shared" ref="C115:J115" si="31">C64/SQRT(SUMSQ(C$37:C$64))</f>
        <v>0.19438831008703539</v>
      </c>
      <c r="D115">
        <f t="shared" si="31"/>
        <v>0.21654139996680624</v>
      </c>
      <c r="E115">
        <f t="shared" si="31"/>
        <v>0.27345054768179422</v>
      </c>
      <c r="F115">
        <f t="shared" si="31"/>
        <v>0.19702480310991674</v>
      </c>
      <c r="G115">
        <f t="shared" si="31"/>
        <v>0.22870096737229179</v>
      </c>
      <c r="H115">
        <f t="shared" si="31"/>
        <v>0.14063614351367015</v>
      </c>
      <c r="I115">
        <f t="shared" si="31"/>
        <v>0.12919197884200556</v>
      </c>
      <c r="J115" s="51">
        <f t="shared" si="31"/>
        <v>0.14546841306905622</v>
      </c>
      <c r="K115" s="68" cm="1">
        <f t="array" ref="K115">SQRT(SUMSQ(C115:J115-C$117:J$117))</f>
        <v>0.57187879700618938</v>
      </c>
      <c r="L115" s="68" cm="1">
        <f t="array" ref="L115">SQRT(SUMSQ(C115:J115-C$118:J$118))</f>
        <v>0.33359403569839452</v>
      </c>
      <c r="M115" s="68">
        <f t="shared" si="4"/>
        <v>0.36841970697450138</v>
      </c>
    </row>
    <row r="117" spans="1:13" x14ac:dyDescent="0.25">
      <c r="B117" t="s">
        <v>696</v>
      </c>
      <c r="C117">
        <f>MAX(C88:C115)</f>
        <v>0.19625294615501654</v>
      </c>
      <c r="D117">
        <f t="shared" ref="D117:I117" si="32">MAX(D88:D115)</f>
        <v>0.24895773820050326</v>
      </c>
      <c r="E117">
        <f t="shared" si="32"/>
        <v>0.28372443823995985</v>
      </c>
      <c r="F117">
        <f t="shared" si="32"/>
        <v>0.40226732015053285</v>
      </c>
      <c r="G117">
        <f t="shared" si="32"/>
        <v>0.26037942838058387</v>
      </c>
      <c r="H117">
        <f t="shared" si="32"/>
        <v>0.32522108187536231</v>
      </c>
      <c r="I117">
        <f t="shared" si="32"/>
        <v>0.5514424332771295</v>
      </c>
      <c r="J117">
        <f>MAX(J88:J115)</f>
        <v>0.41078039612338024</v>
      </c>
    </row>
    <row r="118" spans="1:13" x14ac:dyDescent="0.25">
      <c r="B118" t="s">
        <v>697</v>
      </c>
      <c r="C118">
        <f>MIN(C88:C115)</f>
        <v>0.17667426744121439</v>
      </c>
      <c r="D118">
        <f t="shared" ref="D118:I118" si="33">MIN(D88:D115)</f>
        <v>0.10913686558327035</v>
      </c>
      <c r="E118">
        <f t="shared" si="33"/>
        <v>7.1188928845543342E-2</v>
      </c>
      <c r="F118">
        <f t="shared" si="33"/>
        <v>0.10857667695655894</v>
      </c>
      <c r="G118">
        <f t="shared" si="33"/>
        <v>0.12019691589046357</v>
      </c>
      <c r="H118">
        <f t="shared" si="33"/>
        <v>3.8544720814857748E-2</v>
      </c>
      <c r="I118">
        <f t="shared" si="33"/>
        <v>4.3295901189732609E-2</v>
      </c>
      <c r="J118">
        <f>MIN(J88:J115)</f>
        <v>1.1126005086325252E-4</v>
      </c>
    </row>
    <row r="122" spans="1:13" x14ac:dyDescent="0.25">
      <c r="D122" s="164" t="s">
        <v>698</v>
      </c>
      <c r="E122" s="164"/>
    </row>
    <row r="123" spans="1:13" x14ac:dyDescent="0.25">
      <c r="D123" t="s">
        <v>653</v>
      </c>
      <c r="E123" t="s">
        <v>695</v>
      </c>
    </row>
    <row r="124" spans="1:13" x14ac:dyDescent="0.25">
      <c r="D124" s="71" t="s">
        <v>401</v>
      </c>
      <c r="E124" s="71">
        <v>0.6142136183132102</v>
      </c>
    </row>
    <row r="125" spans="1:13" x14ac:dyDescent="0.25">
      <c r="D125" s="72" t="s">
        <v>274</v>
      </c>
      <c r="E125" s="72">
        <v>0.55641304434713246</v>
      </c>
    </row>
    <row r="126" spans="1:13" x14ac:dyDescent="0.25">
      <c r="D126" s="72" t="s">
        <v>619</v>
      </c>
      <c r="E126" s="72">
        <v>0.48524315772822157</v>
      </c>
    </row>
    <row r="127" spans="1:13" x14ac:dyDescent="0.25">
      <c r="D127" s="72" t="s">
        <v>631</v>
      </c>
      <c r="E127" s="72">
        <v>0.47682992379247219</v>
      </c>
    </row>
    <row r="128" spans="1:13" x14ac:dyDescent="0.25">
      <c r="D128" s="73" t="s">
        <v>65</v>
      </c>
      <c r="E128" s="73">
        <v>0.46865273289477433</v>
      </c>
    </row>
    <row r="129" spans="4:8" x14ac:dyDescent="0.25">
      <c r="D129" s="74" t="s">
        <v>169</v>
      </c>
      <c r="E129" s="74">
        <v>0.40821428969845674</v>
      </c>
    </row>
    <row r="130" spans="4:8" x14ac:dyDescent="0.25">
      <c r="D130" s="74" t="s">
        <v>47</v>
      </c>
      <c r="E130" s="74">
        <v>0.40720142383611718</v>
      </c>
    </row>
    <row r="131" spans="4:8" x14ac:dyDescent="0.25">
      <c r="D131" s="74" t="s">
        <v>337</v>
      </c>
      <c r="E131" s="74">
        <v>0.39883483156763083</v>
      </c>
    </row>
    <row r="132" spans="4:8" x14ac:dyDescent="0.25">
      <c r="D132" s="74" t="s">
        <v>379</v>
      </c>
      <c r="E132" s="74">
        <v>0.39301096672736069</v>
      </c>
    </row>
    <row r="133" spans="4:8" x14ac:dyDescent="0.25">
      <c r="D133" s="74" t="s">
        <v>63</v>
      </c>
      <c r="E133" s="74">
        <v>0.36841970697450138</v>
      </c>
    </row>
    <row r="134" spans="4:8" x14ac:dyDescent="0.25">
      <c r="D134" s="80" t="s">
        <v>14</v>
      </c>
      <c r="E134" s="80">
        <v>0.36363636158163171</v>
      </c>
    </row>
    <row r="135" spans="4:8" x14ac:dyDescent="0.25">
      <c r="D135" s="76" t="s">
        <v>155</v>
      </c>
      <c r="E135" s="76">
        <v>0.35581072830137267</v>
      </c>
      <c r="G135" t="s">
        <v>690</v>
      </c>
      <c r="H135">
        <f>E153+E154</f>
        <v>0.45331840474410201</v>
      </c>
    </row>
    <row r="136" spans="4:8" x14ac:dyDescent="0.25">
      <c r="D136" s="76" t="s">
        <v>473</v>
      </c>
      <c r="E136" s="76">
        <v>0.3557284974456722</v>
      </c>
      <c r="G136" t="s">
        <v>683</v>
      </c>
      <c r="H136">
        <f>E153</f>
        <v>0.36720693620205019</v>
      </c>
    </row>
    <row r="137" spans="4:8" x14ac:dyDescent="0.25">
      <c r="D137" s="76" t="s">
        <v>468</v>
      </c>
      <c r="E137" s="76">
        <v>0.34980007430328441</v>
      </c>
      <c r="G137" t="s">
        <v>691</v>
      </c>
      <c r="H137">
        <f>E153-E154</f>
        <v>0.28109546765999838</v>
      </c>
    </row>
    <row r="138" spans="4:8" x14ac:dyDescent="0.25">
      <c r="D138" s="76" t="s">
        <v>503</v>
      </c>
      <c r="E138" s="76">
        <v>0.33430190356453204</v>
      </c>
    </row>
    <row r="139" spans="4:8" x14ac:dyDescent="0.25">
      <c r="D139" s="76" t="s">
        <v>72</v>
      </c>
      <c r="E139" s="76">
        <v>0.33325842245875209</v>
      </c>
    </row>
    <row r="140" spans="4:8" x14ac:dyDescent="0.25">
      <c r="D140" s="76" t="s">
        <v>263</v>
      </c>
      <c r="E140" s="76">
        <v>0.33197302479600732</v>
      </c>
    </row>
    <row r="141" spans="4:8" x14ac:dyDescent="0.25">
      <c r="D141" s="76" t="s">
        <v>240</v>
      </c>
      <c r="E141" s="76">
        <v>0.32590863647532836</v>
      </c>
    </row>
    <row r="142" spans="4:8" x14ac:dyDescent="0.25">
      <c r="D142" s="76" t="s">
        <v>388</v>
      </c>
      <c r="E142" s="76">
        <v>0.32510374750883936</v>
      </c>
    </row>
    <row r="143" spans="4:8" x14ac:dyDescent="0.25">
      <c r="D143" s="76" t="s">
        <v>556</v>
      </c>
      <c r="E143" s="76">
        <v>0.31887678161543564</v>
      </c>
    </row>
    <row r="144" spans="4:8" x14ac:dyDescent="0.25">
      <c r="D144" s="76" t="s">
        <v>436</v>
      </c>
      <c r="E144" s="76">
        <v>0.31220801066173248</v>
      </c>
    </row>
    <row r="145" spans="3:6" x14ac:dyDescent="0.25">
      <c r="D145" s="76" t="s">
        <v>334</v>
      </c>
      <c r="E145" s="76">
        <v>0.31032994521302865</v>
      </c>
    </row>
    <row r="146" spans="3:6" x14ac:dyDescent="0.25">
      <c r="D146" s="76" t="s">
        <v>46</v>
      </c>
      <c r="E146" s="76">
        <v>0.30109268330023653</v>
      </c>
    </row>
    <row r="147" spans="3:6" x14ac:dyDescent="0.25">
      <c r="D147" s="76" t="s">
        <v>311</v>
      </c>
      <c r="E147" s="76">
        <v>0.29108737359657505</v>
      </c>
    </row>
    <row r="148" spans="3:6" x14ac:dyDescent="0.25">
      <c r="D148" s="76" t="s">
        <v>361</v>
      </c>
      <c r="E148" s="76">
        <v>0.28646515586353988</v>
      </c>
    </row>
    <row r="149" spans="3:6" x14ac:dyDescent="0.25">
      <c r="D149" s="76" t="s">
        <v>25</v>
      </c>
      <c r="E149" s="76">
        <v>0.28204969176359529</v>
      </c>
    </row>
    <row r="150" spans="3:6" x14ac:dyDescent="0.25">
      <c r="D150" s="77" t="s">
        <v>54</v>
      </c>
      <c r="E150" s="77">
        <v>0.2817485681448878</v>
      </c>
    </row>
    <row r="151" spans="3:6" x14ac:dyDescent="0.25">
      <c r="D151" s="81" t="s">
        <v>587</v>
      </c>
      <c r="E151" s="81">
        <v>0.24538091118307417</v>
      </c>
    </row>
    <row r="152" spans="3:6" x14ac:dyDescent="0.25">
      <c r="C152" s="7"/>
      <c r="D152" s="7"/>
      <c r="E152" s="7"/>
      <c r="F152" s="7"/>
    </row>
    <row r="153" spans="3:6" x14ac:dyDescent="0.25">
      <c r="D153" t="s">
        <v>683</v>
      </c>
      <c r="E153">
        <f>AVERAGE(E124:E151)</f>
        <v>0.36720693620205019</v>
      </c>
    </row>
    <row r="154" spans="3:6" x14ac:dyDescent="0.25">
      <c r="D154" t="s">
        <v>897</v>
      </c>
      <c r="E154">
        <f>_xlfn.STDEV.S(E124:E151)</f>
        <v>8.6111468542051831E-2</v>
      </c>
    </row>
  </sheetData>
  <autoFilter ref="D123:E151" xr:uid="{8AFB1249-FE6E-4678-9BDA-78392322C9A2}">
    <sortState xmlns:xlrd2="http://schemas.microsoft.com/office/spreadsheetml/2017/richdata2" ref="D124:E151">
      <sortCondition descending="1" ref="E123:E151"/>
    </sortState>
  </autoFilter>
  <sortState xmlns:xlrd2="http://schemas.microsoft.com/office/spreadsheetml/2017/richdata2" ref="D124:E151">
    <sortCondition descending="1" ref="E124:E151"/>
  </sortState>
  <mergeCells count="3">
    <mergeCell ref="D122:E122"/>
    <mergeCell ref="B32:E32"/>
    <mergeCell ref="B85:E85"/>
  </mergeCells>
  <phoneticPr fontId="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DAAEB-4318-43FD-BF5B-6ED83BDF91BD}">
  <sheetPr>
    <tabColor rgb="FF0070C0"/>
  </sheetPr>
  <dimension ref="E1:N42"/>
  <sheetViews>
    <sheetView tabSelected="1" topLeftCell="A4" zoomScale="115" zoomScaleNormal="115" workbookViewId="0">
      <selection activeCell="D20" sqref="D20"/>
    </sheetView>
  </sheetViews>
  <sheetFormatPr defaultRowHeight="15" x14ac:dyDescent="0.25"/>
  <cols>
    <col min="1" max="4" width="9.140625" style="7"/>
    <col min="5" max="5" width="12" style="7" bestFit="1" customWidth="1"/>
    <col min="6" max="6" width="52.7109375" style="7" bestFit="1" customWidth="1"/>
    <col min="7" max="7" width="4.7109375" style="7" customWidth="1"/>
    <col min="8" max="8" width="12" style="7" bestFit="1" customWidth="1"/>
    <col min="9" max="9" width="13.42578125" style="7" bestFit="1" customWidth="1"/>
    <col min="10" max="16384" width="9.140625" style="7"/>
  </cols>
  <sheetData>
    <row r="1" spans="5:14" hidden="1" x14ac:dyDescent="0.25"/>
    <row r="2" spans="5:14" hidden="1" x14ac:dyDescent="0.25"/>
    <row r="3" spans="5:14" hidden="1" x14ac:dyDescent="0.25"/>
    <row r="6" spans="5:14" x14ac:dyDescent="0.25">
      <c r="E6" s="24" t="s">
        <v>689</v>
      </c>
      <c r="F6" s="24" t="s">
        <v>889</v>
      </c>
      <c r="G6" s="100"/>
      <c r="H6" s="24" t="s">
        <v>689</v>
      </c>
      <c r="I6" s="24" t="s">
        <v>695</v>
      </c>
      <c r="M6" s="85"/>
      <c r="N6" s="85"/>
    </row>
    <row r="7" spans="5:14" x14ac:dyDescent="0.25">
      <c r="E7" s="67" t="s">
        <v>401</v>
      </c>
      <c r="F7" s="67">
        <v>0.58298232422528373</v>
      </c>
      <c r="H7" s="67" t="s">
        <v>401</v>
      </c>
      <c r="I7" s="67">
        <v>0.6142136183132102</v>
      </c>
      <c r="M7" s="85"/>
      <c r="N7" s="85"/>
    </row>
    <row r="8" spans="5:14" x14ac:dyDescent="0.25">
      <c r="E8" s="68" t="s">
        <v>169</v>
      </c>
      <c r="F8" s="68">
        <v>0.56784133766345946</v>
      </c>
      <c r="H8" s="68" t="s">
        <v>274</v>
      </c>
      <c r="I8" s="68">
        <v>0.55641304434713246</v>
      </c>
      <c r="M8" s="85"/>
      <c r="N8" s="85"/>
    </row>
    <row r="9" spans="5:14" x14ac:dyDescent="0.25">
      <c r="E9" s="68" t="s">
        <v>619</v>
      </c>
      <c r="F9" s="68">
        <v>0.5384172152273885</v>
      </c>
      <c r="H9" s="68" t="s">
        <v>619</v>
      </c>
      <c r="I9" s="68">
        <v>0.48524315772822157</v>
      </c>
      <c r="M9" s="85"/>
      <c r="N9" s="85"/>
    </row>
    <row r="10" spans="5:14" x14ac:dyDescent="0.25">
      <c r="E10" s="68" t="s">
        <v>274</v>
      </c>
      <c r="F10" s="68">
        <v>0.53140761294582739</v>
      </c>
      <c r="H10" s="68" t="s">
        <v>631</v>
      </c>
      <c r="I10" s="68">
        <v>0.47682992379247219</v>
      </c>
      <c r="M10" s="85"/>
      <c r="N10" s="85"/>
    </row>
    <row r="11" spans="5:14" x14ac:dyDescent="0.25">
      <c r="E11" s="82" t="s">
        <v>631</v>
      </c>
      <c r="F11" s="82">
        <v>0.46216595266670613</v>
      </c>
      <c r="H11" s="68" t="s">
        <v>65</v>
      </c>
      <c r="I11" s="68">
        <v>0.46865273289477433</v>
      </c>
      <c r="M11" s="85"/>
      <c r="N11" s="85"/>
    </row>
    <row r="12" spans="5:14" x14ac:dyDescent="0.25">
      <c r="E12" s="66" t="s">
        <v>63</v>
      </c>
      <c r="F12" s="66">
        <v>0.45399255095507124</v>
      </c>
      <c r="H12" s="82" t="s">
        <v>169</v>
      </c>
      <c r="I12" s="82">
        <v>0.40821428969845674</v>
      </c>
      <c r="L12" s="85"/>
      <c r="M12" s="85"/>
      <c r="N12" s="85"/>
    </row>
    <row r="13" spans="5:14" x14ac:dyDescent="0.25">
      <c r="E13" s="66" t="s">
        <v>65</v>
      </c>
      <c r="F13" s="66">
        <v>0.43810777883057639</v>
      </c>
      <c r="H13" s="66" t="s">
        <v>47</v>
      </c>
      <c r="I13" s="66">
        <v>0.40720142383611718</v>
      </c>
    </row>
    <row r="14" spans="5:14" x14ac:dyDescent="0.25">
      <c r="E14" s="66" t="s">
        <v>337</v>
      </c>
      <c r="F14" s="66">
        <v>0.42694922304553107</v>
      </c>
      <c r="H14" s="66" t="s">
        <v>337</v>
      </c>
      <c r="I14" s="66">
        <v>0.39883483156763083</v>
      </c>
    </row>
    <row r="15" spans="5:14" x14ac:dyDescent="0.25">
      <c r="E15" s="66" t="s">
        <v>155</v>
      </c>
      <c r="F15" s="66">
        <v>0.42156206873582408</v>
      </c>
      <c r="H15" s="66" t="s">
        <v>379</v>
      </c>
      <c r="I15" s="66">
        <v>0.39301096672736069</v>
      </c>
    </row>
    <row r="16" spans="5:14" x14ac:dyDescent="0.25">
      <c r="E16" s="66" t="s">
        <v>72</v>
      </c>
      <c r="F16" s="66">
        <v>0.40781930948999823</v>
      </c>
      <c r="H16" s="66" t="s">
        <v>63</v>
      </c>
      <c r="I16" s="66">
        <v>0.36841970697450138</v>
      </c>
    </row>
    <row r="17" spans="5:9" x14ac:dyDescent="0.25">
      <c r="E17" s="66" t="s">
        <v>14</v>
      </c>
      <c r="F17" s="66">
        <v>0.40753837342914012</v>
      </c>
      <c r="H17" s="79" t="s">
        <v>14</v>
      </c>
      <c r="I17" s="79">
        <v>0.36363636158163171</v>
      </c>
    </row>
    <row r="18" spans="5:9" x14ac:dyDescent="0.25">
      <c r="E18" s="66" t="s">
        <v>388</v>
      </c>
      <c r="F18" s="66">
        <v>0.40343762227546887</v>
      </c>
      <c r="H18" s="70" t="s">
        <v>155</v>
      </c>
      <c r="I18" s="70">
        <v>0.35581072830137267</v>
      </c>
    </row>
    <row r="19" spans="5:9" x14ac:dyDescent="0.25">
      <c r="E19" s="79" t="s">
        <v>473</v>
      </c>
      <c r="F19" s="79">
        <v>0.39348623072404676</v>
      </c>
      <c r="H19" s="70" t="s">
        <v>473</v>
      </c>
      <c r="I19" s="70">
        <v>0.3557284974456722</v>
      </c>
    </row>
    <row r="20" spans="5:9" x14ac:dyDescent="0.25">
      <c r="E20" s="70" t="s">
        <v>334</v>
      </c>
      <c r="F20" s="70">
        <v>0.38075822998463577</v>
      </c>
      <c r="H20" s="70" t="s">
        <v>468</v>
      </c>
      <c r="I20" s="70">
        <v>0.34980007430328441</v>
      </c>
    </row>
    <row r="21" spans="5:9" x14ac:dyDescent="0.25">
      <c r="E21" s="70" t="s">
        <v>47</v>
      </c>
      <c r="F21" s="70">
        <v>0.37163859151107115</v>
      </c>
      <c r="H21" s="70" t="s">
        <v>503</v>
      </c>
      <c r="I21" s="70">
        <v>0.33430190356453204</v>
      </c>
    </row>
    <row r="22" spans="5:9" x14ac:dyDescent="0.25">
      <c r="E22" s="70" t="s">
        <v>436</v>
      </c>
      <c r="F22" s="70">
        <v>0.36362339494520213</v>
      </c>
      <c r="H22" s="70" t="s">
        <v>72</v>
      </c>
      <c r="I22" s="70">
        <v>0.33325842245875209</v>
      </c>
    </row>
    <row r="23" spans="5:9" x14ac:dyDescent="0.25">
      <c r="E23" s="70" t="s">
        <v>379</v>
      </c>
      <c r="F23" s="70">
        <v>0.36094196308272275</v>
      </c>
      <c r="H23" s="70" t="s">
        <v>263</v>
      </c>
      <c r="I23" s="70">
        <v>0.33197302479600732</v>
      </c>
    </row>
    <row r="24" spans="5:9" x14ac:dyDescent="0.25">
      <c r="E24" s="70" t="s">
        <v>25</v>
      </c>
      <c r="F24" s="70">
        <v>0.35439114774166947</v>
      </c>
      <c r="H24" s="70" t="s">
        <v>240</v>
      </c>
      <c r="I24" s="70">
        <v>0.32590863647532836</v>
      </c>
    </row>
    <row r="25" spans="5:9" x14ac:dyDescent="0.25">
      <c r="E25" s="70" t="s">
        <v>503</v>
      </c>
      <c r="F25" s="70">
        <v>0.34999569247904727</v>
      </c>
      <c r="H25" s="70" t="s">
        <v>388</v>
      </c>
      <c r="I25" s="70">
        <v>0.32510374750883936</v>
      </c>
    </row>
    <row r="26" spans="5:9" x14ac:dyDescent="0.25">
      <c r="E26" s="70" t="s">
        <v>468</v>
      </c>
      <c r="F26" s="70">
        <v>0.34681919093750813</v>
      </c>
      <c r="H26" s="70" t="s">
        <v>556</v>
      </c>
      <c r="I26" s="70">
        <v>0.31887678161543564</v>
      </c>
    </row>
    <row r="27" spans="5:9" x14ac:dyDescent="0.25">
      <c r="E27" s="70" t="s">
        <v>361</v>
      </c>
      <c r="F27" s="70">
        <v>0.34627300126465793</v>
      </c>
      <c r="H27" s="70" t="s">
        <v>436</v>
      </c>
      <c r="I27" s="70">
        <v>0.31220801066173248</v>
      </c>
    </row>
    <row r="28" spans="5:9" x14ac:dyDescent="0.25">
      <c r="E28" s="70" t="s">
        <v>54</v>
      </c>
      <c r="F28" s="70">
        <v>0.34109250641603628</v>
      </c>
      <c r="H28" s="70" t="s">
        <v>334</v>
      </c>
      <c r="I28" s="70">
        <v>0.31032994521302865</v>
      </c>
    </row>
    <row r="29" spans="5:9" x14ac:dyDescent="0.25">
      <c r="E29" s="70" t="s">
        <v>46</v>
      </c>
      <c r="F29" s="70">
        <v>0.33146908020091331</v>
      </c>
      <c r="H29" s="70" t="s">
        <v>46</v>
      </c>
      <c r="I29" s="70">
        <v>0.30109268330023653</v>
      </c>
    </row>
    <row r="30" spans="5:9" x14ac:dyDescent="0.25">
      <c r="E30" s="70" t="s">
        <v>311</v>
      </c>
      <c r="F30" s="70">
        <v>0.32884945989297476</v>
      </c>
      <c r="H30" s="70" t="s">
        <v>311</v>
      </c>
      <c r="I30" s="70">
        <v>0.29108737359657505</v>
      </c>
    </row>
    <row r="31" spans="5:9" x14ac:dyDescent="0.25">
      <c r="E31" s="70" t="s">
        <v>556</v>
      </c>
      <c r="F31" s="70">
        <v>0.32588024247193598</v>
      </c>
      <c r="H31" s="70" t="s">
        <v>361</v>
      </c>
      <c r="I31" s="70">
        <v>0.28646515586353988</v>
      </c>
    </row>
    <row r="32" spans="5:9" x14ac:dyDescent="0.25">
      <c r="E32" s="83" t="s">
        <v>240</v>
      </c>
      <c r="F32" s="83">
        <v>0.29987561702859511</v>
      </c>
      <c r="H32" s="70" t="s">
        <v>25</v>
      </c>
      <c r="I32" s="70">
        <v>0.28204969176359529</v>
      </c>
    </row>
    <row r="33" spans="5:9" x14ac:dyDescent="0.25">
      <c r="E33" s="84" t="s">
        <v>263</v>
      </c>
      <c r="F33" s="84">
        <v>0.27966558529332386</v>
      </c>
      <c r="H33" s="70" t="s">
        <v>54</v>
      </c>
      <c r="I33" s="70">
        <v>0.2817485681448878</v>
      </c>
    </row>
    <row r="34" spans="5:9" x14ac:dyDescent="0.25">
      <c r="E34" s="84" t="s">
        <v>587</v>
      </c>
      <c r="F34" s="84">
        <v>0.26997893663282901</v>
      </c>
      <c r="H34" s="83" t="s">
        <v>587</v>
      </c>
      <c r="I34" s="83">
        <v>0.24538091118307417</v>
      </c>
    </row>
    <row r="36" spans="5:9" x14ac:dyDescent="0.25">
      <c r="E36" s="7" t="s">
        <v>908</v>
      </c>
    </row>
    <row r="37" spans="5:9" x14ac:dyDescent="0.25">
      <c r="E37" s="86" t="s">
        <v>909</v>
      </c>
    </row>
    <row r="38" spans="5:9" x14ac:dyDescent="0.25">
      <c r="E38" s="86" t="s">
        <v>910</v>
      </c>
    </row>
    <row r="39" spans="5:9" x14ac:dyDescent="0.25">
      <c r="E39" s="86" t="s">
        <v>911</v>
      </c>
    </row>
    <row r="40" spans="5:9" x14ac:dyDescent="0.25">
      <c r="E40" s="86" t="s">
        <v>912</v>
      </c>
    </row>
    <row r="41" spans="5:9" x14ac:dyDescent="0.25">
      <c r="E41" s="86" t="s">
        <v>913</v>
      </c>
    </row>
    <row r="42" spans="5:9" x14ac:dyDescent="0.25">
      <c r="E42" s="86" t="s">
        <v>914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1EC5F-D5BB-44E9-B2ED-249A0E827513}">
  <dimension ref="A1:X34"/>
  <sheetViews>
    <sheetView workbookViewId="0">
      <selection activeCell="H39" sqref="H39"/>
    </sheetView>
  </sheetViews>
  <sheetFormatPr defaultRowHeight="15" x14ac:dyDescent="0.25"/>
  <cols>
    <col min="3" max="3" width="24.28515625" customWidth="1"/>
    <col min="6" max="6" width="13.140625" customWidth="1"/>
    <col min="16" max="16" width="8.85546875" customWidth="1"/>
    <col min="18" max="18" width="8.85546875" customWidth="1"/>
  </cols>
  <sheetData>
    <row r="1" spans="1:24" ht="94.9" customHeight="1" x14ac:dyDescent="0.25">
      <c r="A1" s="10" t="s">
        <v>653</v>
      </c>
      <c r="B1" s="10" t="s">
        <v>680</v>
      </c>
      <c r="C1" s="10" t="s">
        <v>699</v>
      </c>
      <c r="D1" s="10" t="s">
        <v>674</v>
      </c>
      <c r="E1" s="10" t="s">
        <v>676</v>
      </c>
      <c r="F1" s="10" t="s">
        <v>679</v>
      </c>
      <c r="G1" s="10" t="s">
        <v>675</v>
      </c>
      <c r="H1" s="10" t="s">
        <v>681</v>
      </c>
      <c r="I1" s="10" t="s">
        <v>700</v>
      </c>
      <c r="J1" s="10"/>
    </row>
    <row r="2" spans="1:24" x14ac:dyDescent="0.25">
      <c r="A2" t="s">
        <v>54</v>
      </c>
      <c r="B2">
        <v>81.599999999999994</v>
      </c>
      <c r="C2">
        <v>12.1</v>
      </c>
      <c r="D2">
        <v>6.6326457373354577</v>
      </c>
      <c r="E2">
        <v>73751.352706379985</v>
      </c>
      <c r="F2">
        <v>8.8113784790039104E-2</v>
      </c>
      <c r="G2">
        <v>0.72</v>
      </c>
      <c r="H2">
        <v>456.564613958981</v>
      </c>
      <c r="I2">
        <v>0.77260715738691399</v>
      </c>
    </row>
    <row r="3" spans="1:24" x14ac:dyDescent="0.25">
      <c r="A3" t="s">
        <v>587</v>
      </c>
      <c r="B3">
        <v>82.5</v>
      </c>
      <c r="C3">
        <v>11.04290771</v>
      </c>
      <c r="D3">
        <v>7.3981306577468127</v>
      </c>
      <c r="E3">
        <v>70455.958425795616</v>
      </c>
      <c r="F3">
        <v>0.113196802139282</v>
      </c>
      <c r="G3">
        <v>1.54</v>
      </c>
      <c r="H3">
        <v>362.93192027235858</v>
      </c>
      <c r="I3">
        <v>1.17973708133594</v>
      </c>
    </row>
    <row r="4" spans="1:24" x14ac:dyDescent="0.25">
      <c r="A4" t="s">
        <v>556</v>
      </c>
      <c r="B4">
        <v>75.8</v>
      </c>
      <c r="C4">
        <v>8.56</v>
      </c>
      <c r="D4">
        <v>4.9232803794050053</v>
      </c>
      <c r="E4">
        <v>38689.548074916594</v>
      </c>
      <c r="F4">
        <v>0.10561671257019001</v>
      </c>
      <c r="G4">
        <v>1.1100000000000001</v>
      </c>
      <c r="H4">
        <v>110.63222339072571</v>
      </c>
      <c r="I4">
        <v>1.50812345474607</v>
      </c>
    </row>
    <row r="5" spans="1:24" x14ac:dyDescent="0.25">
      <c r="A5" t="s">
        <v>169</v>
      </c>
      <c r="B5">
        <v>84.2</v>
      </c>
      <c r="C5">
        <v>11.80107975</v>
      </c>
      <c r="D5">
        <v>4.042072814753408</v>
      </c>
      <c r="E5">
        <v>92980.401876094998</v>
      </c>
      <c r="F5">
        <v>0.14550841331481901</v>
      </c>
      <c r="G5">
        <v>0.48</v>
      </c>
      <c r="H5">
        <v>235.89972412116612</v>
      </c>
      <c r="I5">
        <v>0.76465339190691706</v>
      </c>
    </row>
    <row r="6" spans="1:24" x14ac:dyDescent="0.25">
      <c r="A6" t="s">
        <v>401</v>
      </c>
      <c r="B6">
        <v>82.5</v>
      </c>
      <c r="C6">
        <v>9.43</v>
      </c>
      <c r="D6">
        <v>5.4719980089484199</v>
      </c>
      <c r="E6">
        <v>57100.46484375</v>
      </c>
      <c r="F6">
        <v>0.12736209869384799</v>
      </c>
      <c r="G6">
        <v>0.77</v>
      </c>
      <c r="H6">
        <v>35.846672689336337</v>
      </c>
      <c r="I6">
        <v>1.8147966516278899</v>
      </c>
    </row>
    <row r="7" spans="1:24" x14ac:dyDescent="0.25">
      <c r="A7" t="s">
        <v>311</v>
      </c>
      <c r="B7">
        <v>80</v>
      </c>
      <c r="C7">
        <v>9.4887867000000004</v>
      </c>
      <c r="D7">
        <v>8.3040174958388864</v>
      </c>
      <c r="E7">
        <v>53816.803389523178</v>
      </c>
      <c r="F7">
        <v>0.108769035339355</v>
      </c>
      <c r="G7">
        <v>0.75</v>
      </c>
      <c r="H7">
        <v>211.36000286318796</v>
      </c>
      <c r="I7">
        <v>1.3580638321417899</v>
      </c>
      <c r="P7" s="11"/>
      <c r="Q7" s="11"/>
      <c r="R7" s="11"/>
      <c r="S7" s="11"/>
      <c r="T7" s="11"/>
      <c r="U7" s="11"/>
      <c r="V7" s="11"/>
      <c r="W7" s="11"/>
      <c r="X7" s="11"/>
    </row>
    <row r="8" spans="1:24" x14ac:dyDescent="0.25">
      <c r="A8" t="s">
        <v>436</v>
      </c>
      <c r="B8">
        <v>81.2</v>
      </c>
      <c r="C8">
        <v>12.934129710000001</v>
      </c>
      <c r="D8">
        <v>7.2552210281684033</v>
      </c>
      <c r="E8">
        <v>69338.293226446665</v>
      </c>
      <c r="F8">
        <v>9.0661725997924811E-2</v>
      </c>
      <c r="G8">
        <v>0.74</v>
      </c>
      <c r="H8">
        <v>388.39451061623362</v>
      </c>
      <c r="I8">
        <v>1.3900550095965298</v>
      </c>
      <c r="K8" s="11"/>
      <c r="L8" s="11"/>
      <c r="M8" s="11"/>
      <c r="N8" s="11"/>
      <c r="O8" s="11"/>
    </row>
    <row r="9" spans="1:24" x14ac:dyDescent="0.25">
      <c r="A9" t="s">
        <v>274</v>
      </c>
      <c r="B9">
        <v>81.900000000000006</v>
      </c>
      <c r="C9">
        <v>10.82</v>
      </c>
      <c r="D9">
        <v>4.6912373075163369</v>
      </c>
      <c r="E9">
        <v>76687.902843730641</v>
      </c>
      <c r="F9">
        <v>0.11888381004333499</v>
      </c>
      <c r="G9">
        <v>1</v>
      </c>
      <c r="H9">
        <v>44.512870912845095</v>
      </c>
      <c r="I9">
        <v>1.4189603714329999</v>
      </c>
    </row>
    <row r="10" spans="1:24" x14ac:dyDescent="0.25">
      <c r="A10" t="s">
        <v>72</v>
      </c>
      <c r="B10">
        <v>84</v>
      </c>
      <c r="C10">
        <v>10.740038869999999</v>
      </c>
      <c r="D10">
        <v>4.2795945712140995</v>
      </c>
      <c r="E10">
        <v>52779.234057370304</v>
      </c>
      <c r="F10">
        <v>9.1786003112793002E-2</v>
      </c>
      <c r="G10">
        <v>0.69</v>
      </c>
      <c r="H10">
        <v>249.20388341488072</v>
      </c>
      <c r="I10">
        <v>1.4660338438573299</v>
      </c>
    </row>
    <row r="11" spans="1:24" x14ac:dyDescent="0.25">
      <c r="A11" t="s">
        <v>468</v>
      </c>
      <c r="B11">
        <v>78.8</v>
      </c>
      <c r="C11">
        <v>7.4905729299999999</v>
      </c>
      <c r="D11">
        <v>5.3383998158736761</v>
      </c>
      <c r="E11">
        <v>48992.140951181515</v>
      </c>
      <c r="F11">
        <v>0.14251974105835</v>
      </c>
      <c r="G11">
        <v>1.35</v>
      </c>
      <c r="H11">
        <v>133.06464943362997</v>
      </c>
      <c r="I11">
        <v>2.0866657905942798</v>
      </c>
    </row>
    <row r="12" spans="1:24" x14ac:dyDescent="0.25">
      <c r="A12" t="s">
        <v>47</v>
      </c>
      <c r="B12">
        <v>81.7</v>
      </c>
      <c r="C12">
        <v>10.25</v>
      </c>
      <c r="D12">
        <v>6.5701451277257457</v>
      </c>
      <c r="E12">
        <v>65060.674161832023</v>
      </c>
      <c r="F12">
        <v>0.10231122016906699</v>
      </c>
      <c r="G12">
        <v>1.5</v>
      </c>
      <c r="H12">
        <v>70.131530006134255</v>
      </c>
      <c r="I12">
        <v>1.7216829026165299</v>
      </c>
    </row>
    <row r="13" spans="1:24" x14ac:dyDescent="0.25">
      <c r="A13" t="s">
        <v>337</v>
      </c>
      <c r="B13">
        <v>83.1</v>
      </c>
      <c r="C13">
        <v>12.307872769999999</v>
      </c>
      <c r="D13">
        <v>3.9536824518799136</v>
      </c>
      <c r="E13">
        <v>61156.772819256643</v>
      </c>
      <c r="F13">
        <v>8.875411033630369E-2</v>
      </c>
      <c r="G13">
        <v>1.21</v>
      </c>
      <c r="H13">
        <v>103.60469429450643</v>
      </c>
      <c r="I13">
        <v>1.9387234180687101</v>
      </c>
    </row>
    <row r="14" spans="1:24" x14ac:dyDescent="0.25">
      <c r="A14" t="s">
        <v>631</v>
      </c>
      <c r="B14">
        <v>81.599999999999994</v>
      </c>
      <c r="C14">
        <v>9.1729879400000005</v>
      </c>
      <c r="D14">
        <v>4.7671849370183885</v>
      </c>
      <c r="E14">
        <v>41186.81220278937</v>
      </c>
      <c r="F14">
        <v>7.1118955612182594E-2</v>
      </c>
      <c r="G14">
        <v>0.76</v>
      </c>
      <c r="H14">
        <v>116.90564864516325</v>
      </c>
      <c r="I14">
        <v>3.6920744951686402</v>
      </c>
    </row>
    <row r="15" spans="1:24" x14ac:dyDescent="0.25">
      <c r="A15" t="s">
        <v>473</v>
      </c>
      <c r="B15">
        <v>78.599999999999994</v>
      </c>
      <c r="C15">
        <v>8.1</v>
      </c>
      <c r="D15">
        <v>3.8607053917305714</v>
      </c>
      <c r="E15">
        <v>45909.634484175825</v>
      </c>
      <c r="F15">
        <v>0.10720606803894001</v>
      </c>
      <c r="G15">
        <v>0.8</v>
      </c>
      <c r="H15">
        <v>307.24564002762583</v>
      </c>
      <c r="I15">
        <v>2.1674905163411697</v>
      </c>
    </row>
    <row r="16" spans="1:24" x14ac:dyDescent="0.25">
      <c r="A16" t="s">
        <v>46</v>
      </c>
      <c r="B16">
        <v>76.900000000000006</v>
      </c>
      <c r="C16">
        <v>7.38</v>
      </c>
      <c r="D16">
        <v>4.591652907047882</v>
      </c>
      <c r="E16">
        <v>45942.169490682201</v>
      </c>
      <c r="F16">
        <v>0.103632917404175</v>
      </c>
      <c r="G16">
        <v>0.88</v>
      </c>
      <c r="H16">
        <v>191.54694939417959</v>
      </c>
      <c r="I16">
        <v>1.52573720690762</v>
      </c>
    </row>
    <row r="17" spans="1:9" x14ac:dyDescent="0.25">
      <c r="A17" t="s">
        <v>25</v>
      </c>
      <c r="B17">
        <v>82.6</v>
      </c>
      <c r="C17">
        <v>9.73</v>
      </c>
      <c r="D17">
        <v>3.9474653648526594</v>
      </c>
      <c r="E17">
        <v>77567.191812574616</v>
      </c>
      <c r="F17">
        <v>0.15406312942504902</v>
      </c>
      <c r="G17">
        <v>1.06</v>
      </c>
      <c r="H17">
        <v>302.53409212928165</v>
      </c>
      <c r="I17">
        <v>1E-3</v>
      </c>
    </row>
    <row r="18" spans="1:9" x14ac:dyDescent="0.25">
      <c r="A18" t="s">
        <v>155</v>
      </c>
      <c r="B18">
        <v>83.8</v>
      </c>
      <c r="C18">
        <v>9.3800000000000008</v>
      </c>
      <c r="D18">
        <v>4.7323727707993539</v>
      </c>
      <c r="E18">
        <v>58754.90787787213</v>
      </c>
      <c r="F18">
        <v>7.437161922454831E-2</v>
      </c>
      <c r="G18">
        <v>0.55000000000000004</v>
      </c>
      <c r="H18">
        <v>346.2151439091557</v>
      </c>
      <c r="I18">
        <v>1.6790923384615599</v>
      </c>
    </row>
    <row r="19" spans="1:9" x14ac:dyDescent="0.25">
      <c r="A19" t="s">
        <v>379</v>
      </c>
      <c r="B19">
        <v>77.3</v>
      </c>
      <c r="C19">
        <v>7.82</v>
      </c>
      <c r="D19">
        <v>4.1840004150439096</v>
      </c>
      <c r="E19">
        <v>51877.00651927686</v>
      </c>
      <c r="F19">
        <v>0.127444953918457</v>
      </c>
      <c r="G19">
        <v>2.21</v>
      </c>
      <c r="H19">
        <v>113.60881507291208</v>
      </c>
      <c r="I19">
        <v>2.52262366538611</v>
      </c>
    </row>
    <row r="20" spans="1:9" x14ac:dyDescent="0.25">
      <c r="A20" t="s">
        <v>263</v>
      </c>
      <c r="B20">
        <v>83.4</v>
      </c>
      <c r="C20">
        <v>5.67</v>
      </c>
      <c r="D20">
        <v>12.456953232691275</v>
      </c>
      <c r="E20">
        <v>143341.47312464545</v>
      </c>
      <c r="F20">
        <v>0.11003183364868199</v>
      </c>
      <c r="G20">
        <v>1.39</v>
      </c>
      <c r="H20">
        <v>194.04309569043096</v>
      </c>
      <c r="I20">
        <v>0.700406724896945</v>
      </c>
    </row>
    <row r="21" spans="1:9" x14ac:dyDescent="0.25">
      <c r="A21" t="s">
        <v>240</v>
      </c>
      <c r="B21">
        <v>75.900000000000006</v>
      </c>
      <c r="C21">
        <v>9.0399999999999991</v>
      </c>
      <c r="D21">
        <v>3.6456121684928142</v>
      </c>
      <c r="E21">
        <v>42501.027882049464</v>
      </c>
      <c r="F21">
        <v>0.126531772613525</v>
      </c>
      <c r="G21">
        <v>4.05</v>
      </c>
      <c r="H21">
        <v>212.41821394647889</v>
      </c>
      <c r="I21">
        <v>2.0498651345644303</v>
      </c>
    </row>
    <row r="22" spans="1:9" x14ac:dyDescent="0.25">
      <c r="A22" t="s">
        <v>361</v>
      </c>
      <c r="B22">
        <v>83.6</v>
      </c>
      <c r="C22">
        <v>10.58</v>
      </c>
      <c r="D22">
        <v>3.1255578927759191</v>
      </c>
      <c r="E22">
        <v>62445.681490419811</v>
      </c>
      <c r="F22">
        <v>0.12658941268920901</v>
      </c>
      <c r="G22">
        <v>1.54</v>
      </c>
      <c r="H22">
        <v>295.44718206643319</v>
      </c>
      <c r="I22">
        <v>0.49920686499012495</v>
      </c>
    </row>
    <row r="23" spans="1:9" x14ac:dyDescent="0.25">
      <c r="A23" t="s">
        <v>14</v>
      </c>
      <c r="B23">
        <v>82</v>
      </c>
      <c r="C23">
        <v>11.29</v>
      </c>
      <c r="D23">
        <v>7.4715534787718951</v>
      </c>
      <c r="E23">
        <v>78215.066303860061</v>
      </c>
      <c r="F23">
        <v>0.11019962310791</v>
      </c>
      <c r="G23">
        <v>0.81</v>
      </c>
      <c r="H23">
        <v>129.46981710648762</v>
      </c>
      <c r="I23">
        <v>1.5832811384634797</v>
      </c>
    </row>
    <row r="24" spans="1:9" x14ac:dyDescent="0.25">
      <c r="A24" t="s">
        <v>619</v>
      </c>
      <c r="B24">
        <v>83.1</v>
      </c>
      <c r="C24">
        <v>10.08</v>
      </c>
      <c r="D24">
        <v>6.7250800496330969</v>
      </c>
      <c r="E24">
        <v>104459.81192279447</v>
      </c>
      <c r="F24">
        <v>0.102669334411621</v>
      </c>
      <c r="G24">
        <v>0.55000000000000004</v>
      </c>
      <c r="H24">
        <v>84.406987752204003</v>
      </c>
      <c r="I24">
        <v>1.6376655408969301</v>
      </c>
    </row>
    <row r="25" spans="1:9" x14ac:dyDescent="0.25">
      <c r="A25" t="s">
        <v>65</v>
      </c>
      <c r="B25">
        <v>78.599999999999994</v>
      </c>
      <c r="C25">
        <v>6.44</v>
      </c>
      <c r="D25">
        <v>7.3675633729270924</v>
      </c>
      <c r="E25">
        <v>49463.99116942488</v>
      </c>
      <c r="F25">
        <v>0.111692733764648</v>
      </c>
      <c r="G25">
        <v>0.69</v>
      </c>
      <c r="H25">
        <v>69.97884130192277</v>
      </c>
      <c r="I25">
        <v>2.38851188830618</v>
      </c>
    </row>
    <row r="26" spans="1:9" x14ac:dyDescent="0.25">
      <c r="A26" t="s">
        <v>388</v>
      </c>
      <c r="B26">
        <v>82.4</v>
      </c>
      <c r="C26">
        <v>11.14</v>
      </c>
      <c r="D26">
        <v>3.7849075869171078</v>
      </c>
      <c r="E26">
        <v>48758.857022163567</v>
      </c>
      <c r="F26">
        <v>9.7091884613037097E-2</v>
      </c>
      <c r="G26">
        <v>0.72</v>
      </c>
      <c r="H26">
        <v>366.86566302808836</v>
      </c>
      <c r="I26">
        <v>1.3543893401962401</v>
      </c>
    </row>
    <row r="27" spans="1:9" x14ac:dyDescent="0.25">
      <c r="A27" t="s">
        <v>503</v>
      </c>
      <c r="B27">
        <v>76.599999999999994</v>
      </c>
      <c r="C27">
        <v>6.48</v>
      </c>
      <c r="D27">
        <v>3.5641375014598826</v>
      </c>
      <c r="E27">
        <v>47903.341148648993</v>
      </c>
      <c r="F27">
        <v>8.1443548202514593E-2</v>
      </c>
      <c r="G27">
        <v>0.91</v>
      </c>
      <c r="H27">
        <v>173.79404592361107</v>
      </c>
      <c r="I27">
        <v>1.7305450659253301</v>
      </c>
    </row>
    <row r="28" spans="1:9" x14ac:dyDescent="0.25">
      <c r="A28" t="s">
        <v>334</v>
      </c>
      <c r="B28">
        <v>82</v>
      </c>
      <c r="C28">
        <v>9.48</v>
      </c>
      <c r="D28">
        <v>5.9347351788582579</v>
      </c>
      <c r="E28">
        <v>54947.470137240023</v>
      </c>
      <c r="F28">
        <v>0.11501742362976101</v>
      </c>
      <c r="G28">
        <v>0.62</v>
      </c>
      <c r="H28">
        <v>305.39652451354999</v>
      </c>
      <c r="I28">
        <v>1.1879860151950101</v>
      </c>
    </row>
    <row r="29" spans="1:9" x14ac:dyDescent="0.25">
      <c r="A29" t="s">
        <v>63</v>
      </c>
      <c r="B29">
        <v>83.4</v>
      </c>
      <c r="C29">
        <v>11.25</v>
      </c>
      <c r="D29">
        <v>3.242989143127474</v>
      </c>
      <c r="E29">
        <v>70206.611636511487</v>
      </c>
      <c r="F29">
        <v>0.13531939506530802</v>
      </c>
      <c r="G29">
        <v>1.1100000000000001</v>
      </c>
      <c r="H29">
        <v>153.00776867014963</v>
      </c>
      <c r="I29">
        <v>1.30746311852624</v>
      </c>
    </row>
    <row r="34" spans="1:9" x14ac:dyDescent="0.25">
      <c r="A34" s="10"/>
      <c r="B34" s="10"/>
      <c r="C34" s="10"/>
      <c r="D34" s="10"/>
      <c r="E34" s="10"/>
      <c r="F34" s="10"/>
      <c r="G34" s="10"/>
      <c r="H34" s="10"/>
      <c r="I34"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7ABC-DE13-49A6-B9C3-3F033C9603E8}">
  <sheetPr>
    <tabColor theme="8" tint="0.79998168889431442"/>
  </sheetPr>
  <dimension ref="B2:O92"/>
  <sheetViews>
    <sheetView zoomScale="85" zoomScaleNormal="85" workbookViewId="0">
      <selection activeCell="C14" sqref="C14"/>
    </sheetView>
  </sheetViews>
  <sheetFormatPr defaultRowHeight="15" x14ac:dyDescent="0.25"/>
  <cols>
    <col min="2" max="2" width="10.5703125" bestFit="1" customWidth="1"/>
    <col min="3" max="3" width="20.28515625" bestFit="1" customWidth="1"/>
    <col min="4" max="4" width="17" bestFit="1" customWidth="1"/>
    <col min="7" max="7" width="9.85546875" bestFit="1" customWidth="1"/>
    <col min="8" max="13" width="0" hidden="1" customWidth="1"/>
    <col min="15" max="15" width="18.42578125" bestFit="1" customWidth="1"/>
  </cols>
  <sheetData>
    <row r="2" spans="2:6" x14ac:dyDescent="0.25">
      <c r="B2" s="163" t="s">
        <v>917</v>
      </c>
      <c r="C2" s="163"/>
      <c r="D2" s="163"/>
      <c r="E2" s="163"/>
      <c r="F2" s="163"/>
    </row>
    <row r="5" spans="2:6" x14ac:dyDescent="0.25">
      <c r="B5" s="5" t="s">
        <v>731</v>
      </c>
      <c r="C5" s="5" t="s">
        <v>732</v>
      </c>
      <c r="D5" s="5" t="s">
        <v>733</v>
      </c>
      <c r="E5" s="5"/>
      <c r="F5" s="5"/>
    </row>
    <row r="6" spans="2:6" x14ac:dyDescent="0.25">
      <c r="B6" s="16" t="s">
        <v>704</v>
      </c>
      <c r="C6" s="70"/>
      <c r="D6" s="70"/>
      <c r="E6" t="s">
        <v>734</v>
      </c>
      <c r="F6" t="s">
        <v>734</v>
      </c>
    </row>
    <row r="7" spans="2:6" x14ac:dyDescent="0.25">
      <c r="B7" s="16" t="s">
        <v>705</v>
      </c>
      <c r="C7">
        <f>B7-B6</f>
        <v>7.6154999999999973E-2</v>
      </c>
      <c r="D7">
        <f>B7/B6</f>
        <v>1.0666980794141114</v>
      </c>
      <c r="E7">
        <f>_xlfn.RANK.AVG(C7,$C$7:$C$32,0)</f>
        <v>9</v>
      </c>
      <c r="F7">
        <f>_xlfn.RANK.AVG(D7,$D$7:$D$32,0)</f>
        <v>6</v>
      </c>
    </row>
    <row r="8" spans="2:6" x14ac:dyDescent="0.25">
      <c r="B8" s="16" t="s">
        <v>706</v>
      </c>
      <c r="C8">
        <f t="shared" ref="C8:C32" si="0">B8-B7</f>
        <v>5.5985999999999869E-2</v>
      </c>
      <c r="D8">
        <f t="shared" ref="D8:D32" si="1">B8/B7</f>
        <v>1.0459677061797688</v>
      </c>
      <c r="E8">
        <f t="shared" ref="E8:E32" si="2">_xlfn.RANK.AVG(C8,$C$7:$C$32,0)</f>
        <v>11</v>
      </c>
      <c r="F8">
        <f t="shared" ref="F8:F32" si="3">_xlfn.RANK.AVG(D8,$D$7:$D$32,0)</f>
        <v>10</v>
      </c>
    </row>
    <row r="9" spans="2:6" x14ac:dyDescent="0.25">
      <c r="B9" s="16" t="s">
        <v>707</v>
      </c>
      <c r="C9">
        <f t="shared" si="0"/>
        <v>4.795499999999997E-2</v>
      </c>
      <c r="D9">
        <f t="shared" si="1"/>
        <v>1.0376434146984759</v>
      </c>
      <c r="E9">
        <f t="shared" si="2"/>
        <v>13</v>
      </c>
      <c r="F9">
        <f t="shared" si="3"/>
        <v>11</v>
      </c>
    </row>
    <row r="10" spans="2:6" x14ac:dyDescent="0.25">
      <c r="B10" s="16" t="s">
        <v>708</v>
      </c>
      <c r="C10">
        <f t="shared" si="0"/>
        <v>0.13470800000000005</v>
      </c>
      <c r="D10">
        <f t="shared" si="1"/>
        <v>1.1019061444923643</v>
      </c>
      <c r="E10">
        <f t="shared" si="2"/>
        <v>5</v>
      </c>
      <c r="F10">
        <f t="shared" si="3"/>
        <v>5</v>
      </c>
    </row>
    <row r="11" spans="2:6" x14ac:dyDescent="0.25">
      <c r="B11" s="16" t="s">
        <v>709</v>
      </c>
      <c r="C11">
        <f t="shared" si="0"/>
        <v>1.8485000000000085E-2</v>
      </c>
      <c r="D11">
        <f t="shared" si="1"/>
        <v>1.0126905905638577</v>
      </c>
      <c r="E11">
        <f t="shared" si="2"/>
        <v>17</v>
      </c>
      <c r="F11">
        <f t="shared" si="3"/>
        <v>17</v>
      </c>
    </row>
    <row r="12" spans="2:6" x14ac:dyDescent="0.25">
      <c r="B12" s="16" t="s">
        <v>710</v>
      </c>
      <c r="C12">
        <f t="shared" si="0"/>
        <v>3.5617999999999927E-2</v>
      </c>
      <c r="D12">
        <f t="shared" si="1"/>
        <v>1.0241465524488229</v>
      </c>
      <c r="E12">
        <f t="shared" si="2"/>
        <v>15</v>
      </c>
      <c r="F12">
        <f t="shared" si="3"/>
        <v>14</v>
      </c>
    </row>
    <row r="13" spans="2:6" x14ac:dyDescent="0.25">
      <c r="B13" s="16" t="s">
        <v>711</v>
      </c>
      <c r="C13">
        <f t="shared" si="0"/>
        <v>7.4783000000000044E-2</v>
      </c>
      <c r="D13">
        <f t="shared" si="1"/>
        <v>1.0495024141222511</v>
      </c>
      <c r="E13">
        <f t="shared" si="2"/>
        <v>10</v>
      </c>
      <c r="F13">
        <f t="shared" si="3"/>
        <v>9</v>
      </c>
    </row>
    <row r="14" spans="2:6" x14ac:dyDescent="0.25">
      <c r="B14" s="16" t="s">
        <v>712</v>
      </c>
      <c r="C14">
        <f t="shared" si="0"/>
        <v>1.1176000000000075E-2</v>
      </c>
      <c r="D14">
        <f t="shared" si="1"/>
        <v>1.0070489827351643</v>
      </c>
      <c r="E14">
        <f t="shared" si="2"/>
        <v>23</v>
      </c>
      <c r="F14">
        <f t="shared" si="3"/>
        <v>22</v>
      </c>
    </row>
    <row r="15" spans="2:6" x14ac:dyDescent="0.25">
      <c r="B15" s="16" t="s">
        <v>713</v>
      </c>
      <c r="C15">
        <f t="shared" si="0"/>
        <v>2.7069999999997929E-3</v>
      </c>
      <c r="D15">
        <f t="shared" si="1"/>
        <v>1.0016954216100804</v>
      </c>
      <c r="E15">
        <f t="shared" si="2"/>
        <v>26</v>
      </c>
      <c r="F15">
        <f t="shared" si="3"/>
        <v>26</v>
      </c>
    </row>
    <row r="16" spans="2:6" x14ac:dyDescent="0.25">
      <c r="B16" s="16" t="s">
        <v>714</v>
      </c>
      <c r="C16">
        <f t="shared" si="0"/>
        <v>1.5026000000000206E-2</v>
      </c>
      <c r="D16">
        <f t="shared" si="1"/>
        <v>1.0093950080032015</v>
      </c>
      <c r="E16">
        <f t="shared" si="2"/>
        <v>20</v>
      </c>
      <c r="F16">
        <f t="shared" si="3"/>
        <v>18</v>
      </c>
    </row>
    <row r="17" spans="2:15" x14ac:dyDescent="0.25">
      <c r="B17" s="16" t="s">
        <v>715</v>
      </c>
      <c r="C17">
        <f t="shared" si="0"/>
        <v>5.3396999999999917E-2</v>
      </c>
      <c r="D17">
        <f t="shared" si="1"/>
        <v>1.0330757328173064</v>
      </c>
      <c r="E17">
        <f t="shared" si="2"/>
        <v>12</v>
      </c>
      <c r="F17">
        <f t="shared" si="3"/>
        <v>13</v>
      </c>
      <c r="O17" t="s">
        <v>735</v>
      </c>
    </row>
    <row r="18" spans="2:15" ht="15.75" thickBot="1" x14ac:dyDescent="0.3">
      <c r="B18" s="16" t="s">
        <v>716</v>
      </c>
      <c r="C18">
        <f t="shared" si="0"/>
        <v>9.2287999999999926E-2</v>
      </c>
      <c r="D18">
        <f t="shared" si="1"/>
        <v>1.0553357361239442</v>
      </c>
      <c r="E18">
        <f t="shared" si="2"/>
        <v>7</v>
      </c>
      <c r="F18">
        <f t="shared" si="3"/>
        <v>7</v>
      </c>
    </row>
    <row r="19" spans="2:15" ht="15.75" thickBot="1" x14ac:dyDescent="0.3">
      <c r="B19" s="16" t="s">
        <v>717</v>
      </c>
      <c r="C19">
        <f t="shared" si="0"/>
        <v>1.1719000000000035E-2</v>
      </c>
      <c r="D19">
        <f t="shared" si="1"/>
        <v>1.0066582541272482</v>
      </c>
      <c r="E19">
        <f t="shared" si="2"/>
        <v>22</v>
      </c>
      <c r="F19">
        <f t="shared" si="3"/>
        <v>23</v>
      </c>
      <c r="N19" s="96" t="s">
        <v>754</v>
      </c>
    </row>
    <row r="20" spans="2:15" x14ac:dyDescent="0.25">
      <c r="B20" s="16" t="s">
        <v>718</v>
      </c>
      <c r="C20">
        <f t="shared" si="0"/>
        <v>9.4535000000000036E-2</v>
      </c>
      <c r="D20">
        <f t="shared" si="1"/>
        <v>1.0533556459851336</v>
      </c>
      <c r="E20">
        <f t="shared" si="2"/>
        <v>6</v>
      </c>
      <c r="F20">
        <f t="shared" si="3"/>
        <v>8</v>
      </c>
    </row>
    <row r="21" spans="2:15" x14ac:dyDescent="0.25">
      <c r="B21" s="16" t="s">
        <v>719</v>
      </c>
      <c r="C21">
        <f t="shared" si="0"/>
        <v>1.5406000000000031E-2</v>
      </c>
      <c r="D21">
        <f t="shared" si="1"/>
        <v>1.0082547251952367</v>
      </c>
      <c r="E21">
        <f t="shared" si="2"/>
        <v>19</v>
      </c>
      <c r="F21">
        <f t="shared" si="3"/>
        <v>19</v>
      </c>
    </row>
    <row r="22" spans="2:15" x14ac:dyDescent="0.25">
      <c r="B22" s="16" t="s">
        <v>720</v>
      </c>
      <c r="C22">
        <f t="shared" si="0"/>
        <v>8.6100000000000065E-3</v>
      </c>
      <c r="D22">
        <f t="shared" si="1"/>
        <v>1.0045755742983455</v>
      </c>
      <c r="E22">
        <f t="shared" si="2"/>
        <v>24</v>
      </c>
      <c r="F22">
        <f t="shared" si="3"/>
        <v>24</v>
      </c>
    </row>
    <row r="23" spans="2:15" x14ac:dyDescent="0.25">
      <c r="B23" s="16" t="s">
        <v>721</v>
      </c>
      <c r="C23">
        <f t="shared" si="0"/>
        <v>1.5598000000000001E-2</v>
      </c>
      <c r="D23">
        <f t="shared" si="1"/>
        <v>1.0082514213044103</v>
      </c>
      <c r="E23">
        <f t="shared" si="2"/>
        <v>18</v>
      </c>
      <c r="F23">
        <f t="shared" si="3"/>
        <v>20</v>
      </c>
    </row>
    <row r="24" spans="2:15" x14ac:dyDescent="0.25">
      <c r="B24" s="16" t="s">
        <v>722</v>
      </c>
      <c r="C24">
        <f t="shared" si="0"/>
        <v>1.41929999999999E-2</v>
      </c>
      <c r="D24">
        <f t="shared" si="1"/>
        <v>1.0074467231112854</v>
      </c>
      <c r="E24">
        <f t="shared" si="2"/>
        <v>21</v>
      </c>
      <c r="F24">
        <f t="shared" si="3"/>
        <v>21</v>
      </c>
    </row>
    <row r="25" spans="2:15" x14ac:dyDescent="0.25">
      <c r="B25" s="16" t="s">
        <v>723</v>
      </c>
      <c r="C25">
        <f t="shared" si="0"/>
        <v>7.7030000000000154E-3</v>
      </c>
      <c r="D25">
        <f t="shared" si="1"/>
        <v>1.0040117033620606</v>
      </c>
      <c r="E25">
        <f t="shared" si="2"/>
        <v>25</v>
      </c>
      <c r="F25">
        <f t="shared" si="3"/>
        <v>25</v>
      </c>
    </row>
    <row r="26" spans="2:15" x14ac:dyDescent="0.25">
      <c r="B26" s="16" t="s">
        <v>724</v>
      </c>
      <c r="C26">
        <f t="shared" si="0"/>
        <v>3.9730000000000043E-2</v>
      </c>
      <c r="D26">
        <f t="shared" si="1"/>
        <v>1.0206086101767009</v>
      </c>
      <c r="E26">
        <f t="shared" si="2"/>
        <v>14</v>
      </c>
      <c r="F26">
        <f t="shared" si="3"/>
        <v>15</v>
      </c>
    </row>
    <row r="27" spans="2:15" x14ac:dyDescent="0.25">
      <c r="B27" s="16" t="s">
        <v>725</v>
      </c>
      <c r="C27">
        <f t="shared" si="0"/>
        <v>0.23931799999999992</v>
      </c>
      <c r="D27">
        <f t="shared" si="1"/>
        <v>1.1216315598214035</v>
      </c>
      <c r="E27">
        <f t="shared" si="2"/>
        <v>4</v>
      </c>
      <c r="F27">
        <f t="shared" si="3"/>
        <v>4</v>
      </c>
    </row>
    <row r="28" spans="2:15" x14ac:dyDescent="0.25">
      <c r="B28" s="16" t="s">
        <v>726</v>
      </c>
      <c r="C28">
        <f t="shared" si="0"/>
        <v>8.122700000000016E-2</v>
      </c>
      <c r="D28">
        <f t="shared" si="1"/>
        <v>1.0368062103881357</v>
      </c>
      <c r="E28">
        <f t="shared" si="2"/>
        <v>8</v>
      </c>
      <c r="F28">
        <f t="shared" si="3"/>
        <v>12</v>
      </c>
    </row>
    <row r="29" spans="2:15" x14ac:dyDescent="0.25">
      <c r="B29" s="16" t="s">
        <v>727</v>
      </c>
      <c r="C29">
        <f t="shared" si="0"/>
        <v>3.271299999999977E-2</v>
      </c>
      <c r="D29">
        <f t="shared" si="1"/>
        <v>1.0142969525066539</v>
      </c>
      <c r="E29">
        <f t="shared" si="2"/>
        <v>16</v>
      </c>
      <c r="F29">
        <f t="shared" si="3"/>
        <v>16</v>
      </c>
    </row>
    <row r="30" spans="2:15" x14ac:dyDescent="0.25">
      <c r="B30" s="16" t="s">
        <v>728</v>
      </c>
      <c r="C30">
        <f t="shared" si="0"/>
        <v>0.68550600000000017</v>
      </c>
      <c r="D30">
        <f t="shared" si="1"/>
        <v>1.2953719434872888</v>
      </c>
      <c r="E30" s="70">
        <f t="shared" si="2"/>
        <v>2</v>
      </c>
      <c r="F30" s="70">
        <f t="shared" si="3"/>
        <v>2</v>
      </c>
    </row>
    <row r="31" spans="2:15" x14ac:dyDescent="0.25">
      <c r="B31" s="16" t="s">
        <v>729</v>
      </c>
      <c r="C31">
        <f t="shared" si="0"/>
        <v>0.37349699999999997</v>
      </c>
      <c r="D31">
        <f t="shared" si="1"/>
        <v>1.12423690155003</v>
      </c>
      <c r="E31">
        <f t="shared" si="2"/>
        <v>3</v>
      </c>
      <c r="F31">
        <f t="shared" si="3"/>
        <v>3</v>
      </c>
    </row>
    <row r="32" spans="2:15" x14ac:dyDescent="0.25">
      <c r="B32" s="16" t="s">
        <v>730</v>
      </c>
      <c r="C32">
        <f t="shared" si="0"/>
        <v>1.1812640000000001</v>
      </c>
      <c r="D32">
        <f t="shared" si="1"/>
        <v>1.3495043827700006</v>
      </c>
      <c r="E32">
        <f t="shared" si="2"/>
        <v>1</v>
      </c>
      <c r="F32">
        <f t="shared" si="3"/>
        <v>1</v>
      </c>
    </row>
    <row r="35" spans="2:14" x14ac:dyDescent="0.25">
      <c r="B35" s="163" t="s">
        <v>918</v>
      </c>
      <c r="C35" s="163"/>
      <c r="D35" s="163"/>
      <c r="E35" s="163"/>
      <c r="F35" s="163"/>
    </row>
    <row r="37" spans="2:14" x14ac:dyDescent="0.25">
      <c r="B37" s="16" t="s">
        <v>704</v>
      </c>
      <c r="C37" s="70"/>
      <c r="D37" s="70"/>
      <c r="E37" t="s">
        <v>734</v>
      </c>
      <c r="F37" t="s">
        <v>734</v>
      </c>
    </row>
    <row r="38" spans="2:14" x14ac:dyDescent="0.25">
      <c r="B38" s="16" t="s">
        <v>705</v>
      </c>
      <c r="C38">
        <f>B38-B37</f>
        <v>7.6154999999999973E-2</v>
      </c>
      <c r="D38">
        <f>B38/B37</f>
        <v>1.0666980794141114</v>
      </c>
      <c r="E38">
        <f>_xlfn.RANK.AVG(C38,$C$38:$C$63,0)</f>
        <v>18</v>
      </c>
      <c r="F38">
        <f>_xlfn.RANK.AVG(D38,$D$38:$D$63,0)</f>
        <v>14</v>
      </c>
    </row>
    <row r="39" spans="2:14" x14ac:dyDescent="0.25">
      <c r="B39" s="16" t="s">
        <v>706</v>
      </c>
      <c r="C39">
        <f t="shared" ref="C39:C63" si="4">B39-B38</f>
        <v>5.5985999999999869E-2</v>
      </c>
      <c r="D39">
        <f t="shared" ref="D39:D63" si="5">B39/B38</f>
        <v>1.0459677061797688</v>
      </c>
      <c r="E39">
        <f t="shared" ref="E39:E63" si="6">_xlfn.RANK.AVG(C39,$C$38:$C$63,0)</f>
        <v>20</v>
      </c>
      <c r="F39">
        <f t="shared" ref="F39:F63" si="7">_xlfn.RANK.AVG(D39,$D$38:$D$63,0)</f>
        <v>18</v>
      </c>
    </row>
    <row r="40" spans="2:14" x14ac:dyDescent="0.25">
      <c r="B40" s="16" t="s">
        <v>708</v>
      </c>
      <c r="C40">
        <f t="shared" si="4"/>
        <v>0.18266300000000002</v>
      </c>
      <c r="D40">
        <f t="shared" si="5"/>
        <v>1.143385654448289</v>
      </c>
      <c r="E40">
        <f t="shared" si="6"/>
        <v>12</v>
      </c>
      <c r="F40">
        <f t="shared" si="7"/>
        <v>4</v>
      </c>
    </row>
    <row r="41" spans="2:14" x14ac:dyDescent="0.25">
      <c r="B41" s="16" t="s">
        <v>710</v>
      </c>
      <c r="C41">
        <f t="shared" si="4"/>
        <v>5.4103000000000012E-2</v>
      </c>
      <c r="D41">
        <f t="shared" si="5"/>
        <v>1.0371435770233375</v>
      </c>
      <c r="E41">
        <f t="shared" si="6"/>
        <v>21</v>
      </c>
      <c r="F41">
        <f t="shared" si="7"/>
        <v>19</v>
      </c>
    </row>
    <row r="42" spans="2:14" x14ac:dyDescent="0.25">
      <c r="B42" s="16" t="s">
        <v>715</v>
      </c>
      <c r="C42">
        <f t="shared" si="4"/>
        <v>0.15708900000000003</v>
      </c>
      <c r="D42">
        <f t="shared" si="5"/>
        <v>1.1039846587065283</v>
      </c>
      <c r="E42">
        <f t="shared" si="6"/>
        <v>13</v>
      </c>
      <c r="F42">
        <f t="shared" si="7"/>
        <v>9</v>
      </c>
    </row>
    <row r="43" spans="2:14" ht="15.75" thickBot="1" x14ac:dyDescent="0.3">
      <c r="B43" s="16" t="s">
        <v>736</v>
      </c>
      <c r="C43">
        <f t="shared" si="4"/>
        <v>8.3861999999999881E-2</v>
      </c>
      <c r="D43">
        <f t="shared" si="5"/>
        <v>1.0502835200982381</v>
      </c>
      <c r="E43">
        <f t="shared" si="6"/>
        <v>17</v>
      </c>
      <c r="F43">
        <f t="shared" si="7"/>
        <v>17</v>
      </c>
    </row>
    <row r="44" spans="2:14" ht="15.75" thickBot="1" x14ac:dyDescent="0.3">
      <c r="B44" s="16" t="s">
        <v>717</v>
      </c>
      <c r="C44">
        <f t="shared" si="4"/>
        <v>2.014500000000008E-2</v>
      </c>
      <c r="D44">
        <f t="shared" si="5"/>
        <v>1.0115006179905175</v>
      </c>
      <c r="E44">
        <f t="shared" si="6"/>
        <v>23</v>
      </c>
      <c r="F44">
        <f t="shared" si="7"/>
        <v>23</v>
      </c>
      <c r="N44" s="96" t="s">
        <v>754</v>
      </c>
    </row>
    <row r="45" spans="2:14" x14ac:dyDescent="0.25">
      <c r="B45" s="16" t="s">
        <v>719</v>
      </c>
      <c r="C45">
        <f t="shared" si="4"/>
        <v>0.10994100000000007</v>
      </c>
      <c r="D45">
        <f t="shared" si="5"/>
        <v>1.0620508073755919</v>
      </c>
      <c r="E45">
        <f t="shared" si="6"/>
        <v>15</v>
      </c>
      <c r="F45">
        <f t="shared" si="7"/>
        <v>16</v>
      </c>
    </row>
    <row r="46" spans="2:14" x14ac:dyDescent="0.25">
      <c r="B46" s="16" t="s">
        <v>722</v>
      </c>
      <c r="C46">
        <f t="shared" si="4"/>
        <v>3.8400999999999907E-2</v>
      </c>
      <c r="D46">
        <f t="shared" si="5"/>
        <v>1.0204072739408554</v>
      </c>
      <c r="E46">
        <f t="shared" si="6"/>
        <v>22</v>
      </c>
      <c r="F46">
        <f t="shared" si="7"/>
        <v>22</v>
      </c>
    </row>
    <row r="47" spans="2:14" x14ac:dyDescent="0.25">
      <c r="B47" s="16" t="s">
        <v>737</v>
      </c>
      <c r="C47">
        <f t="shared" si="4"/>
        <v>1.7800999999999956E-2</v>
      </c>
      <c r="D47">
        <f t="shared" si="5"/>
        <v>1.0092707168048862</v>
      </c>
      <c r="E47">
        <f t="shared" si="6"/>
        <v>24</v>
      </c>
      <c r="F47">
        <f t="shared" si="7"/>
        <v>24</v>
      </c>
    </row>
    <row r="48" spans="2:14" x14ac:dyDescent="0.25">
      <c r="B48" s="16" t="s">
        <v>738</v>
      </c>
      <c r="C48">
        <f t="shared" si="4"/>
        <v>0.14293599999999995</v>
      </c>
      <c r="D48">
        <f t="shared" si="5"/>
        <v>1.0737569358693</v>
      </c>
      <c r="E48">
        <f t="shared" si="6"/>
        <v>14</v>
      </c>
      <c r="F48">
        <f t="shared" si="7"/>
        <v>12</v>
      </c>
    </row>
    <row r="49" spans="2:6" x14ac:dyDescent="0.25">
      <c r="B49" s="16" t="s">
        <v>739</v>
      </c>
      <c r="C49">
        <f t="shared" si="4"/>
        <v>1.6371000000000357E-2</v>
      </c>
      <c r="D49">
        <f t="shared" si="5"/>
        <v>1.0078673861737575</v>
      </c>
      <c r="E49">
        <f t="shared" si="6"/>
        <v>25</v>
      </c>
      <c r="F49">
        <f t="shared" si="7"/>
        <v>25</v>
      </c>
    </row>
    <row r="50" spans="2:6" x14ac:dyDescent="0.25">
      <c r="B50" s="16" t="s">
        <v>740</v>
      </c>
      <c r="C50">
        <f t="shared" si="4"/>
        <v>0.25043999999999977</v>
      </c>
      <c r="D50">
        <f t="shared" si="5"/>
        <v>1.1194140870858842</v>
      </c>
      <c r="E50">
        <f t="shared" si="6"/>
        <v>8</v>
      </c>
      <c r="F50">
        <f t="shared" si="7"/>
        <v>6</v>
      </c>
    </row>
    <row r="51" spans="2:6" x14ac:dyDescent="0.25">
      <c r="B51" s="16" t="s">
        <v>741</v>
      </c>
      <c r="C51">
        <f t="shared" si="4"/>
        <v>0.27032500000000015</v>
      </c>
      <c r="D51">
        <f t="shared" si="5"/>
        <v>1.1151455905404486</v>
      </c>
      <c r="E51">
        <f t="shared" si="6"/>
        <v>7</v>
      </c>
      <c r="F51">
        <f t="shared" si="7"/>
        <v>7</v>
      </c>
    </row>
    <row r="52" spans="2:6" x14ac:dyDescent="0.25">
      <c r="B52" s="16" t="s">
        <v>742</v>
      </c>
      <c r="C52">
        <f t="shared" si="4"/>
        <v>7.0719999999999672E-3</v>
      </c>
      <c r="D52">
        <f t="shared" si="5"/>
        <v>1.0027012935422202</v>
      </c>
      <c r="E52">
        <f t="shared" si="6"/>
        <v>26</v>
      </c>
      <c r="F52">
        <f t="shared" si="7"/>
        <v>26</v>
      </c>
    </row>
    <row r="53" spans="2:6" x14ac:dyDescent="0.25">
      <c r="B53" s="16" t="s">
        <v>743</v>
      </c>
      <c r="C53">
        <f t="shared" si="4"/>
        <v>0.22678200000000004</v>
      </c>
      <c r="D53">
        <f t="shared" si="5"/>
        <v>1.0863906087326201</v>
      </c>
      <c r="E53">
        <f t="shared" si="6"/>
        <v>9</v>
      </c>
      <c r="F53">
        <f t="shared" si="7"/>
        <v>10</v>
      </c>
    </row>
    <row r="54" spans="2:6" x14ac:dyDescent="0.25">
      <c r="B54" s="16" t="s">
        <v>744</v>
      </c>
      <c r="C54">
        <f t="shared" si="4"/>
        <v>6.5196999999999949E-2</v>
      </c>
      <c r="D54">
        <f t="shared" si="5"/>
        <v>1.0228612284127652</v>
      </c>
      <c r="E54">
        <f t="shared" si="6"/>
        <v>19</v>
      </c>
      <c r="F54">
        <f t="shared" si="7"/>
        <v>20</v>
      </c>
    </row>
    <row r="55" spans="2:6" x14ac:dyDescent="0.25">
      <c r="B55" s="16" t="s">
        <v>745</v>
      </c>
      <c r="C55">
        <f t="shared" si="4"/>
        <v>0.21341999999999972</v>
      </c>
      <c r="D55">
        <f t="shared" si="5"/>
        <v>1.0731628052392548</v>
      </c>
      <c r="E55">
        <f t="shared" si="6"/>
        <v>10</v>
      </c>
      <c r="F55">
        <f t="shared" si="7"/>
        <v>13</v>
      </c>
    </row>
    <row r="56" spans="2:6" x14ac:dyDescent="0.25">
      <c r="B56" s="16" t="s">
        <v>746</v>
      </c>
      <c r="C56">
        <f t="shared" si="4"/>
        <v>0.20073000000000008</v>
      </c>
      <c r="D56">
        <f t="shared" si="5"/>
        <v>1.0641212390703523</v>
      </c>
      <c r="E56">
        <f t="shared" si="6"/>
        <v>11</v>
      </c>
      <c r="F56">
        <f t="shared" si="7"/>
        <v>15</v>
      </c>
    </row>
    <row r="57" spans="2:6" x14ac:dyDescent="0.25">
      <c r="B57" s="16" t="s">
        <v>747</v>
      </c>
      <c r="C57">
        <f t="shared" si="4"/>
        <v>0.52441400000000016</v>
      </c>
      <c r="D57">
        <f t="shared" si="5"/>
        <v>1.1574246684233878</v>
      </c>
      <c r="E57">
        <f t="shared" si="6"/>
        <v>4</v>
      </c>
      <c r="F57">
        <f t="shared" si="7"/>
        <v>3</v>
      </c>
    </row>
    <row r="58" spans="2:6" x14ac:dyDescent="0.25">
      <c r="B58" s="16" t="s">
        <v>748</v>
      </c>
      <c r="C58">
        <f t="shared" si="4"/>
        <v>0.49762299999999993</v>
      </c>
      <c r="D58">
        <f t="shared" si="5"/>
        <v>1.1290643268786862</v>
      </c>
      <c r="E58">
        <f t="shared" si="6"/>
        <v>5</v>
      </c>
      <c r="F58">
        <f t="shared" si="7"/>
        <v>5</v>
      </c>
    </row>
    <row r="59" spans="2:6" x14ac:dyDescent="0.25">
      <c r="B59" s="16" t="s">
        <v>749</v>
      </c>
      <c r="C59">
        <f t="shared" si="4"/>
        <v>9.4127000000000294E-2</v>
      </c>
      <c r="D59">
        <f t="shared" si="5"/>
        <v>1.0216222710287481</v>
      </c>
      <c r="E59">
        <f t="shared" si="6"/>
        <v>16</v>
      </c>
      <c r="F59">
        <f t="shared" si="7"/>
        <v>21</v>
      </c>
    </row>
    <row r="60" spans="2:6" x14ac:dyDescent="0.25">
      <c r="B60" s="16" t="s">
        <v>750</v>
      </c>
      <c r="C60">
        <f t="shared" si="4"/>
        <v>0.32960399999999979</v>
      </c>
      <c r="D60">
        <f t="shared" si="5"/>
        <v>1.0741121156998406</v>
      </c>
      <c r="E60">
        <f t="shared" si="6"/>
        <v>6</v>
      </c>
      <c r="F60">
        <f t="shared" si="7"/>
        <v>11</v>
      </c>
    </row>
    <row r="61" spans="2:6" x14ac:dyDescent="0.25">
      <c r="B61" s="16" t="s">
        <v>751</v>
      </c>
      <c r="C61">
        <f t="shared" si="4"/>
        <v>1.5682070000000001</v>
      </c>
      <c r="D61">
        <f t="shared" si="5"/>
        <v>1.3282846002511213</v>
      </c>
      <c r="E61" s="70">
        <f t="shared" si="6"/>
        <v>1</v>
      </c>
      <c r="F61" s="70">
        <f t="shared" si="7"/>
        <v>1</v>
      </c>
    </row>
    <row r="62" spans="2:6" x14ac:dyDescent="0.25">
      <c r="B62" s="16" t="s">
        <v>752</v>
      </c>
      <c r="C62">
        <f t="shared" si="4"/>
        <v>0.66534899999999997</v>
      </c>
      <c r="D62">
        <f t="shared" si="5"/>
        <v>1.1048589472861372</v>
      </c>
      <c r="E62">
        <f t="shared" si="6"/>
        <v>3</v>
      </c>
      <c r="F62">
        <f t="shared" si="7"/>
        <v>8</v>
      </c>
    </row>
    <row r="63" spans="2:6" x14ac:dyDescent="0.25">
      <c r="B63" s="16" t="s">
        <v>753</v>
      </c>
      <c r="C63">
        <f t="shared" si="4"/>
        <v>1.335394</v>
      </c>
      <c r="D63">
        <f t="shared" si="5"/>
        <v>1.1904840290249097</v>
      </c>
      <c r="E63">
        <f t="shared" si="6"/>
        <v>2</v>
      </c>
      <c r="F63">
        <f t="shared" si="7"/>
        <v>2</v>
      </c>
    </row>
    <row r="65" spans="2:14" x14ac:dyDescent="0.25">
      <c r="B65" s="163" t="s">
        <v>919</v>
      </c>
      <c r="C65" s="163"/>
      <c r="D65" s="163"/>
      <c r="E65" s="163"/>
      <c r="F65" s="163"/>
    </row>
    <row r="66" spans="2:14" x14ac:dyDescent="0.25">
      <c r="B66" s="16" t="s">
        <v>704</v>
      </c>
      <c r="C66" s="70"/>
      <c r="D66" s="70"/>
      <c r="E66" t="s">
        <v>734</v>
      </c>
      <c r="F66" t="s">
        <v>734</v>
      </c>
    </row>
    <row r="67" spans="2:14" x14ac:dyDescent="0.25">
      <c r="B67" s="16" t="s">
        <v>705</v>
      </c>
      <c r="C67">
        <f>B67-B66</f>
        <v>7.6154999999999973E-2</v>
      </c>
      <c r="D67">
        <f>B67/B66</f>
        <v>1.0666980794141114</v>
      </c>
      <c r="E67">
        <f>_xlfn.RANK.AVG(C67,$C$67:$C$92,0)</f>
        <v>18</v>
      </c>
      <c r="F67">
        <f>_xlfn.RANK.AVG(D67,$D$67:$D$92,0)</f>
        <v>14</v>
      </c>
    </row>
    <row r="68" spans="2:14" x14ac:dyDescent="0.25">
      <c r="B68" s="16" t="s">
        <v>706</v>
      </c>
      <c r="C68">
        <f t="shared" ref="C68:C92" si="8">B68-B67</f>
        <v>5.5985999999999869E-2</v>
      </c>
      <c r="D68">
        <f t="shared" ref="D68:D92" si="9">B68/B67</f>
        <v>1.0459677061797688</v>
      </c>
      <c r="E68">
        <f t="shared" ref="E68:E92" si="10">_xlfn.RANK.AVG(C68,$C$67:$C$92,0)</f>
        <v>21</v>
      </c>
      <c r="F68">
        <f t="shared" ref="F68:F92" si="11">_xlfn.RANK.AVG(D68,$D$67:$D$92,0)</f>
        <v>18</v>
      </c>
    </row>
    <row r="69" spans="2:14" x14ac:dyDescent="0.25">
      <c r="B69" s="16" t="s">
        <v>708</v>
      </c>
      <c r="C69">
        <f t="shared" si="8"/>
        <v>0.18266300000000002</v>
      </c>
      <c r="D69">
        <f t="shared" si="9"/>
        <v>1.143385654448289</v>
      </c>
      <c r="E69">
        <f t="shared" si="10"/>
        <v>11</v>
      </c>
      <c r="F69">
        <f t="shared" si="11"/>
        <v>7</v>
      </c>
    </row>
    <row r="70" spans="2:14" x14ac:dyDescent="0.25">
      <c r="B70" s="16" t="s">
        <v>710</v>
      </c>
      <c r="C70">
        <f t="shared" si="8"/>
        <v>5.4103000000000012E-2</v>
      </c>
      <c r="D70">
        <f t="shared" si="9"/>
        <v>1.0371435770233375</v>
      </c>
      <c r="E70">
        <f t="shared" si="10"/>
        <v>22</v>
      </c>
      <c r="F70">
        <f t="shared" si="11"/>
        <v>19</v>
      </c>
    </row>
    <row r="71" spans="2:14" x14ac:dyDescent="0.25">
      <c r="B71" s="16" t="s">
        <v>715</v>
      </c>
      <c r="C71">
        <f t="shared" si="8"/>
        <v>0.15708900000000003</v>
      </c>
      <c r="D71">
        <f t="shared" si="9"/>
        <v>1.1039846587065283</v>
      </c>
      <c r="E71">
        <f t="shared" si="10"/>
        <v>13</v>
      </c>
      <c r="F71">
        <f t="shared" si="11"/>
        <v>8</v>
      </c>
    </row>
    <row r="72" spans="2:14" x14ac:dyDescent="0.25">
      <c r="B72" s="16" t="s">
        <v>755</v>
      </c>
      <c r="C72">
        <f t="shared" si="8"/>
        <v>5.8721000000000023E-2</v>
      </c>
      <c r="D72">
        <f t="shared" si="9"/>
        <v>1.0352090170004131</v>
      </c>
      <c r="E72">
        <f t="shared" si="10"/>
        <v>20</v>
      </c>
      <c r="F72">
        <f t="shared" si="11"/>
        <v>20</v>
      </c>
    </row>
    <row r="73" spans="2:14" x14ac:dyDescent="0.25">
      <c r="B73" s="16" t="s">
        <v>717</v>
      </c>
      <c r="C73">
        <f t="shared" si="8"/>
        <v>4.5285999999999937E-2</v>
      </c>
      <c r="D73">
        <f t="shared" si="9"/>
        <v>1.0262298842053073</v>
      </c>
      <c r="E73">
        <f t="shared" si="10"/>
        <v>23</v>
      </c>
      <c r="F73">
        <f t="shared" si="11"/>
        <v>21</v>
      </c>
    </row>
    <row r="74" spans="2:14" x14ac:dyDescent="0.25">
      <c r="B74" s="16" t="s">
        <v>756</v>
      </c>
      <c r="C74">
        <f t="shared" si="8"/>
        <v>2.0825000000000093E-2</v>
      </c>
      <c r="D74">
        <f t="shared" si="9"/>
        <v>1.0117536502632931</v>
      </c>
      <c r="E74">
        <f t="shared" si="10"/>
        <v>26</v>
      </c>
      <c r="F74">
        <f t="shared" si="11"/>
        <v>26</v>
      </c>
    </row>
    <row r="75" spans="2:14" x14ac:dyDescent="0.25">
      <c r="B75" s="16" t="s">
        <v>719</v>
      </c>
      <c r="C75">
        <f t="shared" si="8"/>
        <v>8.9115999999999973E-2</v>
      </c>
      <c r="D75">
        <f t="shared" si="9"/>
        <v>1.0497128496637593</v>
      </c>
      <c r="E75">
        <f t="shared" si="10"/>
        <v>17</v>
      </c>
      <c r="F75">
        <f t="shared" si="11"/>
        <v>16</v>
      </c>
    </row>
    <row r="76" spans="2:14" x14ac:dyDescent="0.25">
      <c r="B76" s="16" t="s">
        <v>722</v>
      </c>
      <c r="C76">
        <f t="shared" si="8"/>
        <v>3.8400999999999907E-2</v>
      </c>
      <c r="D76">
        <f t="shared" si="9"/>
        <v>1.0204072739408554</v>
      </c>
      <c r="E76">
        <f t="shared" si="10"/>
        <v>24</v>
      </c>
      <c r="F76">
        <f t="shared" si="11"/>
        <v>24</v>
      </c>
    </row>
    <row r="77" spans="2:14" x14ac:dyDescent="0.25">
      <c r="B77" s="16" t="s">
        <v>757</v>
      </c>
      <c r="C77">
        <f t="shared" si="8"/>
        <v>0.17929600000000012</v>
      </c>
      <c r="D77">
        <f t="shared" si="9"/>
        <v>1.0933769136705185</v>
      </c>
      <c r="E77">
        <f t="shared" si="10"/>
        <v>12</v>
      </c>
      <c r="F77">
        <f t="shared" si="11"/>
        <v>10</v>
      </c>
    </row>
    <row r="78" spans="2:14" x14ac:dyDescent="0.25">
      <c r="B78" s="16" t="s">
        <v>758</v>
      </c>
      <c r="C78">
        <f t="shared" si="8"/>
        <v>0.18322899999999986</v>
      </c>
      <c r="D78">
        <f t="shared" si="9"/>
        <v>1.087275676993924</v>
      </c>
      <c r="E78">
        <f t="shared" si="10"/>
        <v>10</v>
      </c>
      <c r="F78">
        <f t="shared" si="11"/>
        <v>11</v>
      </c>
    </row>
    <row r="79" spans="2:14" ht="15.75" thickBot="1" x14ac:dyDescent="0.3">
      <c r="B79" s="16" t="s">
        <v>759</v>
      </c>
      <c r="C79">
        <f t="shared" si="8"/>
        <v>2.9681000000000068E-2</v>
      </c>
      <c r="D79">
        <f t="shared" si="9"/>
        <v>1.0130028295972633</v>
      </c>
      <c r="E79">
        <f t="shared" si="10"/>
        <v>25</v>
      </c>
      <c r="F79">
        <f t="shared" si="11"/>
        <v>25</v>
      </c>
    </row>
    <row r="80" spans="2:14" ht="15.75" thickBot="1" x14ac:dyDescent="0.3">
      <c r="B80" s="16" t="s">
        <v>760</v>
      </c>
      <c r="C80">
        <f t="shared" si="8"/>
        <v>0.11004499999999995</v>
      </c>
      <c r="D80">
        <f t="shared" si="9"/>
        <v>1.0475903609247437</v>
      </c>
      <c r="E80">
        <f t="shared" si="10"/>
        <v>15</v>
      </c>
      <c r="F80">
        <f t="shared" si="11"/>
        <v>17</v>
      </c>
      <c r="N80" s="96" t="s">
        <v>773</v>
      </c>
    </row>
    <row r="81" spans="2:14" x14ac:dyDescent="0.25">
      <c r="B81" s="16" t="s">
        <v>761</v>
      </c>
      <c r="C81">
        <f t="shared" si="8"/>
        <v>0.22860300000000011</v>
      </c>
      <c r="D81">
        <f t="shared" si="9"/>
        <v>1.0943711213296989</v>
      </c>
      <c r="E81">
        <f t="shared" si="10"/>
        <v>9</v>
      </c>
      <c r="F81">
        <f t="shared" si="11"/>
        <v>9</v>
      </c>
    </row>
    <row r="82" spans="2:14" x14ac:dyDescent="0.25">
      <c r="B82" s="16" t="s">
        <v>762</v>
      </c>
      <c r="C82">
        <f t="shared" si="8"/>
        <v>0.13700100000000015</v>
      </c>
      <c r="D82">
        <f t="shared" si="9"/>
        <v>1.0516792619802595</v>
      </c>
      <c r="E82">
        <f t="shared" si="10"/>
        <v>14</v>
      </c>
      <c r="F82">
        <f t="shared" si="11"/>
        <v>15</v>
      </c>
    </row>
    <row r="83" spans="2:14" x14ac:dyDescent="0.25">
      <c r="B83" s="16" t="s">
        <v>763</v>
      </c>
      <c r="C83">
        <f t="shared" si="8"/>
        <v>6.1457999999999569E-2</v>
      </c>
      <c r="D83">
        <f t="shared" si="9"/>
        <v>1.022043861754018</v>
      </c>
      <c r="E83">
        <f t="shared" si="10"/>
        <v>19</v>
      </c>
      <c r="F83">
        <f t="shared" si="11"/>
        <v>23</v>
      </c>
    </row>
    <row r="84" spans="2:14" x14ac:dyDescent="0.25">
      <c r="B84" s="16" t="s">
        <v>764</v>
      </c>
      <c r="C84">
        <f t="shared" si="8"/>
        <v>0.83731800000000023</v>
      </c>
      <c r="D84">
        <f t="shared" si="9"/>
        <v>1.2938530134815729</v>
      </c>
      <c r="E84">
        <f t="shared" si="10"/>
        <v>4</v>
      </c>
      <c r="F84" s="70">
        <f t="shared" si="11"/>
        <v>2</v>
      </c>
    </row>
    <row r="85" spans="2:14" x14ac:dyDescent="0.25">
      <c r="B85" s="16" t="s">
        <v>765</v>
      </c>
      <c r="C85">
        <f t="shared" si="8"/>
        <v>0.62917799999999957</v>
      </c>
      <c r="D85">
        <f t="shared" si="9"/>
        <v>1.1706586509629178</v>
      </c>
      <c r="E85">
        <f t="shared" si="10"/>
        <v>7</v>
      </c>
      <c r="F85">
        <f t="shared" si="11"/>
        <v>5</v>
      </c>
    </row>
    <row r="86" spans="2:14" x14ac:dyDescent="0.25">
      <c r="B86" s="16" t="s">
        <v>766</v>
      </c>
      <c r="C86">
        <f t="shared" si="8"/>
        <v>0.10236300000000043</v>
      </c>
      <c r="D86">
        <f t="shared" si="9"/>
        <v>1.0237174233846107</v>
      </c>
      <c r="E86">
        <f t="shared" si="10"/>
        <v>16</v>
      </c>
      <c r="F86">
        <f t="shared" si="11"/>
        <v>22</v>
      </c>
    </row>
    <row r="87" spans="2:14" x14ac:dyDescent="0.25">
      <c r="B87" s="16" t="s">
        <v>767</v>
      </c>
      <c r="C87">
        <f t="shared" si="8"/>
        <v>0.7371970000000001</v>
      </c>
      <c r="D87">
        <f t="shared" si="9"/>
        <v>1.1668506739237499</v>
      </c>
      <c r="E87">
        <f t="shared" si="10"/>
        <v>5</v>
      </c>
      <c r="F87">
        <f t="shared" si="11"/>
        <v>6</v>
      </c>
    </row>
    <row r="88" spans="2:14" x14ac:dyDescent="0.25">
      <c r="B88" s="16" t="s">
        <v>768</v>
      </c>
      <c r="C88">
        <f t="shared" si="8"/>
        <v>1.3102349999999996</v>
      </c>
      <c r="D88">
        <f t="shared" si="9"/>
        <v>1.2541430987987394</v>
      </c>
      <c r="E88">
        <f t="shared" si="10"/>
        <v>3</v>
      </c>
      <c r="F88">
        <f t="shared" si="11"/>
        <v>3</v>
      </c>
    </row>
    <row r="89" spans="2:14" x14ac:dyDescent="0.25">
      <c r="B89" s="16" t="s">
        <v>769</v>
      </c>
      <c r="C89">
        <f t="shared" si="8"/>
        <v>1.565474</v>
      </c>
      <c r="D89">
        <f t="shared" si="9"/>
        <v>1.2421184533361709</v>
      </c>
      <c r="E89" s="70">
        <f t="shared" si="10"/>
        <v>2</v>
      </c>
      <c r="F89">
        <f t="shared" si="11"/>
        <v>4</v>
      </c>
    </row>
    <row r="90" spans="2:14" x14ac:dyDescent="0.25">
      <c r="B90" s="16" t="s">
        <v>770</v>
      </c>
      <c r="C90">
        <f t="shared" si="8"/>
        <v>0.54681099999999994</v>
      </c>
      <c r="D90">
        <f t="shared" si="9"/>
        <v>1.0680857554465641</v>
      </c>
      <c r="E90">
        <f t="shared" si="10"/>
        <v>8</v>
      </c>
      <c r="F90">
        <f t="shared" si="11"/>
        <v>13</v>
      </c>
    </row>
    <row r="91" spans="2:14" x14ac:dyDescent="0.25">
      <c r="B91" s="16" t="s">
        <v>771</v>
      </c>
      <c r="C91">
        <f t="shared" si="8"/>
        <v>0.65568999999999988</v>
      </c>
      <c r="D91">
        <f t="shared" si="9"/>
        <v>1.0764383766372221</v>
      </c>
      <c r="E91">
        <f t="shared" si="10"/>
        <v>6</v>
      </c>
      <c r="F91">
        <f t="shared" si="11"/>
        <v>12</v>
      </c>
    </row>
    <row r="92" spans="2:14" x14ac:dyDescent="0.25">
      <c r="B92" s="16" t="s">
        <v>772</v>
      </c>
      <c r="C92">
        <f t="shared" si="8"/>
        <v>8.0310290000000002</v>
      </c>
      <c r="D92">
        <f t="shared" si="9"/>
        <v>1.8697509592838677</v>
      </c>
      <c r="E92" s="70">
        <f t="shared" si="10"/>
        <v>1</v>
      </c>
      <c r="F92" s="70">
        <f t="shared" si="11"/>
        <v>1</v>
      </c>
      <c r="N92" t="s">
        <v>901</v>
      </c>
    </row>
  </sheetData>
  <mergeCells count="3">
    <mergeCell ref="B2:F2"/>
    <mergeCell ref="B35:F35"/>
    <mergeCell ref="B65:F6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7FC3-EEB9-4727-A15D-D70CE3C9BB5A}">
  <sheetPr>
    <tabColor theme="8" tint="0.79998168889431442"/>
  </sheetPr>
  <dimension ref="A3:S62"/>
  <sheetViews>
    <sheetView topLeftCell="A13" workbookViewId="0">
      <selection activeCell="L78" sqref="L78:M78"/>
    </sheetView>
  </sheetViews>
  <sheetFormatPr defaultRowHeight="15" x14ac:dyDescent="0.25"/>
  <cols>
    <col min="2" max="4" width="11.5703125" customWidth="1"/>
    <col min="7" max="7" width="12" bestFit="1" customWidth="1"/>
  </cols>
  <sheetData>
    <row r="3" spans="2:14" x14ac:dyDescent="0.25">
      <c r="B3" s="163" t="s">
        <v>920</v>
      </c>
      <c r="C3" s="163"/>
      <c r="D3" s="163"/>
      <c r="E3" s="163"/>
      <c r="F3" s="163"/>
    </row>
    <row r="6" spans="2:14" x14ac:dyDescent="0.25">
      <c r="H6" t="s">
        <v>872</v>
      </c>
      <c r="J6" t="s">
        <v>873</v>
      </c>
      <c r="L6" t="s">
        <v>874</v>
      </c>
      <c r="N6" t="s">
        <v>875</v>
      </c>
    </row>
    <row r="7" spans="2:14" x14ac:dyDescent="0.25">
      <c r="G7" t="s">
        <v>263</v>
      </c>
      <c r="H7" s="40">
        <v>0</v>
      </c>
      <c r="I7" s="41" t="s">
        <v>784</v>
      </c>
      <c r="J7" s="42">
        <v>0.56127459999999996</v>
      </c>
      <c r="K7" s="41" t="s">
        <v>796</v>
      </c>
      <c r="L7" s="42">
        <v>0.53144899999999995</v>
      </c>
      <c r="M7" s="41" t="s">
        <v>782</v>
      </c>
      <c r="N7" s="42">
        <v>0.84294659999999999</v>
      </c>
    </row>
    <row r="8" spans="2:14" x14ac:dyDescent="0.25">
      <c r="I8" s="41" t="s">
        <v>785</v>
      </c>
      <c r="J8" s="42">
        <v>0.72049280000000004</v>
      </c>
      <c r="K8" s="41" t="s">
        <v>799</v>
      </c>
      <c r="L8" s="42">
        <v>0.53144899999999995</v>
      </c>
      <c r="M8" s="41" t="s">
        <v>786</v>
      </c>
      <c r="N8" s="42">
        <v>0.61170650000000004</v>
      </c>
    </row>
    <row r="9" spans="2:14" x14ac:dyDescent="0.25">
      <c r="I9" s="41" t="s">
        <v>789</v>
      </c>
      <c r="J9" s="42">
        <v>0.68900470000000003</v>
      </c>
      <c r="M9" s="41" t="s">
        <v>781</v>
      </c>
      <c r="N9" s="42">
        <v>0.82851960000000002</v>
      </c>
    </row>
    <row r="10" spans="2:14" x14ac:dyDescent="0.25">
      <c r="I10" s="41" t="s">
        <v>787</v>
      </c>
      <c r="J10" s="42">
        <v>0.66847299999999998</v>
      </c>
      <c r="M10" s="41" t="s">
        <v>792</v>
      </c>
      <c r="N10" s="42">
        <v>0.77560700000000005</v>
      </c>
    </row>
    <row r="11" spans="2:14" x14ac:dyDescent="0.25">
      <c r="I11" s="41" t="s">
        <v>791</v>
      </c>
      <c r="J11" s="42">
        <v>0.71052040000000005</v>
      </c>
      <c r="M11" s="41" t="s">
        <v>788</v>
      </c>
      <c r="N11" s="42">
        <v>0.69069579999999997</v>
      </c>
    </row>
    <row r="12" spans="2:14" x14ac:dyDescent="0.25">
      <c r="I12" s="41" t="s">
        <v>783</v>
      </c>
      <c r="J12" s="42">
        <v>1.1241620000000001</v>
      </c>
      <c r="M12" s="41" t="s">
        <v>795</v>
      </c>
      <c r="N12" s="42">
        <v>0.50303920000000002</v>
      </c>
    </row>
    <row r="13" spans="2:14" x14ac:dyDescent="0.25">
      <c r="I13" s="41" t="s">
        <v>790</v>
      </c>
      <c r="J13" s="42">
        <v>0.59509540000000005</v>
      </c>
      <c r="M13" s="41" t="s">
        <v>794</v>
      </c>
      <c r="N13" s="42">
        <v>0.79467120000000002</v>
      </c>
    </row>
    <row r="14" spans="2:14" x14ac:dyDescent="0.25">
      <c r="I14" s="41" t="s">
        <v>793</v>
      </c>
      <c r="J14" s="42">
        <v>0.47516520000000001</v>
      </c>
      <c r="M14" s="41" t="s">
        <v>797</v>
      </c>
      <c r="N14" s="42">
        <v>1.0323279999999999</v>
      </c>
    </row>
    <row r="15" spans="2:14" x14ac:dyDescent="0.25">
      <c r="I15" s="41" t="s">
        <v>802</v>
      </c>
      <c r="J15" s="42">
        <v>0.58780940000000004</v>
      </c>
      <c r="M15" s="41" t="s">
        <v>798</v>
      </c>
      <c r="N15" s="42">
        <v>0.82286170000000003</v>
      </c>
    </row>
    <row r="16" spans="2:14" x14ac:dyDescent="0.25">
      <c r="I16" s="41" t="s">
        <v>805</v>
      </c>
      <c r="J16" s="42">
        <v>0.73686390000000002</v>
      </c>
      <c r="M16" s="41" t="s">
        <v>800</v>
      </c>
      <c r="N16" s="42">
        <v>0.69780039999999999</v>
      </c>
    </row>
    <row r="17" spans="1:14" x14ac:dyDescent="0.25">
      <c r="M17" s="41" t="s">
        <v>803</v>
      </c>
      <c r="N17" s="42">
        <v>0.61370860000000005</v>
      </c>
    </row>
    <row r="18" spans="1:14" x14ac:dyDescent="0.25">
      <c r="M18" s="41" t="s">
        <v>806</v>
      </c>
      <c r="N18" s="42">
        <v>0.87503529999999996</v>
      </c>
    </row>
    <row r="19" spans="1:14" x14ac:dyDescent="0.25">
      <c r="M19" s="41" t="s">
        <v>801</v>
      </c>
      <c r="N19" s="42">
        <v>0.59460880000000005</v>
      </c>
    </row>
    <row r="20" spans="1:14" x14ac:dyDescent="0.25">
      <c r="M20" s="41" t="s">
        <v>804</v>
      </c>
      <c r="N20" s="42">
        <v>0.46519909999999998</v>
      </c>
    </row>
    <row r="21" spans="1:14" x14ac:dyDescent="0.25">
      <c r="M21" s="41" t="s">
        <v>807</v>
      </c>
      <c r="N21" s="42">
        <v>0.64277260000000003</v>
      </c>
    </row>
    <row r="24" spans="1:14" x14ac:dyDescent="0.25">
      <c r="A24" t="s">
        <v>876</v>
      </c>
    </row>
    <row r="25" spans="1:14" x14ac:dyDescent="0.25">
      <c r="J25" s="43" t="s">
        <v>877</v>
      </c>
      <c r="K25" s="44">
        <f>AVERAGE(H7)</f>
        <v>0</v>
      </c>
      <c r="L25" s="24" t="s">
        <v>878</v>
      </c>
      <c r="M25" s="24">
        <f>SUM(A27:A30)/3</f>
        <v>2.3023286666666665</v>
      </c>
    </row>
    <row r="26" spans="1:14" x14ac:dyDescent="0.25">
      <c r="J26" s="24" t="s">
        <v>879</v>
      </c>
      <c r="K26" s="44">
        <f>AVERAGE(J7:J16)</f>
        <v>0.68688614000000014</v>
      </c>
      <c r="L26" s="24" t="s">
        <v>880</v>
      </c>
      <c r="M26" s="24">
        <f>SUM(B27:B30)/3</f>
        <v>1.4597895999999999</v>
      </c>
    </row>
    <row r="27" spans="1:14" x14ac:dyDescent="0.25">
      <c r="A27" s="42">
        <v>0</v>
      </c>
      <c r="B27" s="45">
        <f>A28</f>
        <v>2.1913459999999998</v>
      </c>
      <c r="C27" s="45">
        <f>A29</f>
        <v>2.6777470000000001</v>
      </c>
      <c r="D27" s="45">
        <f>A30</f>
        <v>2.037893</v>
      </c>
      <c r="G27" s="42"/>
      <c r="H27" s="42"/>
      <c r="I27" s="42"/>
      <c r="J27" s="24" t="s">
        <v>881</v>
      </c>
      <c r="K27" s="44">
        <f>AVERAGE(L7:L8)</f>
        <v>0.53144899999999995</v>
      </c>
      <c r="L27" s="24" t="s">
        <v>882</v>
      </c>
      <c r="M27" s="24">
        <f>SUM(C27:C30)/3</f>
        <v>1.8676893333333335</v>
      </c>
    </row>
    <row r="28" spans="1:14" x14ac:dyDescent="0.25">
      <c r="A28" s="42">
        <v>2.1913459999999998</v>
      </c>
      <c r="B28" s="42">
        <v>0</v>
      </c>
      <c r="C28" s="45">
        <f>B29</f>
        <v>1.244623</v>
      </c>
      <c r="D28" s="45">
        <f>B30</f>
        <v>0.94339980000000001</v>
      </c>
      <c r="G28" s="42"/>
      <c r="H28" s="42"/>
      <c r="I28" s="42"/>
      <c r="J28" s="24" t="s">
        <v>883</v>
      </c>
      <c r="K28" s="44">
        <f>AVERAGE(N7:N21)</f>
        <v>0.71943336000000002</v>
      </c>
      <c r="L28" s="24" t="s">
        <v>884</v>
      </c>
      <c r="M28" s="24">
        <f>SUM(D27:D30)/3</f>
        <v>1.5539969333333332</v>
      </c>
      <c r="N28" s="25"/>
    </row>
    <row r="29" spans="1:14" x14ac:dyDescent="0.25">
      <c r="A29" s="42">
        <v>2.6777470000000001</v>
      </c>
      <c r="B29" s="42">
        <v>1.244623</v>
      </c>
      <c r="C29" s="42">
        <v>0</v>
      </c>
      <c r="D29" s="45">
        <f>C30</f>
        <v>1.680698</v>
      </c>
      <c r="G29" s="42"/>
      <c r="H29" s="42"/>
      <c r="I29" s="42"/>
      <c r="J29" s="24" t="s">
        <v>885</v>
      </c>
      <c r="K29" s="46">
        <f>AVERAGE(K25:K28)</f>
        <v>0.48444212500000006</v>
      </c>
      <c r="L29" s="24" t="s">
        <v>831</v>
      </c>
      <c r="M29" s="47">
        <f>AVERAGE(M25:M28)</f>
        <v>1.7959511333333333</v>
      </c>
    </row>
    <row r="30" spans="1:14" x14ac:dyDescent="0.25">
      <c r="A30" s="42">
        <v>2.037893</v>
      </c>
      <c r="B30" s="42">
        <v>0.94339980000000001</v>
      </c>
      <c r="C30" s="42">
        <v>1.680698</v>
      </c>
      <c r="D30" s="42">
        <v>0</v>
      </c>
      <c r="G30" s="42"/>
      <c r="H30" s="42"/>
      <c r="I30" s="42"/>
      <c r="J30" s="24"/>
      <c r="K30" s="24"/>
      <c r="L30" s="24"/>
      <c r="M30" s="48"/>
    </row>
    <row r="31" spans="1:14" x14ac:dyDescent="0.25">
      <c r="J31" s="24" t="s">
        <v>886</v>
      </c>
      <c r="K31">
        <f>K29/M29</f>
        <v>0.26974126189105296</v>
      </c>
    </row>
    <row r="33" spans="1:19" s="70" customFormat="1" x14ac:dyDescent="0.25"/>
    <row r="35" spans="1:19" x14ac:dyDescent="0.25">
      <c r="B35" s="165" t="s">
        <v>923</v>
      </c>
      <c r="C35" s="165"/>
      <c r="D35" s="165"/>
      <c r="E35" s="165"/>
      <c r="F35" s="165"/>
    </row>
    <row r="37" spans="1:19" x14ac:dyDescent="0.25">
      <c r="A37" s="42">
        <v>0</v>
      </c>
      <c r="B37" s="45">
        <v>0.97268350000000003</v>
      </c>
      <c r="C37" s="45">
        <v>1.1239790000000001</v>
      </c>
      <c r="D37" s="45">
        <v>2.1596929999999999</v>
      </c>
      <c r="G37" t="s">
        <v>775</v>
      </c>
      <c r="I37" t="s">
        <v>776</v>
      </c>
      <c r="K37" t="s">
        <v>777</v>
      </c>
      <c r="M37" t="s">
        <v>778</v>
      </c>
    </row>
    <row r="38" spans="1:19" x14ac:dyDescent="0.25">
      <c r="A38" s="42">
        <v>0.98624719999999999</v>
      </c>
      <c r="B38" s="42">
        <v>0</v>
      </c>
      <c r="C38" s="45">
        <v>0.81821880000000002</v>
      </c>
      <c r="D38" s="45">
        <v>1.4307989999999999</v>
      </c>
      <c r="F38" s="41" t="s">
        <v>781</v>
      </c>
      <c r="G38" s="42">
        <v>0.4675204</v>
      </c>
      <c r="H38" s="41" t="s">
        <v>782</v>
      </c>
      <c r="I38" s="42">
        <v>0.63485020000000003</v>
      </c>
      <c r="J38" s="41" t="s">
        <v>785</v>
      </c>
      <c r="K38" s="42">
        <v>0.66789160000000003</v>
      </c>
      <c r="L38" s="41" t="s">
        <v>784</v>
      </c>
      <c r="M38" s="42">
        <v>0.51827639999999997</v>
      </c>
    </row>
    <row r="39" spans="1:19" x14ac:dyDescent="0.25">
      <c r="A39" s="42">
        <v>1.060179</v>
      </c>
      <c r="B39" s="42">
        <v>0.90455450000000004</v>
      </c>
      <c r="C39" s="42">
        <v>0</v>
      </c>
      <c r="D39" s="45">
        <v>1.213544</v>
      </c>
      <c r="F39" s="41" t="s">
        <v>797</v>
      </c>
      <c r="G39" s="42">
        <v>0.49802229999999997</v>
      </c>
      <c r="H39" s="41" t="s">
        <v>786</v>
      </c>
      <c r="I39" s="42">
        <v>0.61216669999999995</v>
      </c>
      <c r="J39" s="41" t="s">
        <v>789</v>
      </c>
      <c r="K39" s="42">
        <v>0.6542019</v>
      </c>
      <c r="L39" s="41" t="s">
        <v>787</v>
      </c>
      <c r="M39" s="42">
        <v>0.61503260000000004</v>
      </c>
      <c r="P39" s="43" t="s">
        <v>877</v>
      </c>
      <c r="Q39" s="44">
        <f>AVERAGE(G38:G41)</f>
        <v>0.46960985</v>
      </c>
      <c r="R39" s="24" t="s">
        <v>878</v>
      </c>
      <c r="S39" s="24">
        <f>SUM(A43:A46)/3</f>
        <v>1.1720050666666666</v>
      </c>
    </row>
    <row r="40" spans="1:19" x14ac:dyDescent="0.25">
      <c r="A40" s="42">
        <v>1.469589</v>
      </c>
      <c r="B40" s="42">
        <v>1.1961599999999999</v>
      </c>
      <c r="C40" s="42">
        <v>1.1016090000000001</v>
      </c>
      <c r="D40" s="42">
        <v>0</v>
      </c>
      <c r="F40" s="41" t="s">
        <v>800</v>
      </c>
      <c r="G40" s="42">
        <v>0.44531559999999998</v>
      </c>
      <c r="H40" s="41" t="s">
        <v>792</v>
      </c>
      <c r="I40" s="42">
        <v>0.55394310000000002</v>
      </c>
      <c r="J40" s="41" t="s">
        <v>788</v>
      </c>
      <c r="K40" s="42">
        <v>0.58409880000000003</v>
      </c>
      <c r="L40" s="41" t="s">
        <v>783</v>
      </c>
      <c r="M40" s="42">
        <v>1.1971400000000001</v>
      </c>
      <c r="P40" s="24" t="s">
        <v>879</v>
      </c>
      <c r="Q40" s="44">
        <f>AVERAGE(I38:I45)</f>
        <v>0.56458917499999994</v>
      </c>
      <c r="R40" s="24" t="s">
        <v>880</v>
      </c>
      <c r="S40" s="24">
        <f>SUM(B43:B46)/3</f>
        <v>1.0289872266568734</v>
      </c>
    </row>
    <row r="41" spans="1:19" x14ac:dyDescent="0.25">
      <c r="F41" s="41" t="s">
        <v>807</v>
      </c>
      <c r="G41" s="42">
        <v>0.46758110000000003</v>
      </c>
      <c r="H41" s="41" t="s">
        <v>795</v>
      </c>
      <c r="I41" s="42">
        <v>0.4080222</v>
      </c>
      <c r="J41" s="41" t="s">
        <v>791</v>
      </c>
      <c r="K41" s="42">
        <v>0.49591089999999999</v>
      </c>
      <c r="L41" s="41" t="s">
        <v>790</v>
      </c>
      <c r="M41" s="42">
        <v>0.58086329999999997</v>
      </c>
      <c r="P41" s="24" t="s">
        <v>881</v>
      </c>
      <c r="Q41" s="44">
        <f>AVERAGE(K38:K44)</f>
        <v>0.69152121428571434</v>
      </c>
      <c r="R41" s="24" t="s">
        <v>882</v>
      </c>
      <c r="S41" s="24">
        <f>SUM(C43:C46)/3</f>
        <v>1.0221140781611457</v>
      </c>
    </row>
    <row r="42" spans="1:19" x14ac:dyDescent="0.25">
      <c r="H42" s="41" t="s">
        <v>794</v>
      </c>
      <c r="I42" s="42">
        <v>0.83297659999999996</v>
      </c>
      <c r="J42" s="41" t="s">
        <v>780</v>
      </c>
      <c r="K42" s="42">
        <v>1.5957460000000001</v>
      </c>
      <c r="L42" s="41" t="s">
        <v>793</v>
      </c>
      <c r="M42" s="42">
        <v>0.47165629999999997</v>
      </c>
      <c r="P42" s="24" t="s">
        <v>883</v>
      </c>
      <c r="Q42" s="44">
        <f>AVERAGE(M38:M46)</f>
        <v>0.75445429999999991</v>
      </c>
      <c r="R42" s="24" t="s">
        <v>884</v>
      </c>
      <c r="S42" s="24">
        <f>SUM(D43:D46)/3</f>
        <v>1.2557864120115887</v>
      </c>
    </row>
    <row r="43" spans="1:19" x14ac:dyDescent="0.25">
      <c r="A43" s="42">
        <v>0</v>
      </c>
      <c r="B43" s="45">
        <f>SQRT(B37)</f>
        <v>0.98624717997061973</v>
      </c>
      <c r="C43" s="45">
        <f t="shared" ref="C43:D45" si="0">SQRT(C37)</f>
        <v>1.0601787585119786</v>
      </c>
      <c r="D43" s="45">
        <f t="shared" si="0"/>
        <v>1.4695893984375363</v>
      </c>
      <c r="H43" s="41" t="s">
        <v>798</v>
      </c>
      <c r="I43" s="42">
        <v>0.57311869999999998</v>
      </c>
      <c r="J43" s="41" t="s">
        <v>803</v>
      </c>
      <c r="K43" s="42">
        <v>0.35096430000000001</v>
      </c>
      <c r="L43" s="41" t="s">
        <v>796</v>
      </c>
      <c r="M43" s="42">
        <v>0.57565849999999996</v>
      </c>
      <c r="P43" s="24" t="s">
        <v>885</v>
      </c>
      <c r="Q43" s="46">
        <f>AVERAGE(Q39:Q42)</f>
        <v>0.62004363482142855</v>
      </c>
      <c r="R43" s="24" t="s">
        <v>831</v>
      </c>
      <c r="S43" s="47">
        <f>AVERAGE(S39:S42)</f>
        <v>1.1197231958740685</v>
      </c>
    </row>
    <row r="44" spans="1:19" x14ac:dyDescent="0.25">
      <c r="A44" s="42">
        <v>0.98624719999999999</v>
      </c>
      <c r="B44" s="42">
        <v>0</v>
      </c>
      <c r="C44" s="45">
        <f t="shared" si="0"/>
        <v>0.90455447597145855</v>
      </c>
      <c r="D44" s="45">
        <f t="shared" si="0"/>
        <v>1.1961601063402842</v>
      </c>
      <c r="H44" s="41" t="s">
        <v>801</v>
      </c>
      <c r="I44" s="42">
        <v>0.39149850000000003</v>
      </c>
      <c r="J44" s="41" t="s">
        <v>806</v>
      </c>
      <c r="K44" s="42">
        <v>0.49183500000000002</v>
      </c>
      <c r="L44" s="41" t="s">
        <v>799</v>
      </c>
      <c r="M44" s="42">
        <v>1.4294819999999999</v>
      </c>
      <c r="P44" s="24"/>
      <c r="Q44" s="24"/>
      <c r="R44" s="24"/>
      <c r="S44" s="48"/>
    </row>
    <row r="45" spans="1:19" x14ac:dyDescent="0.25">
      <c r="A45" s="42">
        <v>1.060179</v>
      </c>
      <c r="B45" s="42">
        <v>0.90455450000000004</v>
      </c>
      <c r="C45" s="42">
        <v>0</v>
      </c>
      <c r="D45" s="45">
        <f t="shared" si="0"/>
        <v>1.1016097312569457</v>
      </c>
      <c r="H45" s="41" t="s">
        <v>804</v>
      </c>
      <c r="I45" s="42">
        <v>0.51013739999999996</v>
      </c>
      <c r="J45" s="24"/>
      <c r="K45" s="24"/>
      <c r="L45" s="41" t="s">
        <v>802</v>
      </c>
      <c r="M45" s="42">
        <v>0.72269309999999998</v>
      </c>
      <c r="P45" s="24" t="s">
        <v>886</v>
      </c>
      <c r="Q45">
        <f>Q43/S43</f>
        <v>0.55374724494960159</v>
      </c>
    </row>
    <row r="46" spans="1:19" x14ac:dyDescent="0.25">
      <c r="A46" s="42">
        <v>1.469589</v>
      </c>
      <c r="B46" s="42">
        <v>1.1961599999999999</v>
      </c>
      <c r="C46" s="42">
        <v>1.1016090000000001</v>
      </c>
      <c r="D46" s="42">
        <v>0</v>
      </c>
      <c r="I46" s="24"/>
      <c r="L46" s="41" t="s">
        <v>805</v>
      </c>
      <c r="M46" s="42">
        <v>0.67928650000000002</v>
      </c>
    </row>
    <row r="49" spans="1:19" s="70" customFormat="1" x14ac:dyDescent="0.25">
      <c r="H49" s="95"/>
    </row>
    <row r="51" spans="1:19" x14ac:dyDescent="0.25">
      <c r="B51" s="163" t="s">
        <v>921</v>
      </c>
      <c r="C51" s="163"/>
      <c r="D51" s="163"/>
      <c r="E51" s="163"/>
      <c r="F51" s="163"/>
    </row>
    <row r="53" spans="1:19" x14ac:dyDescent="0.25">
      <c r="A53" s="42">
        <v>0</v>
      </c>
      <c r="B53" s="45">
        <v>0.81821880000000002</v>
      </c>
      <c r="C53" s="45">
        <v>1.4307989999999999</v>
      </c>
      <c r="D53" s="45">
        <v>0.97268350000000003</v>
      </c>
      <c r="G53" t="s">
        <v>775</v>
      </c>
      <c r="I53" t="s">
        <v>776</v>
      </c>
      <c r="K53" t="s">
        <v>777</v>
      </c>
      <c r="M53" t="s">
        <v>778</v>
      </c>
    </row>
    <row r="54" spans="1:19" x14ac:dyDescent="0.25">
      <c r="A54" s="42">
        <v>0.90455450000000004</v>
      </c>
      <c r="B54" s="42">
        <v>0</v>
      </c>
      <c r="C54" s="45">
        <v>1.213544</v>
      </c>
      <c r="D54" s="45">
        <v>1.1239790000000001</v>
      </c>
      <c r="F54" s="41" t="s">
        <v>782</v>
      </c>
      <c r="G54" s="42">
        <v>0.63485020000000003</v>
      </c>
      <c r="H54" s="41" t="s">
        <v>785</v>
      </c>
      <c r="I54" s="42">
        <v>0.66789160000000003</v>
      </c>
      <c r="J54" s="41" t="s">
        <v>784</v>
      </c>
      <c r="K54" s="42">
        <v>0.51827639999999997</v>
      </c>
      <c r="L54" s="41" t="s">
        <v>781</v>
      </c>
      <c r="M54" s="42">
        <v>0.4675204</v>
      </c>
    </row>
    <row r="55" spans="1:19" x14ac:dyDescent="0.25">
      <c r="A55" s="42">
        <v>1.1961599999999999</v>
      </c>
      <c r="B55" s="42">
        <v>1.1016090000000001</v>
      </c>
      <c r="C55" s="42">
        <v>0</v>
      </c>
      <c r="D55" s="45">
        <v>2.1596929999999999</v>
      </c>
      <c r="F55" s="41" t="s">
        <v>786</v>
      </c>
      <c r="G55" s="42">
        <v>0.61216669999999995</v>
      </c>
      <c r="H55" s="41" t="s">
        <v>789</v>
      </c>
      <c r="I55" s="42">
        <v>0.6542019</v>
      </c>
      <c r="J55" s="41" t="s">
        <v>787</v>
      </c>
      <c r="K55" s="42">
        <v>0.61503260000000004</v>
      </c>
      <c r="L55" s="41" t="s">
        <v>797</v>
      </c>
      <c r="M55" s="42">
        <v>0.49802229999999997</v>
      </c>
      <c r="P55" s="43" t="s">
        <v>877</v>
      </c>
      <c r="Q55" s="44">
        <f>AVERAGE(G54:G61)</f>
        <v>0.56458917499999994</v>
      </c>
      <c r="R55" s="24" t="s">
        <v>878</v>
      </c>
      <c r="S55" s="24">
        <f>SUM(A59:A62)/3</f>
        <v>1.0289872333333332</v>
      </c>
    </row>
    <row r="56" spans="1:19" x14ac:dyDescent="0.25">
      <c r="A56" s="42">
        <v>0.98624719999999999</v>
      </c>
      <c r="B56" s="42">
        <v>1.060179</v>
      </c>
      <c r="C56" s="42">
        <v>1.469589</v>
      </c>
      <c r="D56" s="42">
        <v>0</v>
      </c>
      <c r="F56" s="41" t="s">
        <v>792</v>
      </c>
      <c r="G56" s="42">
        <v>0.55394310000000002</v>
      </c>
      <c r="H56" s="41" t="s">
        <v>788</v>
      </c>
      <c r="I56" s="42">
        <v>0.58409880000000003</v>
      </c>
      <c r="J56" s="41" t="s">
        <v>783</v>
      </c>
      <c r="K56" s="42">
        <v>1.1971400000000001</v>
      </c>
      <c r="L56" s="41" t="s">
        <v>800</v>
      </c>
      <c r="M56" s="42">
        <v>0.44531559999999998</v>
      </c>
      <c r="P56" s="24" t="s">
        <v>879</v>
      </c>
      <c r="Q56" s="44">
        <f>AVERAGE(I54:I60)</f>
        <v>0.69152121428571434</v>
      </c>
      <c r="R56" s="24" t="s">
        <v>880</v>
      </c>
      <c r="S56" s="24">
        <f>SUM(B59:B62)/3</f>
        <v>1.0221141586571527</v>
      </c>
    </row>
    <row r="57" spans="1:19" x14ac:dyDescent="0.25">
      <c r="F57" s="41" t="s">
        <v>795</v>
      </c>
      <c r="G57" s="42">
        <v>0.4080222</v>
      </c>
      <c r="H57" s="41" t="s">
        <v>791</v>
      </c>
      <c r="I57" s="42">
        <v>0.49591089999999999</v>
      </c>
      <c r="J57" s="41" t="s">
        <v>790</v>
      </c>
      <c r="K57" s="42">
        <v>0.58086329999999997</v>
      </c>
      <c r="L57" s="41" t="s">
        <v>807</v>
      </c>
      <c r="M57" s="42">
        <v>0.46758110000000003</v>
      </c>
      <c r="P57" s="24" t="s">
        <v>881</v>
      </c>
      <c r="Q57" s="44">
        <f>AVERAGE(K54:K62)</f>
        <v>0.75445429999999991</v>
      </c>
      <c r="R57" s="24" t="s">
        <v>882</v>
      </c>
      <c r="S57" s="24">
        <f>SUM(C59:C62)/3</f>
        <v>1.2557862791990766</v>
      </c>
    </row>
    <row r="58" spans="1:19" x14ac:dyDescent="0.25">
      <c r="F58" s="41" t="s">
        <v>794</v>
      </c>
      <c r="G58" s="42">
        <v>0.83297659999999996</v>
      </c>
      <c r="H58" s="41" t="s">
        <v>780</v>
      </c>
      <c r="I58" s="42">
        <v>1.5957460000000001</v>
      </c>
      <c r="J58" s="41" t="s">
        <v>793</v>
      </c>
      <c r="K58" s="42">
        <v>0.47165629999999997</v>
      </c>
      <c r="P58" s="24" t="s">
        <v>883</v>
      </c>
      <c r="Q58" s="44">
        <f>AVERAGE(M54:M57)</f>
        <v>0.46960985</v>
      </c>
      <c r="R58" s="24" t="s">
        <v>884</v>
      </c>
      <c r="S58" s="24">
        <f>SUM(D59:D62)/3</f>
        <v>1.1720051123067117</v>
      </c>
    </row>
    <row r="59" spans="1:19" x14ac:dyDescent="0.25">
      <c r="A59" s="42">
        <v>0</v>
      </c>
      <c r="B59" s="45">
        <f>SQRT(B53)</f>
        <v>0.90455447597145855</v>
      </c>
      <c r="C59" s="45">
        <f t="shared" ref="C59:D61" si="1">SQRT(C53)</f>
        <v>1.1961601063402842</v>
      </c>
      <c r="D59" s="45">
        <f t="shared" si="1"/>
        <v>0.98624717997061973</v>
      </c>
      <c r="F59" s="41" t="s">
        <v>798</v>
      </c>
      <c r="G59" s="42">
        <v>0.57311869999999998</v>
      </c>
      <c r="H59" s="41" t="s">
        <v>803</v>
      </c>
      <c r="I59" s="42">
        <v>0.35096430000000001</v>
      </c>
      <c r="J59" s="41" t="s">
        <v>796</v>
      </c>
      <c r="K59" s="42">
        <v>0.57565849999999996</v>
      </c>
      <c r="P59" s="24" t="s">
        <v>885</v>
      </c>
      <c r="Q59" s="46">
        <f>AVERAGE(Q55:Q58)</f>
        <v>0.62004363482142855</v>
      </c>
      <c r="R59" s="24" t="s">
        <v>831</v>
      </c>
      <c r="S59" s="47">
        <f>AVERAGE(S55:S58)</f>
        <v>1.1197231958740685</v>
      </c>
    </row>
    <row r="60" spans="1:19" x14ac:dyDescent="0.25">
      <c r="A60" s="42">
        <v>0.90455450000000004</v>
      </c>
      <c r="B60" s="42">
        <v>0</v>
      </c>
      <c r="C60" s="45">
        <f t="shared" si="1"/>
        <v>1.1016097312569457</v>
      </c>
      <c r="D60" s="45">
        <f t="shared" si="1"/>
        <v>1.0601787585119786</v>
      </c>
      <c r="F60" s="41" t="s">
        <v>801</v>
      </c>
      <c r="G60" s="42">
        <v>0.39149850000000003</v>
      </c>
      <c r="H60" s="41" t="s">
        <v>806</v>
      </c>
      <c r="I60" s="42">
        <v>0.49183500000000002</v>
      </c>
      <c r="J60" s="41" t="s">
        <v>799</v>
      </c>
      <c r="K60" s="42">
        <v>1.4294819999999999</v>
      </c>
      <c r="P60" s="24"/>
      <c r="Q60" s="24"/>
      <c r="R60" s="24"/>
      <c r="S60" s="48"/>
    </row>
    <row r="61" spans="1:19" x14ac:dyDescent="0.25">
      <c r="A61" s="42">
        <v>1.1961599999999999</v>
      </c>
      <c r="B61" s="42">
        <v>1.1016090000000001</v>
      </c>
      <c r="C61" s="42">
        <v>0</v>
      </c>
      <c r="D61" s="45">
        <f t="shared" si="1"/>
        <v>1.4695893984375363</v>
      </c>
      <c r="F61" s="41" t="s">
        <v>804</v>
      </c>
      <c r="G61" s="42">
        <v>0.51013739999999996</v>
      </c>
      <c r="J61" s="41" t="s">
        <v>802</v>
      </c>
      <c r="K61" s="42">
        <v>0.72269309999999998</v>
      </c>
      <c r="P61" s="24" t="s">
        <v>886</v>
      </c>
      <c r="Q61">
        <f>Q59/S59</f>
        <v>0.55374724494960159</v>
      </c>
    </row>
    <row r="62" spans="1:19" x14ac:dyDescent="0.25">
      <c r="A62" s="42">
        <v>0.98624719999999999</v>
      </c>
      <c r="B62" s="42">
        <v>1.060179</v>
      </c>
      <c r="C62" s="42">
        <v>1.469589</v>
      </c>
      <c r="D62" s="42">
        <v>0</v>
      </c>
      <c r="J62" s="41" t="s">
        <v>805</v>
      </c>
      <c r="K62" s="42">
        <v>0.67928650000000002</v>
      </c>
    </row>
  </sheetData>
  <mergeCells count="3">
    <mergeCell ref="B3:F3"/>
    <mergeCell ref="B35:F35"/>
    <mergeCell ref="B51:F5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4438-D8AB-4421-B7D4-9E8800DB7066}">
  <sheetPr>
    <tabColor theme="8" tint="0.79998168889431442"/>
  </sheetPr>
  <dimension ref="A1:Y75"/>
  <sheetViews>
    <sheetView topLeftCell="A28" zoomScaleNormal="100" workbookViewId="0">
      <selection activeCell="L78" sqref="L78:M78"/>
    </sheetView>
  </sheetViews>
  <sheetFormatPr defaultRowHeight="15" x14ac:dyDescent="0.25"/>
  <cols>
    <col min="1" max="1" width="11.140625" customWidth="1"/>
    <col min="2" max="2" width="13.28515625" customWidth="1"/>
    <col min="3" max="3" width="11.7109375" customWidth="1"/>
    <col min="4" max="4" width="12.7109375" customWidth="1"/>
    <col min="5" max="5" width="11.5703125" customWidth="1"/>
    <col min="10" max="10" width="11.28515625" customWidth="1"/>
    <col min="12" max="12" width="12.140625" customWidth="1"/>
    <col min="16" max="16" width="12.5703125" customWidth="1"/>
    <col min="19" max="19" width="11.42578125" customWidth="1"/>
  </cols>
  <sheetData>
    <row r="1" spans="1:7" hidden="1" x14ac:dyDescent="0.25"/>
    <row r="2" spans="1:7" hidden="1" x14ac:dyDescent="0.25"/>
    <row r="3" spans="1:7" hidden="1" x14ac:dyDescent="0.25"/>
    <row r="4" spans="1:7" hidden="1" x14ac:dyDescent="0.25"/>
    <row r="5" spans="1:7" hidden="1" x14ac:dyDescent="0.25"/>
    <row r="6" spans="1:7" ht="6.75" hidden="1" customHeight="1" x14ac:dyDescent="0.25"/>
    <row r="8" spans="1:7" x14ac:dyDescent="0.25">
      <c r="C8" s="163" t="s">
        <v>922</v>
      </c>
      <c r="D8" s="163"/>
      <c r="E8" s="163"/>
      <c r="F8" s="163"/>
      <c r="G8" s="163"/>
    </row>
    <row r="10" spans="1:7" x14ac:dyDescent="0.25">
      <c r="A10" s="19">
        <v>0</v>
      </c>
      <c r="B10" s="19">
        <v>0</v>
      </c>
      <c r="C10" s="49">
        <v>2.4031600000000002</v>
      </c>
      <c r="D10" s="49">
        <v>1.495959</v>
      </c>
      <c r="E10" s="49">
        <v>3.0931449999999998</v>
      </c>
      <c r="F10" s="49">
        <v>7.1703299999999999</v>
      </c>
    </row>
    <row r="11" spans="1:7" x14ac:dyDescent="0.25">
      <c r="A11" s="19">
        <v>1.5502130000000001</v>
      </c>
      <c r="B11" s="19">
        <v>1.5502130000000001</v>
      </c>
      <c r="C11" s="19">
        <v>0</v>
      </c>
      <c r="D11" s="49">
        <v>0.92279350000000004</v>
      </c>
      <c r="E11" s="49">
        <v>0.5903988</v>
      </c>
      <c r="F11" s="49">
        <v>3.8972380000000002</v>
      </c>
    </row>
    <row r="12" spans="1:7" x14ac:dyDescent="0.25">
      <c r="A12" s="19">
        <v>1.2230939999999999</v>
      </c>
      <c r="B12" s="19">
        <v>1.2230939999999999</v>
      </c>
      <c r="C12" s="19">
        <v>0.96062139999999996</v>
      </c>
      <c r="D12" s="19">
        <v>0</v>
      </c>
      <c r="E12" s="49">
        <v>1.482175</v>
      </c>
      <c r="F12" s="49">
        <v>5.422085</v>
      </c>
    </row>
    <row r="13" spans="1:7" x14ac:dyDescent="0.25">
      <c r="A13" s="19">
        <v>1.758734</v>
      </c>
      <c r="B13" s="19">
        <v>1.758734</v>
      </c>
      <c r="C13" s="19">
        <v>0.76837409999999995</v>
      </c>
      <c r="D13" s="19">
        <v>1.217446</v>
      </c>
      <c r="E13" s="19">
        <v>0</v>
      </c>
      <c r="F13" s="49">
        <v>4.3949009999999999</v>
      </c>
    </row>
    <row r="14" spans="1:7" x14ac:dyDescent="0.25">
      <c r="A14" s="19">
        <v>2.6777470000000001</v>
      </c>
      <c r="B14" s="19">
        <v>2.6777470000000001</v>
      </c>
      <c r="C14" s="19">
        <v>1.9741420000000001</v>
      </c>
      <c r="D14" s="19">
        <v>2.3285369999999999</v>
      </c>
      <c r="E14" s="19">
        <v>2.0964019999999999</v>
      </c>
      <c r="F14" s="19">
        <v>0</v>
      </c>
    </row>
    <row r="17" spans="1:22" x14ac:dyDescent="0.25">
      <c r="A17" s="19">
        <v>0</v>
      </c>
      <c r="B17" s="19">
        <v>0</v>
      </c>
      <c r="C17" s="49">
        <f>SQRT(C10)</f>
        <v>1.550212888605949</v>
      </c>
      <c r="D17" s="49">
        <f t="shared" ref="D17:F20" si="0">SQRT(D10)</f>
        <v>1.2230940274565976</v>
      </c>
      <c r="E17" s="49">
        <f t="shared" si="0"/>
        <v>1.7587339196137657</v>
      </c>
      <c r="F17" s="49">
        <f t="shared" si="0"/>
        <v>2.6777471874693473</v>
      </c>
      <c r="I17" t="s">
        <v>775</v>
      </c>
      <c r="K17" t="s">
        <v>776</v>
      </c>
      <c r="M17" t="s">
        <v>777</v>
      </c>
      <c r="O17" t="s">
        <v>778</v>
      </c>
      <c r="Q17" t="s">
        <v>779</v>
      </c>
    </row>
    <row r="18" spans="1:22" x14ac:dyDescent="0.25">
      <c r="A18" s="19">
        <v>1.5502130000000001</v>
      </c>
      <c r="B18" s="19">
        <v>1.5502130000000001</v>
      </c>
      <c r="C18" s="19">
        <v>0</v>
      </c>
      <c r="D18" s="49">
        <f t="shared" si="0"/>
        <v>0.96062141346109919</v>
      </c>
      <c r="E18" s="49">
        <f t="shared" si="0"/>
        <v>0.7683741276227356</v>
      </c>
      <c r="F18" s="49">
        <f t="shared" si="0"/>
        <v>1.9741423454249696</v>
      </c>
      <c r="G18" s="17"/>
      <c r="H18" s="17" t="s">
        <v>796</v>
      </c>
      <c r="I18" s="19">
        <v>0.53144899999999995</v>
      </c>
      <c r="J18" s="17" t="s">
        <v>785</v>
      </c>
      <c r="K18" s="19">
        <v>0.48628359999999998</v>
      </c>
      <c r="L18" s="17" t="s">
        <v>784</v>
      </c>
      <c r="M18" s="19">
        <v>0.52384640000000005</v>
      </c>
      <c r="N18" s="17" t="s">
        <v>782</v>
      </c>
      <c r="O18" s="19">
        <v>0.68038149999999997</v>
      </c>
      <c r="P18" s="17" t="s">
        <v>780</v>
      </c>
      <c r="Q18" s="18">
        <v>0</v>
      </c>
    </row>
    <row r="19" spans="1:22" x14ac:dyDescent="0.25">
      <c r="A19" s="19">
        <v>1.2230939999999999</v>
      </c>
      <c r="B19" s="19">
        <v>1.2230939999999999</v>
      </c>
      <c r="C19" s="19">
        <v>0.96062139999999996</v>
      </c>
      <c r="D19" s="19">
        <v>0</v>
      </c>
      <c r="E19" s="49">
        <f t="shared" si="0"/>
        <v>1.2174460973694072</v>
      </c>
      <c r="F19" s="49">
        <f t="shared" si="0"/>
        <v>2.3285370944006885</v>
      </c>
      <c r="G19" s="17"/>
      <c r="H19" s="17" t="s">
        <v>799</v>
      </c>
      <c r="I19" s="19">
        <v>0.53144899999999995</v>
      </c>
      <c r="J19" s="17" t="s">
        <v>789</v>
      </c>
      <c r="K19" s="19">
        <v>0.72926340000000001</v>
      </c>
      <c r="L19" s="17" t="s">
        <v>787</v>
      </c>
      <c r="M19" s="19">
        <v>0.71495160000000002</v>
      </c>
      <c r="N19" s="17" t="s">
        <v>786</v>
      </c>
      <c r="O19" s="19">
        <v>0.54809300000000005</v>
      </c>
      <c r="S19" s="43" t="s">
        <v>877</v>
      </c>
      <c r="T19" s="44">
        <f>AVERAGE(I18:I19)</f>
        <v>0.53144899999999995</v>
      </c>
      <c r="U19" s="24" t="s">
        <v>878</v>
      </c>
      <c r="V19" s="24">
        <f>SUM($B17:$F17)/4</f>
        <v>1.8024470057864148</v>
      </c>
    </row>
    <row r="20" spans="1:22" x14ac:dyDescent="0.25">
      <c r="A20" s="19">
        <v>1.758734</v>
      </c>
      <c r="B20" s="19">
        <v>1.758734</v>
      </c>
      <c r="C20" s="19">
        <v>0.76837409999999995</v>
      </c>
      <c r="D20" s="19">
        <v>1.217446</v>
      </c>
      <c r="E20" s="19">
        <v>0</v>
      </c>
      <c r="F20" s="49">
        <f t="shared" si="0"/>
        <v>2.0964019175721051</v>
      </c>
      <c r="J20" s="17" t="s">
        <v>788</v>
      </c>
      <c r="K20" s="19">
        <v>0.32446570000000002</v>
      </c>
      <c r="L20" s="17" t="s">
        <v>783</v>
      </c>
      <c r="M20" s="19">
        <v>1.1037509999999999</v>
      </c>
      <c r="N20" s="17" t="s">
        <v>781</v>
      </c>
      <c r="O20" s="19">
        <v>0.88952260000000005</v>
      </c>
      <c r="S20" s="24" t="s">
        <v>879</v>
      </c>
      <c r="T20" s="44">
        <f>AVERAGE(K18:K25)</f>
        <v>0.53209212500000003</v>
      </c>
      <c r="U20" s="24" t="s">
        <v>880</v>
      </c>
      <c r="V20" s="24">
        <f>SUM($B18:$F18)/4</f>
        <v>1.3133377216272011</v>
      </c>
    </row>
    <row r="21" spans="1:22" x14ac:dyDescent="0.25">
      <c r="A21" s="19">
        <v>2.6777470000000001</v>
      </c>
      <c r="B21" s="19">
        <v>2.6777470000000001</v>
      </c>
      <c r="C21" s="19">
        <v>1.9741420000000001</v>
      </c>
      <c r="D21" s="19">
        <v>2.3285369999999999</v>
      </c>
      <c r="E21" s="19">
        <v>2.0964019999999999</v>
      </c>
      <c r="F21" s="19">
        <v>0</v>
      </c>
      <c r="J21" s="17" t="s">
        <v>791</v>
      </c>
      <c r="K21" s="19">
        <v>0.38699630000000002</v>
      </c>
      <c r="L21" s="17" t="s">
        <v>790</v>
      </c>
      <c r="M21" s="19">
        <v>0.51047180000000003</v>
      </c>
      <c r="N21" s="17" t="s">
        <v>792</v>
      </c>
      <c r="O21" s="19">
        <v>0.71100929999999996</v>
      </c>
      <c r="S21" s="24" t="s">
        <v>881</v>
      </c>
      <c r="T21" s="44">
        <f>AVERAGE(M18:M24)</f>
        <v>0.63062211428571424</v>
      </c>
      <c r="U21" s="24" t="s">
        <v>882</v>
      </c>
      <c r="V21" s="24">
        <f>SUM($B19:$F19)/4</f>
        <v>1.4324246479425238</v>
      </c>
    </row>
    <row r="22" spans="1:22" x14ac:dyDescent="0.25">
      <c r="J22" s="17" t="s">
        <v>794</v>
      </c>
      <c r="K22" s="19">
        <v>0.66381250000000003</v>
      </c>
      <c r="L22" s="17" t="s">
        <v>793</v>
      </c>
      <c r="M22" s="19">
        <v>0.38097219999999998</v>
      </c>
      <c r="N22" s="17" t="s">
        <v>795</v>
      </c>
      <c r="O22" s="19">
        <v>0.55078309999999997</v>
      </c>
      <c r="S22" s="24" t="s">
        <v>883</v>
      </c>
      <c r="T22" s="44">
        <f>AVERAGE(O18:O27)</f>
        <v>0.66820350999999989</v>
      </c>
      <c r="U22" s="24" t="s">
        <v>884</v>
      </c>
      <c r="V22" s="24">
        <f>SUM($B20:$F20)/4</f>
        <v>1.4602390043930265</v>
      </c>
    </row>
    <row r="23" spans="1:22" x14ac:dyDescent="0.25">
      <c r="J23" s="17" t="s">
        <v>803</v>
      </c>
      <c r="K23" s="19">
        <v>0.35780139999999999</v>
      </c>
      <c r="L23" s="17" t="s">
        <v>802</v>
      </c>
      <c r="M23" s="19">
        <v>0.60222850000000006</v>
      </c>
      <c r="N23" s="17" t="s">
        <v>797</v>
      </c>
      <c r="O23" s="19">
        <v>0.98667479999999996</v>
      </c>
      <c r="S23" s="24" t="s">
        <v>887</v>
      </c>
      <c r="T23" s="46">
        <f>AVERAGE(Q18)</f>
        <v>0</v>
      </c>
      <c r="U23" s="24" t="s">
        <v>888</v>
      </c>
      <c r="V23" s="24">
        <f>SUM($B21:$F21)/4</f>
        <v>2.2692070000000002</v>
      </c>
    </row>
    <row r="24" spans="1:22" x14ac:dyDescent="0.25">
      <c r="J24" s="17" t="s">
        <v>806</v>
      </c>
      <c r="K24" s="19">
        <v>0.63937929999999998</v>
      </c>
      <c r="L24" s="17" t="s">
        <v>805</v>
      </c>
      <c r="M24" s="19">
        <v>0.57813329999999996</v>
      </c>
      <c r="N24" s="17" t="s">
        <v>798</v>
      </c>
      <c r="O24" s="19">
        <v>0.78035549999999998</v>
      </c>
      <c r="S24" s="24" t="s">
        <v>885</v>
      </c>
      <c r="T24" s="44">
        <f>AVERAGE(T19:T23)</f>
        <v>0.47247334985714284</v>
      </c>
      <c r="U24" s="24" t="s">
        <v>831</v>
      </c>
      <c r="V24" s="47">
        <f>AVERAGE(V19:V23)</f>
        <v>1.6555310759498334</v>
      </c>
    </row>
    <row r="25" spans="1:22" x14ac:dyDescent="0.25">
      <c r="J25" s="17" t="s">
        <v>807</v>
      </c>
      <c r="K25" s="19">
        <v>0.66873479999999996</v>
      </c>
      <c r="N25" s="17" t="s">
        <v>800</v>
      </c>
      <c r="O25" s="19">
        <v>0.64807139999999996</v>
      </c>
      <c r="S25" s="24" t="s">
        <v>886</v>
      </c>
      <c r="T25">
        <f>T24/V24</f>
        <v>0.28539080704726072</v>
      </c>
    </row>
    <row r="26" spans="1:22" x14ac:dyDescent="0.25">
      <c r="N26" s="17" t="s">
        <v>801</v>
      </c>
      <c r="O26" s="19">
        <v>0.47430699999999998</v>
      </c>
    </row>
    <row r="27" spans="1:22" x14ac:dyDescent="0.25">
      <c r="N27" s="17" t="s">
        <v>804</v>
      </c>
      <c r="O27" s="19">
        <v>0.41283690000000001</v>
      </c>
    </row>
    <row r="29" spans="1:22" s="70" customFormat="1" x14ac:dyDescent="0.25"/>
    <row r="31" spans="1:22" x14ac:dyDescent="0.25">
      <c r="C31" s="163" t="s">
        <v>923</v>
      </c>
      <c r="D31" s="163"/>
      <c r="E31" s="163"/>
      <c r="F31" s="163"/>
      <c r="G31" s="163"/>
    </row>
    <row r="34" spans="1:21" x14ac:dyDescent="0.25">
      <c r="A34" s="19">
        <v>0</v>
      </c>
      <c r="B34" s="49">
        <v>4.0236590000000003</v>
      </c>
      <c r="C34" s="49">
        <v>4.3700799999999997</v>
      </c>
      <c r="D34" s="49">
        <v>7.7947480000000002</v>
      </c>
      <c r="E34" s="49">
        <v>5.4732180000000001</v>
      </c>
    </row>
    <row r="35" spans="1:21" x14ac:dyDescent="0.25">
      <c r="A35" s="19">
        <v>2.005906</v>
      </c>
      <c r="B35" s="19">
        <v>0</v>
      </c>
      <c r="C35" s="49">
        <v>0.60621749999999996</v>
      </c>
      <c r="D35" s="49">
        <v>2.623764</v>
      </c>
      <c r="E35" s="49">
        <v>1.3030980000000001</v>
      </c>
    </row>
    <row r="36" spans="1:21" x14ac:dyDescent="0.25">
      <c r="A36" s="19">
        <v>2.0904739999999999</v>
      </c>
      <c r="B36" s="19">
        <v>0.77859970000000001</v>
      </c>
      <c r="C36" s="19">
        <v>0</v>
      </c>
      <c r="D36" s="49">
        <v>2.3293149999999998</v>
      </c>
      <c r="E36" s="49">
        <v>1.4748319999999999</v>
      </c>
    </row>
    <row r="37" spans="1:21" x14ac:dyDescent="0.25">
      <c r="A37" s="19">
        <v>2.7919079999999998</v>
      </c>
      <c r="B37" s="19">
        <v>1.619804</v>
      </c>
      <c r="C37" s="19">
        <v>1.5262089999999999</v>
      </c>
      <c r="D37" s="19">
        <v>0</v>
      </c>
      <c r="E37" s="49">
        <v>1.8138240000000001</v>
      </c>
    </row>
    <row r="38" spans="1:21" x14ac:dyDescent="0.25">
      <c r="A38" s="19">
        <v>2.3394910000000002</v>
      </c>
      <c r="B38" s="19">
        <v>1.1415329999999999</v>
      </c>
      <c r="C38" s="19">
        <v>1.2144269999999999</v>
      </c>
      <c r="D38" s="19">
        <v>1.3467830000000001</v>
      </c>
      <c r="E38" s="19">
        <v>0</v>
      </c>
    </row>
    <row r="41" spans="1:21" x14ac:dyDescent="0.25">
      <c r="A41" s="19">
        <v>0</v>
      </c>
      <c r="B41" s="49">
        <f>SQRT(B34)</f>
        <v>2.005906029703286</v>
      </c>
      <c r="C41" s="49">
        <f t="shared" ref="C41:E44" si="1">SQRT(C34)</f>
        <v>2.0904736305440448</v>
      </c>
      <c r="D41" s="49">
        <f t="shared" si="1"/>
        <v>2.7919075915939624</v>
      </c>
      <c r="E41" s="49">
        <f t="shared" si="1"/>
        <v>2.3394909702753717</v>
      </c>
      <c r="H41" t="s">
        <v>775</v>
      </c>
      <c r="J41" t="s">
        <v>776</v>
      </c>
      <c r="L41" t="s">
        <v>777</v>
      </c>
      <c r="N41" t="s">
        <v>778</v>
      </c>
      <c r="P41" t="s">
        <v>779</v>
      </c>
    </row>
    <row r="42" spans="1:21" x14ac:dyDescent="0.25">
      <c r="A42" s="19">
        <v>2.005906</v>
      </c>
      <c r="B42" s="19">
        <v>0</v>
      </c>
      <c r="C42" s="49">
        <f t="shared" si="1"/>
        <v>0.77859970459794037</v>
      </c>
      <c r="D42" s="49">
        <f t="shared" si="1"/>
        <v>1.619803691809597</v>
      </c>
      <c r="E42" s="49">
        <f t="shared" si="1"/>
        <v>1.1415331795440726</v>
      </c>
      <c r="G42" s="17" t="s">
        <v>780</v>
      </c>
      <c r="H42" s="18">
        <v>0</v>
      </c>
      <c r="I42" s="17" t="s">
        <v>781</v>
      </c>
      <c r="J42" s="19">
        <v>0.75028950000000005</v>
      </c>
      <c r="K42" s="17" t="s">
        <v>782</v>
      </c>
      <c r="L42" s="19">
        <v>0.59503139999999999</v>
      </c>
      <c r="M42" s="17" t="s">
        <v>783</v>
      </c>
      <c r="N42" s="18">
        <v>0</v>
      </c>
      <c r="O42" s="17" t="s">
        <v>784</v>
      </c>
      <c r="P42" s="19">
        <v>0.47839900000000002</v>
      </c>
    </row>
    <row r="43" spans="1:21" x14ac:dyDescent="0.25">
      <c r="A43" s="19">
        <v>2.0904739999999999</v>
      </c>
      <c r="B43" s="19">
        <v>0.77859970000000001</v>
      </c>
      <c r="C43" s="19">
        <v>0</v>
      </c>
      <c r="D43" s="49">
        <f t="shared" si="1"/>
        <v>1.5262093565431971</v>
      </c>
      <c r="E43" s="49">
        <f t="shared" si="1"/>
        <v>1.214426613674124</v>
      </c>
      <c r="G43" s="17"/>
      <c r="H43" s="19"/>
      <c r="I43" s="17" t="s">
        <v>785</v>
      </c>
      <c r="J43" s="19">
        <v>0.60160060000000004</v>
      </c>
      <c r="K43" s="17" t="s">
        <v>786</v>
      </c>
      <c r="L43" s="19">
        <v>0.558083</v>
      </c>
      <c r="M43" s="17"/>
      <c r="N43" s="19"/>
      <c r="O43" s="17" t="s">
        <v>787</v>
      </c>
      <c r="P43" s="19">
        <v>0.56394650000000002</v>
      </c>
      <c r="R43" s="43" t="s">
        <v>877</v>
      </c>
      <c r="S43" s="44">
        <f>AVERAGE(H42)</f>
        <v>0</v>
      </c>
      <c r="T43" s="24" t="s">
        <v>878</v>
      </c>
      <c r="U43" s="24">
        <f>SUM($A41:$E41)/4</f>
        <v>2.3069445555291663</v>
      </c>
    </row>
    <row r="44" spans="1:21" x14ac:dyDescent="0.25">
      <c r="A44" s="19">
        <v>2.7919079999999998</v>
      </c>
      <c r="B44" s="19">
        <v>1.619804</v>
      </c>
      <c r="C44" s="19">
        <v>1.5262089999999999</v>
      </c>
      <c r="D44" s="19">
        <v>0</v>
      </c>
      <c r="E44" s="49">
        <f t="shared" si="1"/>
        <v>1.3467828332734273</v>
      </c>
      <c r="I44" s="17" t="s">
        <v>788</v>
      </c>
      <c r="J44" s="19">
        <v>0.34551409999999999</v>
      </c>
      <c r="K44" s="17" t="s">
        <v>789</v>
      </c>
      <c r="L44" s="19">
        <v>0.70315559999999999</v>
      </c>
      <c r="M44" s="17"/>
      <c r="N44" s="19"/>
      <c r="O44" s="17" t="s">
        <v>790</v>
      </c>
      <c r="P44" s="19">
        <v>0.62440499999999999</v>
      </c>
      <c r="R44" s="24" t="s">
        <v>879</v>
      </c>
      <c r="S44" s="44">
        <f>AVERAGE(J42:J51)</f>
        <v>0.65865934999999987</v>
      </c>
      <c r="T44" s="24" t="s">
        <v>880</v>
      </c>
      <c r="U44" s="24">
        <f t="shared" ref="U44:U47" si="2">SUM($A42:$E42)/4</f>
        <v>1.3864606439879026</v>
      </c>
    </row>
    <row r="45" spans="1:21" x14ac:dyDescent="0.25">
      <c r="A45" s="19">
        <v>2.3394910000000002</v>
      </c>
      <c r="B45" s="19">
        <v>1.1415329999999999</v>
      </c>
      <c r="C45" s="19">
        <v>1.2144269999999999</v>
      </c>
      <c r="D45" s="19">
        <v>1.3467830000000001</v>
      </c>
      <c r="E45" s="19">
        <v>0</v>
      </c>
      <c r="I45" s="17" t="s">
        <v>791</v>
      </c>
      <c r="J45" s="19">
        <v>0.63722760000000001</v>
      </c>
      <c r="K45" s="17" t="s">
        <v>792</v>
      </c>
      <c r="L45" s="19">
        <v>0.53568740000000004</v>
      </c>
      <c r="M45" s="17"/>
      <c r="N45" s="19"/>
      <c r="O45" s="17" t="s">
        <v>793</v>
      </c>
      <c r="P45" s="19">
        <v>0.4405655</v>
      </c>
      <c r="R45" s="24" t="s">
        <v>881</v>
      </c>
      <c r="S45" s="44">
        <f>AVERAGE(L42:L49)</f>
        <v>0.54789399999999999</v>
      </c>
      <c r="T45" s="24" t="s">
        <v>882</v>
      </c>
      <c r="U45" s="24">
        <f t="shared" si="2"/>
        <v>1.4024274175543301</v>
      </c>
    </row>
    <row r="46" spans="1:21" x14ac:dyDescent="0.25">
      <c r="I46" s="17" t="s">
        <v>794</v>
      </c>
      <c r="J46" s="19">
        <v>0.77682759999999995</v>
      </c>
      <c r="K46" s="17" t="s">
        <v>795</v>
      </c>
      <c r="L46" s="19">
        <v>0.50609899999999997</v>
      </c>
      <c r="M46" s="17"/>
      <c r="N46" s="19"/>
      <c r="O46" s="17" t="s">
        <v>796</v>
      </c>
      <c r="P46" s="19">
        <v>0.54371800000000003</v>
      </c>
      <c r="R46" s="24" t="s">
        <v>883</v>
      </c>
      <c r="S46" s="44">
        <f>AVERAGE(N42)</f>
        <v>0</v>
      </c>
      <c r="T46" s="24" t="s">
        <v>884</v>
      </c>
      <c r="U46" s="24">
        <f t="shared" si="2"/>
        <v>1.8211759583183567</v>
      </c>
    </row>
    <row r="47" spans="1:21" x14ac:dyDescent="0.25">
      <c r="I47" s="17" t="s">
        <v>797</v>
      </c>
      <c r="J47" s="19">
        <v>1.007334</v>
      </c>
      <c r="K47" s="17" t="s">
        <v>798</v>
      </c>
      <c r="L47" s="19">
        <v>0.61142339999999995</v>
      </c>
      <c r="M47" s="17"/>
      <c r="N47" s="19"/>
      <c r="O47" s="17" t="s">
        <v>799</v>
      </c>
      <c r="P47" s="19">
        <v>1.367955</v>
      </c>
      <c r="R47" s="24" t="s">
        <v>887</v>
      </c>
      <c r="S47" s="46">
        <f>AVERAGE(P42:P49)</f>
        <v>0.6866070125</v>
      </c>
      <c r="T47" s="24" t="s">
        <v>888</v>
      </c>
      <c r="U47" s="24">
        <f t="shared" si="2"/>
        <v>1.5105585000000001</v>
      </c>
    </row>
    <row r="48" spans="1:21" ht="15.75" thickBot="1" x14ac:dyDescent="0.3">
      <c r="I48" s="17" t="s">
        <v>800</v>
      </c>
      <c r="J48" s="19">
        <v>0.76669600000000004</v>
      </c>
      <c r="K48" s="17" t="s">
        <v>801</v>
      </c>
      <c r="L48" s="19">
        <v>0.45262770000000002</v>
      </c>
      <c r="M48" s="17"/>
      <c r="N48" s="19"/>
      <c r="O48" s="17" t="s">
        <v>802</v>
      </c>
      <c r="P48" s="19">
        <v>0.76979419999999998</v>
      </c>
      <c r="R48" s="24" t="s">
        <v>885</v>
      </c>
      <c r="S48" s="44">
        <f>AVERAGE(S43:S47)</f>
        <v>0.37863207249999997</v>
      </c>
      <c r="T48" s="24" t="s">
        <v>831</v>
      </c>
      <c r="U48" s="47">
        <f>AVERAGE(U43:U47)</f>
        <v>1.6855134150779514</v>
      </c>
    </row>
    <row r="49" spans="1:25" ht="15.75" customHeight="1" x14ac:dyDescent="0.25">
      <c r="I49" s="17" t="s">
        <v>803</v>
      </c>
      <c r="J49" s="19">
        <v>0.54223220000000005</v>
      </c>
      <c r="K49" s="17" t="s">
        <v>804</v>
      </c>
      <c r="L49" s="19">
        <v>0.42104449999999999</v>
      </c>
      <c r="M49" s="17"/>
      <c r="N49" s="19"/>
      <c r="O49" s="17" t="s">
        <v>805</v>
      </c>
      <c r="P49" s="19">
        <v>0.7040729</v>
      </c>
      <c r="R49" s="24" t="s">
        <v>886</v>
      </c>
      <c r="S49" s="55">
        <f>S48/U48</f>
        <v>0.22463901450614621</v>
      </c>
      <c r="T49" s="166" t="s">
        <v>894</v>
      </c>
      <c r="U49" s="167"/>
      <c r="V49" s="167"/>
      <c r="W49" s="167"/>
      <c r="X49" s="167"/>
      <c r="Y49" s="168"/>
    </row>
    <row r="50" spans="1:25" ht="15.75" customHeight="1" x14ac:dyDescent="0.25">
      <c r="I50" s="17" t="s">
        <v>806</v>
      </c>
      <c r="J50" s="19">
        <v>0.75006070000000002</v>
      </c>
      <c r="M50" s="17"/>
      <c r="N50" s="19"/>
      <c r="T50" s="169"/>
      <c r="U50" s="170"/>
      <c r="V50" s="170"/>
      <c r="W50" s="170"/>
      <c r="X50" s="170"/>
      <c r="Y50" s="171"/>
    </row>
    <row r="51" spans="1:25" ht="15.75" customHeight="1" x14ac:dyDescent="0.25">
      <c r="I51" s="17" t="s">
        <v>807</v>
      </c>
      <c r="J51" s="19">
        <v>0.40881119999999999</v>
      </c>
      <c r="M51" s="17"/>
      <c r="N51" s="19"/>
      <c r="T51" s="169"/>
      <c r="U51" s="170"/>
      <c r="V51" s="170"/>
      <c r="W51" s="170"/>
      <c r="X51" s="170"/>
      <c r="Y51" s="171"/>
    </row>
    <row r="52" spans="1:25" ht="15.75" thickBot="1" x14ac:dyDescent="0.3">
      <c r="T52" s="172"/>
      <c r="U52" s="173"/>
      <c r="V52" s="173"/>
      <c r="W52" s="173"/>
      <c r="X52" s="173"/>
      <c r="Y52" s="174"/>
    </row>
    <row r="53" spans="1:25" s="70" customFormat="1" x14ac:dyDescent="0.25"/>
    <row r="55" spans="1:25" x14ac:dyDescent="0.25">
      <c r="C55" s="163" t="s">
        <v>921</v>
      </c>
      <c r="D55" s="163"/>
      <c r="E55" s="163"/>
      <c r="F55" s="163"/>
      <c r="G55" s="163"/>
    </row>
    <row r="58" spans="1:25" x14ac:dyDescent="0.25">
      <c r="A58" s="19">
        <v>0</v>
      </c>
      <c r="B58" s="49">
        <v>4.3700799999999997</v>
      </c>
      <c r="C58" s="49">
        <v>1.4748319999999999</v>
      </c>
      <c r="D58" s="49">
        <v>1.00186</v>
      </c>
      <c r="E58" s="49">
        <v>0.74640430000000002</v>
      </c>
    </row>
    <row r="59" spans="1:25" x14ac:dyDescent="0.25">
      <c r="A59" s="19">
        <v>2.0904739999999999</v>
      </c>
      <c r="B59" s="19">
        <v>0</v>
      </c>
      <c r="C59" s="49">
        <v>5.4732180000000001</v>
      </c>
      <c r="D59" s="49">
        <v>4.8158329999999996</v>
      </c>
      <c r="E59" s="49">
        <v>4.2298249999999999</v>
      </c>
    </row>
    <row r="60" spans="1:25" x14ac:dyDescent="0.25">
      <c r="A60" s="19">
        <v>1.2144269999999999</v>
      </c>
      <c r="B60" s="19">
        <v>2.3394910000000002</v>
      </c>
      <c r="C60" s="19">
        <v>0</v>
      </c>
      <c r="D60" s="49">
        <v>2.0801759999999998</v>
      </c>
      <c r="E60" s="49">
        <v>1.052125</v>
      </c>
    </row>
    <row r="61" spans="1:25" x14ac:dyDescent="0.25">
      <c r="A61" s="19">
        <v>1.0009300000000001</v>
      </c>
      <c r="B61" s="19">
        <v>2.1945009999999998</v>
      </c>
      <c r="C61" s="19">
        <v>1.4422820000000001</v>
      </c>
      <c r="D61" s="19">
        <v>0</v>
      </c>
      <c r="E61" s="49">
        <v>1.2673650000000001</v>
      </c>
    </row>
    <row r="62" spans="1:25" x14ac:dyDescent="0.25">
      <c r="A62" s="19">
        <v>0.86394689999999996</v>
      </c>
      <c r="B62" s="19">
        <v>2.056654</v>
      </c>
      <c r="C62" s="19">
        <v>1.0257309999999999</v>
      </c>
      <c r="D62" s="19">
        <v>1.1257729999999999</v>
      </c>
      <c r="E62" s="19">
        <v>0</v>
      </c>
    </row>
    <row r="65" spans="1:21" x14ac:dyDescent="0.25">
      <c r="A65" s="19">
        <v>0</v>
      </c>
      <c r="B65" s="49">
        <f>SQRT(B58)</f>
        <v>2.0904736305440448</v>
      </c>
      <c r="C65" s="49">
        <f t="shared" ref="C65:E68" si="3">SQRT(C58)</f>
        <v>1.214426613674124</v>
      </c>
      <c r="D65" s="49">
        <f t="shared" si="3"/>
        <v>1.0009295679517116</v>
      </c>
      <c r="E65" s="49">
        <f t="shared" si="3"/>
        <v>0.86394693124057109</v>
      </c>
      <c r="H65" t="s">
        <v>775</v>
      </c>
      <c r="J65" t="s">
        <v>776</v>
      </c>
      <c r="L65" t="s">
        <v>777</v>
      </c>
      <c r="N65" t="s">
        <v>778</v>
      </c>
      <c r="P65" t="s">
        <v>779</v>
      </c>
    </row>
    <row r="66" spans="1:21" x14ac:dyDescent="0.25">
      <c r="A66" s="19">
        <v>2.0904739999999999</v>
      </c>
      <c r="B66" s="19">
        <v>0</v>
      </c>
      <c r="C66" s="49">
        <f t="shared" si="3"/>
        <v>2.3394909702753717</v>
      </c>
      <c r="D66" s="49">
        <f t="shared" si="3"/>
        <v>2.1945006265663265</v>
      </c>
      <c r="E66" s="49">
        <f t="shared" si="3"/>
        <v>2.0566538357244273</v>
      </c>
      <c r="G66" s="17" t="s">
        <v>782</v>
      </c>
      <c r="H66" s="19">
        <v>0.59503139999999999</v>
      </c>
      <c r="I66" s="17" t="s">
        <v>263</v>
      </c>
      <c r="J66" s="18">
        <v>0</v>
      </c>
      <c r="K66" s="17" t="s">
        <v>784</v>
      </c>
      <c r="L66" s="19">
        <v>0.47839900000000002</v>
      </c>
      <c r="M66" s="17" t="s">
        <v>781</v>
      </c>
      <c r="N66" s="19">
        <v>0.4675204</v>
      </c>
      <c r="O66" s="17" t="s">
        <v>785</v>
      </c>
      <c r="P66" s="19">
        <v>0.53146179999999998</v>
      </c>
    </row>
    <row r="67" spans="1:21" x14ac:dyDescent="0.25">
      <c r="A67" s="19">
        <v>1.2144269999999999</v>
      </c>
      <c r="B67" s="19">
        <v>2.3394910000000002</v>
      </c>
      <c r="C67" s="19">
        <v>0</v>
      </c>
      <c r="D67" s="49">
        <f t="shared" si="3"/>
        <v>1.4422815259164903</v>
      </c>
      <c r="E67" s="49">
        <f t="shared" si="3"/>
        <v>1.0257314463347607</v>
      </c>
      <c r="G67" s="17" t="s">
        <v>786</v>
      </c>
      <c r="H67" s="19">
        <v>0.558083</v>
      </c>
      <c r="I67" s="17"/>
      <c r="J67" s="19"/>
      <c r="K67" s="17" t="s">
        <v>787</v>
      </c>
      <c r="L67" s="19">
        <v>0.56394650000000002</v>
      </c>
      <c r="M67" s="17" t="s">
        <v>797</v>
      </c>
      <c r="N67" s="19">
        <v>0.49802229999999997</v>
      </c>
      <c r="O67" s="17" t="s">
        <v>788</v>
      </c>
      <c r="P67" s="19">
        <v>0.46292159999999999</v>
      </c>
      <c r="R67" s="43" t="s">
        <v>877</v>
      </c>
      <c r="S67" s="44">
        <f>AVERAGE(H66:H73)</f>
        <v>0.54789399999999999</v>
      </c>
      <c r="T67" s="24" t="s">
        <v>878</v>
      </c>
      <c r="U67" s="24">
        <f>SUM($A65:$E65)/4</f>
        <v>1.292444185852613</v>
      </c>
    </row>
    <row r="68" spans="1:21" x14ac:dyDescent="0.25">
      <c r="A68" s="19">
        <v>1.0009300000000001</v>
      </c>
      <c r="B68" s="19">
        <v>2.1945009999999998</v>
      </c>
      <c r="C68" s="19">
        <v>1.4422820000000001</v>
      </c>
      <c r="D68" s="19">
        <v>0</v>
      </c>
      <c r="E68" s="49">
        <f t="shared" si="3"/>
        <v>1.1257730677183568</v>
      </c>
      <c r="G68" s="17" t="s">
        <v>789</v>
      </c>
      <c r="H68" s="19">
        <v>0.70315559999999999</v>
      </c>
      <c r="I68" s="17"/>
      <c r="J68" s="19"/>
      <c r="K68" s="17" t="s">
        <v>790</v>
      </c>
      <c r="L68" s="19">
        <v>0.62440499999999999</v>
      </c>
      <c r="M68" s="17" t="s">
        <v>800</v>
      </c>
      <c r="N68" s="19">
        <v>0.44531559999999998</v>
      </c>
      <c r="O68" s="17" t="s">
        <v>791</v>
      </c>
      <c r="P68" s="19">
        <v>0.36573050000000001</v>
      </c>
      <c r="R68" s="24" t="s">
        <v>879</v>
      </c>
      <c r="S68" s="44">
        <f>AVERAGE(J66)</f>
        <v>0</v>
      </c>
      <c r="T68" s="24" t="s">
        <v>880</v>
      </c>
      <c r="U68" s="24">
        <f>SUM($A66:$E66)/4</f>
        <v>2.170279858141531</v>
      </c>
    </row>
    <row r="69" spans="1:21" x14ac:dyDescent="0.25">
      <c r="A69" s="19">
        <v>0.86394689999999996</v>
      </c>
      <c r="B69" s="19">
        <v>2.056654</v>
      </c>
      <c r="C69" s="19">
        <v>1.0257309999999999</v>
      </c>
      <c r="D69" s="19">
        <v>1.1257729999999999</v>
      </c>
      <c r="E69" s="19">
        <v>0</v>
      </c>
      <c r="G69" s="17" t="s">
        <v>792</v>
      </c>
      <c r="H69" s="19">
        <v>0.53568740000000004</v>
      </c>
      <c r="I69" s="17"/>
      <c r="J69" s="19"/>
      <c r="K69" s="17" t="s">
        <v>793</v>
      </c>
      <c r="L69" s="19">
        <v>0.4405655</v>
      </c>
      <c r="M69" s="17" t="s">
        <v>807</v>
      </c>
      <c r="N69" s="19">
        <v>0.46758110000000003</v>
      </c>
      <c r="O69" s="17" t="s">
        <v>794</v>
      </c>
      <c r="P69" s="19">
        <v>0.5625578</v>
      </c>
      <c r="R69" s="24" t="s">
        <v>881</v>
      </c>
      <c r="S69" s="44">
        <f>AVERAGE(L66:L73)</f>
        <v>0.6866070125</v>
      </c>
      <c r="T69" s="24" t="s">
        <v>882</v>
      </c>
      <c r="U69" s="24">
        <f>SUM($A67:$E67)/4</f>
        <v>1.5054827430628128</v>
      </c>
    </row>
    <row r="70" spans="1:21" x14ac:dyDescent="0.25">
      <c r="G70" s="17" t="s">
        <v>795</v>
      </c>
      <c r="H70" s="19">
        <v>0.50609899999999997</v>
      </c>
      <c r="I70" s="17"/>
      <c r="J70" s="19"/>
      <c r="K70" s="17" t="s">
        <v>796</v>
      </c>
      <c r="L70" s="19">
        <v>0.54371800000000003</v>
      </c>
      <c r="M70" s="17"/>
      <c r="N70" s="19"/>
      <c r="O70" s="17" t="s">
        <v>783</v>
      </c>
      <c r="P70" s="19">
        <v>1.1616470000000001</v>
      </c>
      <c r="R70" s="24" t="s">
        <v>883</v>
      </c>
      <c r="S70" s="44">
        <f>AVERAGE(N66:N69)</f>
        <v>0.46960985</v>
      </c>
      <c r="T70" s="24" t="s">
        <v>884</v>
      </c>
      <c r="U70" s="24">
        <f>SUM($A68:$E68)/4</f>
        <v>1.4408715169295891</v>
      </c>
    </row>
    <row r="71" spans="1:21" x14ac:dyDescent="0.25">
      <c r="G71" s="17" t="s">
        <v>798</v>
      </c>
      <c r="H71" s="19">
        <v>0.61142339999999995</v>
      </c>
      <c r="I71" s="17"/>
      <c r="J71" s="19"/>
      <c r="K71" s="17" t="s">
        <v>799</v>
      </c>
      <c r="L71" s="19">
        <v>1.367955</v>
      </c>
      <c r="M71" s="17"/>
      <c r="N71" s="19"/>
      <c r="O71" s="17" t="s">
        <v>803</v>
      </c>
      <c r="P71" s="19">
        <v>0.47101579999999998</v>
      </c>
      <c r="R71" s="24" t="s">
        <v>887</v>
      </c>
      <c r="S71" s="46">
        <f>AVERAGE(P66:P72)</f>
        <v>0.60239138571428563</v>
      </c>
      <c r="T71" s="24" t="s">
        <v>888</v>
      </c>
      <c r="U71" s="24">
        <f>SUM($A69:$E69)/4</f>
        <v>1.2680262250000001</v>
      </c>
    </row>
    <row r="72" spans="1:21" x14ac:dyDescent="0.25">
      <c r="G72" s="17" t="s">
        <v>801</v>
      </c>
      <c r="H72" s="19">
        <v>0.45262770000000002</v>
      </c>
      <c r="I72" s="17"/>
      <c r="J72" s="19"/>
      <c r="K72" s="17" t="s">
        <v>802</v>
      </c>
      <c r="L72" s="19">
        <v>0.76979419999999998</v>
      </c>
      <c r="M72" s="17"/>
      <c r="N72" s="19"/>
      <c r="O72" s="17" t="s">
        <v>806</v>
      </c>
      <c r="P72" s="19">
        <v>0.66140520000000003</v>
      </c>
      <c r="R72" s="24" t="s">
        <v>885</v>
      </c>
      <c r="S72" s="44">
        <f>AVERAGE(S67:S71)</f>
        <v>0.4613004496428571</v>
      </c>
      <c r="T72" s="24" t="s">
        <v>831</v>
      </c>
      <c r="U72" s="47">
        <f>AVERAGE(U67:U71)</f>
        <v>1.5354209057973092</v>
      </c>
    </row>
    <row r="73" spans="1:21" x14ac:dyDescent="0.25">
      <c r="G73" s="17" t="s">
        <v>804</v>
      </c>
      <c r="H73" s="19">
        <v>0.42104449999999999</v>
      </c>
      <c r="I73" s="17"/>
      <c r="J73" s="19"/>
      <c r="K73" s="17" t="s">
        <v>805</v>
      </c>
      <c r="L73" s="19">
        <v>0.7040729</v>
      </c>
      <c r="M73" s="17"/>
      <c r="N73" s="19"/>
      <c r="O73" s="17"/>
      <c r="P73" s="19"/>
      <c r="R73" s="24" t="s">
        <v>886</v>
      </c>
      <c r="S73">
        <f>S72/U72</f>
        <v>0.30043908344683784</v>
      </c>
    </row>
    <row r="74" spans="1:21" x14ac:dyDescent="0.25">
      <c r="I74" s="17"/>
      <c r="J74" s="19"/>
      <c r="M74" s="17"/>
      <c r="N74" s="19"/>
    </row>
    <row r="75" spans="1:21" x14ac:dyDescent="0.25">
      <c r="I75" s="17"/>
      <c r="J75" s="19"/>
      <c r="M75" s="17"/>
      <c r="N75" s="19"/>
    </row>
  </sheetData>
  <mergeCells count="4">
    <mergeCell ref="T49:Y52"/>
    <mergeCell ref="C55:G55"/>
    <mergeCell ref="C31:G31"/>
    <mergeCell ref="C8:G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84F49-ECD1-4373-A869-92EAFF135ABA}">
  <sheetPr>
    <tabColor theme="8" tint="-0.249977111117893"/>
  </sheetPr>
  <dimension ref="A1:W89"/>
  <sheetViews>
    <sheetView topLeftCell="A41" zoomScaleNormal="100" workbookViewId="0">
      <selection activeCell="Z69" sqref="Z69"/>
    </sheetView>
  </sheetViews>
  <sheetFormatPr defaultRowHeight="15" x14ac:dyDescent="0.25"/>
  <cols>
    <col min="1" max="1" width="13.28515625" style="53" customWidth="1"/>
    <col min="2" max="8" width="16.42578125" style="53" customWidth="1"/>
    <col min="9" max="9" width="23.42578125" style="53" customWidth="1"/>
    <col min="10" max="10" width="16.42578125" style="53" customWidth="1"/>
    <col min="11" max="11" width="16.42578125" customWidth="1"/>
    <col min="14" max="14" width="17" hidden="1" customWidth="1"/>
    <col min="15" max="15" width="9.5703125" hidden="1" customWidth="1"/>
    <col min="16" max="16" width="16.140625" hidden="1" customWidth="1"/>
    <col min="17" max="17" width="17.140625" hidden="1" customWidth="1"/>
    <col min="18" max="18" width="17" hidden="1" customWidth="1"/>
    <col min="19" max="19" width="11.28515625" hidden="1" customWidth="1"/>
    <col min="20" max="20" width="15.140625" hidden="1" customWidth="1"/>
    <col min="21" max="21" width="11.28515625" hidden="1" customWidth="1"/>
    <col min="22" max="25" width="0" hidden="1" customWidth="1"/>
  </cols>
  <sheetData>
    <row r="1" spans="1:23" ht="77.25" customHeight="1" x14ac:dyDescent="0.25">
      <c r="A1" s="37" t="s">
        <v>653</v>
      </c>
      <c r="B1" s="54" t="s">
        <v>774</v>
      </c>
      <c r="C1" s="38" t="s">
        <v>680</v>
      </c>
      <c r="D1" s="38" t="s">
        <v>699</v>
      </c>
      <c r="E1" s="38" t="s">
        <v>674</v>
      </c>
      <c r="F1" s="38" t="s">
        <v>676</v>
      </c>
      <c r="G1" s="38" t="s">
        <v>679</v>
      </c>
      <c r="H1" s="38" t="s">
        <v>675</v>
      </c>
      <c r="I1" s="38" t="s">
        <v>681</v>
      </c>
      <c r="J1" s="38" t="s">
        <v>700</v>
      </c>
      <c r="K1" s="54" t="s">
        <v>774</v>
      </c>
    </row>
    <row r="2" spans="1:23" x14ac:dyDescent="0.25">
      <c r="A2" s="4" t="s">
        <v>54</v>
      </c>
      <c r="B2" s="53">
        <v>3</v>
      </c>
      <c r="C2" s="53">
        <v>81.599999999999994</v>
      </c>
      <c r="D2" s="53">
        <v>12.1</v>
      </c>
      <c r="E2" s="53">
        <v>6.6326457373354577</v>
      </c>
      <c r="F2" s="53">
        <v>73751.352706379985</v>
      </c>
      <c r="G2" s="53">
        <v>8.8113784790039104E-2</v>
      </c>
      <c r="H2" s="53">
        <v>0.72</v>
      </c>
      <c r="I2" s="53">
        <v>456.564613958981</v>
      </c>
      <c r="J2" s="53">
        <v>0.77260715738691399</v>
      </c>
      <c r="K2">
        <f t="shared" ref="K2:K29" si="0">VLOOKUP(A2,$Q$19:$R$46,2,0)</f>
        <v>3</v>
      </c>
    </row>
    <row r="3" spans="1:23" x14ac:dyDescent="0.25">
      <c r="A3" s="3" t="s">
        <v>587</v>
      </c>
      <c r="B3" s="53">
        <v>3</v>
      </c>
      <c r="C3" s="53">
        <v>82.5</v>
      </c>
      <c r="D3" s="53">
        <v>11.04290771</v>
      </c>
      <c r="E3" s="53">
        <v>7.3981306577468127</v>
      </c>
      <c r="F3" s="53">
        <v>70455.958425795616</v>
      </c>
      <c r="G3" s="53">
        <v>0.113196802139282</v>
      </c>
      <c r="H3" s="53">
        <v>1.54</v>
      </c>
      <c r="I3" s="53">
        <v>362.93192027235858</v>
      </c>
      <c r="J3" s="53">
        <v>1.17973708133594</v>
      </c>
      <c r="K3">
        <f t="shared" si="0"/>
        <v>3</v>
      </c>
    </row>
    <row r="4" spans="1:23" x14ac:dyDescent="0.25">
      <c r="A4" s="3" t="s">
        <v>556</v>
      </c>
      <c r="B4" s="53">
        <v>5</v>
      </c>
      <c r="C4" s="53">
        <v>75.8</v>
      </c>
      <c r="D4" s="53">
        <v>8.56</v>
      </c>
      <c r="E4" s="53">
        <v>4.9232803794050053</v>
      </c>
      <c r="F4" s="53">
        <v>38689.548074916594</v>
      </c>
      <c r="G4" s="53">
        <v>0.10561671257019001</v>
      </c>
      <c r="H4" s="53">
        <v>1.1100000000000001</v>
      </c>
      <c r="I4" s="53">
        <v>110.63222339072571</v>
      </c>
      <c r="J4" s="53">
        <v>1.50812345474607</v>
      </c>
      <c r="K4">
        <f t="shared" si="0"/>
        <v>5</v>
      </c>
    </row>
    <row r="5" spans="1:23" x14ac:dyDescent="0.25">
      <c r="A5" s="3" t="s">
        <v>169</v>
      </c>
      <c r="B5" s="53">
        <v>2</v>
      </c>
      <c r="C5" s="53">
        <v>84.2</v>
      </c>
      <c r="D5" s="53">
        <v>11.80107975</v>
      </c>
      <c r="E5" s="53">
        <v>4.042072814753408</v>
      </c>
      <c r="F5" s="53">
        <v>92980.401876094998</v>
      </c>
      <c r="G5" s="53">
        <v>0.14550841331481901</v>
      </c>
      <c r="H5" s="53">
        <v>0.48</v>
      </c>
      <c r="I5" s="53">
        <v>235.89972412116612</v>
      </c>
      <c r="J5" s="53">
        <v>0.76465339190691706</v>
      </c>
      <c r="K5">
        <f t="shared" si="0"/>
        <v>2</v>
      </c>
      <c r="O5" t="s">
        <v>775</v>
      </c>
      <c r="Q5" t="s">
        <v>776</v>
      </c>
      <c r="S5" t="s">
        <v>777</v>
      </c>
      <c r="U5" t="s">
        <v>778</v>
      </c>
      <c r="W5" t="s">
        <v>779</v>
      </c>
    </row>
    <row r="6" spans="1:23" x14ac:dyDescent="0.25">
      <c r="A6" s="3" t="s">
        <v>401</v>
      </c>
      <c r="B6" s="53">
        <v>2</v>
      </c>
      <c r="C6" s="53">
        <v>82.5</v>
      </c>
      <c r="D6" s="53">
        <v>9.43</v>
      </c>
      <c r="E6" s="53">
        <v>5.4719980089484199</v>
      </c>
      <c r="F6" s="53">
        <v>57100.46484375</v>
      </c>
      <c r="G6" s="53">
        <v>0.12736209869384799</v>
      </c>
      <c r="H6" s="53">
        <v>0.77</v>
      </c>
      <c r="I6" s="53">
        <v>35.846672689336337</v>
      </c>
      <c r="J6" s="53">
        <v>1.8147966516278899</v>
      </c>
      <c r="K6">
        <f t="shared" si="0"/>
        <v>2</v>
      </c>
      <c r="N6" s="17" t="s">
        <v>780</v>
      </c>
      <c r="O6" s="18">
        <v>0</v>
      </c>
      <c r="P6" s="17" t="s">
        <v>781</v>
      </c>
      <c r="Q6" s="19">
        <v>0.75028950000000005</v>
      </c>
      <c r="R6" s="17" t="s">
        <v>782</v>
      </c>
      <c r="S6" s="19">
        <v>0.59503139999999999</v>
      </c>
      <c r="T6" s="17" t="s">
        <v>783</v>
      </c>
      <c r="U6" s="18">
        <v>0</v>
      </c>
      <c r="V6" s="17" t="s">
        <v>784</v>
      </c>
      <c r="W6" s="19">
        <v>0.47839900000000002</v>
      </c>
    </row>
    <row r="7" spans="1:23" x14ac:dyDescent="0.25">
      <c r="A7" s="3" t="s">
        <v>311</v>
      </c>
      <c r="B7" s="53">
        <v>3</v>
      </c>
      <c r="C7" s="53">
        <v>80</v>
      </c>
      <c r="D7" s="53">
        <v>9.4887867000000004</v>
      </c>
      <c r="E7" s="53">
        <v>8.3040174958388864</v>
      </c>
      <c r="F7" s="53">
        <v>53816.803389523178</v>
      </c>
      <c r="G7" s="53">
        <v>0.108769035339355</v>
      </c>
      <c r="H7" s="53">
        <v>0.75</v>
      </c>
      <c r="I7" s="53">
        <v>211.36000286318796</v>
      </c>
      <c r="J7" s="53">
        <v>1.3580638321417899</v>
      </c>
      <c r="K7">
        <f t="shared" si="0"/>
        <v>3</v>
      </c>
      <c r="N7" s="17"/>
      <c r="O7" s="19"/>
      <c r="P7" s="17" t="s">
        <v>785</v>
      </c>
      <c r="Q7" s="19">
        <v>0.60160060000000004</v>
      </c>
      <c r="R7" s="17" t="s">
        <v>786</v>
      </c>
      <c r="S7" s="19">
        <v>0.558083</v>
      </c>
      <c r="T7" s="17"/>
      <c r="U7" s="19"/>
      <c r="V7" s="17" t="s">
        <v>787</v>
      </c>
      <c r="W7" s="19">
        <v>0.56394650000000002</v>
      </c>
    </row>
    <row r="8" spans="1:23" x14ac:dyDescent="0.25">
      <c r="A8" s="3" t="s">
        <v>436</v>
      </c>
      <c r="B8" s="53">
        <v>3</v>
      </c>
      <c r="C8" s="53">
        <v>81.2</v>
      </c>
      <c r="D8" s="53">
        <v>12.934129710000001</v>
      </c>
      <c r="E8" s="53">
        <v>7.2552210281684033</v>
      </c>
      <c r="F8" s="53">
        <v>69338.293226446665</v>
      </c>
      <c r="G8" s="53">
        <v>9.0661725997924811E-2</v>
      </c>
      <c r="H8" s="53">
        <v>0.74</v>
      </c>
      <c r="I8" s="53">
        <v>388.39451061623362</v>
      </c>
      <c r="J8" s="53">
        <v>1.3900550095965298</v>
      </c>
      <c r="K8">
        <f t="shared" si="0"/>
        <v>3</v>
      </c>
      <c r="P8" s="17" t="s">
        <v>788</v>
      </c>
      <c r="Q8" s="19">
        <v>0.34551409999999999</v>
      </c>
      <c r="R8" s="17" t="s">
        <v>789</v>
      </c>
      <c r="S8" s="19">
        <v>0.70315559999999999</v>
      </c>
      <c r="T8" s="17"/>
      <c r="U8" s="19"/>
      <c r="V8" s="17" t="s">
        <v>790</v>
      </c>
      <c r="W8" s="19">
        <v>0.62440499999999999</v>
      </c>
    </row>
    <row r="9" spans="1:23" x14ac:dyDescent="0.25">
      <c r="A9" s="3" t="s">
        <v>274</v>
      </c>
      <c r="B9" s="53">
        <v>2</v>
      </c>
      <c r="C9" s="53">
        <v>81.900000000000006</v>
      </c>
      <c r="D9" s="53">
        <v>10.82</v>
      </c>
      <c r="E9" s="53">
        <v>4.6912373075163369</v>
      </c>
      <c r="F9" s="53">
        <v>76687.902843730641</v>
      </c>
      <c r="G9" s="53">
        <v>0.11888381004333499</v>
      </c>
      <c r="H9" s="53">
        <v>1</v>
      </c>
      <c r="I9" s="53">
        <v>44.512870912845095</v>
      </c>
      <c r="J9" s="53">
        <v>1.4189603714329999</v>
      </c>
      <c r="K9">
        <f t="shared" si="0"/>
        <v>2</v>
      </c>
      <c r="P9" s="17" t="s">
        <v>791</v>
      </c>
      <c r="Q9" s="19">
        <v>0.63722760000000001</v>
      </c>
      <c r="R9" s="17" t="s">
        <v>792</v>
      </c>
      <c r="S9" s="19">
        <v>0.53568740000000004</v>
      </c>
      <c r="T9" s="17"/>
      <c r="U9" s="19"/>
      <c r="V9" s="17" t="s">
        <v>793</v>
      </c>
      <c r="W9" s="19">
        <v>0.4405655</v>
      </c>
    </row>
    <row r="10" spans="1:23" x14ac:dyDescent="0.25">
      <c r="A10" s="3" t="s">
        <v>72</v>
      </c>
      <c r="B10" s="53">
        <v>3</v>
      </c>
      <c r="C10" s="53">
        <v>84</v>
      </c>
      <c r="D10" s="53">
        <v>10.740038869999999</v>
      </c>
      <c r="E10" s="53">
        <v>4.2795945712140995</v>
      </c>
      <c r="F10" s="53">
        <v>52779.234057370304</v>
      </c>
      <c r="G10" s="53">
        <v>9.1786003112793002E-2</v>
      </c>
      <c r="H10" s="53">
        <v>0.69</v>
      </c>
      <c r="I10" s="53">
        <v>249.20388341488072</v>
      </c>
      <c r="J10" s="53">
        <v>1.4660338438573299</v>
      </c>
      <c r="K10">
        <f t="shared" si="0"/>
        <v>3</v>
      </c>
      <c r="P10" s="17" t="s">
        <v>794</v>
      </c>
      <c r="Q10" s="19">
        <v>0.77682759999999995</v>
      </c>
      <c r="R10" s="17" t="s">
        <v>795</v>
      </c>
      <c r="S10" s="19">
        <v>0.50609899999999997</v>
      </c>
      <c r="T10" s="17"/>
      <c r="U10" s="19"/>
      <c r="V10" s="17" t="s">
        <v>796</v>
      </c>
      <c r="W10" s="19">
        <v>0.54371800000000003</v>
      </c>
    </row>
    <row r="11" spans="1:23" x14ac:dyDescent="0.25">
      <c r="A11" s="3" t="s">
        <v>468</v>
      </c>
      <c r="B11" s="53">
        <v>5</v>
      </c>
      <c r="C11" s="53">
        <v>78.8</v>
      </c>
      <c r="D11" s="53">
        <v>7.4905729299999999</v>
      </c>
      <c r="E11" s="53">
        <v>5.3383998158736761</v>
      </c>
      <c r="F11" s="53">
        <v>48992.140951181515</v>
      </c>
      <c r="G11" s="53">
        <v>0.14251974105835</v>
      </c>
      <c r="H11" s="53">
        <v>1.35</v>
      </c>
      <c r="I11" s="53">
        <v>133.06464943362997</v>
      </c>
      <c r="J11" s="53">
        <v>2.0866657905942798</v>
      </c>
      <c r="K11">
        <f t="shared" si="0"/>
        <v>5</v>
      </c>
      <c r="P11" s="17" t="s">
        <v>797</v>
      </c>
      <c r="Q11" s="19">
        <v>1.007334</v>
      </c>
      <c r="R11" s="17" t="s">
        <v>798</v>
      </c>
      <c r="S11" s="19">
        <v>0.61142339999999995</v>
      </c>
      <c r="T11" s="17"/>
      <c r="U11" s="19"/>
      <c r="V11" s="17" t="s">
        <v>799</v>
      </c>
      <c r="W11" s="19">
        <v>1.367955</v>
      </c>
    </row>
    <row r="12" spans="1:23" x14ac:dyDescent="0.25">
      <c r="A12" s="3" t="s">
        <v>47</v>
      </c>
      <c r="B12" s="53">
        <v>2</v>
      </c>
      <c r="C12" s="53">
        <v>81.7</v>
      </c>
      <c r="D12" s="53">
        <v>10.25</v>
      </c>
      <c r="E12" s="53">
        <v>6.5701451277257457</v>
      </c>
      <c r="F12" s="53">
        <v>65060.674161832023</v>
      </c>
      <c r="G12" s="53">
        <v>0.10231122016906699</v>
      </c>
      <c r="H12" s="53">
        <v>1.5</v>
      </c>
      <c r="I12" s="53">
        <v>70.131530006134255</v>
      </c>
      <c r="J12" s="53">
        <v>1.7216829026165299</v>
      </c>
      <c r="K12">
        <f t="shared" si="0"/>
        <v>2</v>
      </c>
      <c r="P12" s="17" t="s">
        <v>800</v>
      </c>
      <c r="Q12" s="19">
        <v>0.76669600000000004</v>
      </c>
      <c r="R12" s="17" t="s">
        <v>801</v>
      </c>
      <c r="S12" s="19">
        <v>0.45262770000000002</v>
      </c>
      <c r="T12" s="17"/>
      <c r="U12" s="19"/>
      <c r="V12" s="17" t="s">
        <v>802</v>
      </c>
      <c r="W12" s="19">
        <v>0.76979419999999998</v>
      </c>
    </row>
    <row r="13" spans="1:23" x14ac:dyDescent="0.25">
      <c r="A13" s="3" t="s">
        <v>337</v>
      </c>
      <c r="B13" s="53">
        <v>2</v>
      </c>
      <c r="C13" s="53">
        <v>83.1</v>
      </c>
      <c r="D13" s="53">
        <v>12.307872769999999</v>
      </c>
      <c r="E13" s="53">
        <v>3.9536824518799136</v>
      </c>
      <c r="F13" s="53">
        <v>61156.772819256643</v>
      </c>
      <c r="G13" s="53">
        <v>8.875411033630369E-2</v>
      </c>
      <c r="H13" s="53">
        <v>1.21</v>
      </c>
      <c r="I13" s="53">
        <v>103.60469429450643</v>
      </c>
      <c r="J13" s="53">
        <v>1.9387234180687101</v>
      </c>
      <c r="K13">
        <f t="shared" si="0"/>
        <v>2</v>
      </c>
      <c r="P13" s="17" t="s">
        <v>803</v>
      </c>
      <c r="Q13" s="19">
        <v>0.54223220000000005</v>
      </c>
      <c r="R13" s="17" t="s">
        <v>804</v>
      </c>
      <c r="S13" s="19">
        <v>0.42104449999999999</v>
      </c>
      <c r="T13" s="17"/>
      <c r="U13" s="19"/>
      <c r="V13" s="17" t="s">
        <v>805</v>
      </c>
      <c r="W13" s="19">
        <v>0.7040729</v>
      </c>
    </row>
    <row r="14" spans="1:23" x14ac:dyDescent="0.25">
      <c r="A14" s="3" t="s">
        <v>631</v>
      </c>
      <c r="B14" s="53">
        <v>4</v>
      </c>
      <c r="C14" s="53">
        <v>81.599999999999994</v>
      </c>
      <c r="D14" s="53">
        <v>9.1729879400000005</v>
      </c>
      <c r="E14" s="53">
        <v>4.7671849370183885</v>
      </c>
      <c r="F14" s="53">
        <v>41186.81220278937</v>
      </c>
      <c r="G14" s="53">
        <v>7.1118955612182594E-2</v>
      </c>
      <c r="H14" s="53">
        <v>0.76</v>
      </c>
      <c r="I14" s="53">
        <v>116.90564864516325</v>
      </c>
      <c r="J14" s="53">
        <v>3.6920744951686402</v>
      </c>
      <c r="K14">
        <f t="shared" si="0"/>
        <v>4</v>
      </c>
      <c r="P14" s="17" t="s">
        <v>806</v>
      </c>
      <c r="Q14" s="19">
        <v>0.75006070000000002</v>
      </c>
      <c r="T14" s="17"/>
      <c r="U14" s="19"/>
    </row>
    <row r="15" spans="1:23" x14ac:dyDescent="0.25">
      <c r="A15" s="3" t="s">
        <v>473</v>
      </c>
      <c r="B15" s="53">
        <v>5</v>
      </c>
      <c r="C15" s="53">
        <v>78.599999999999994</v>
      </c>
      <c r="D15" s="53">
        <v>8.1</v>
      </c>
      <c r="E15" s="53">
        <v>3.8607053917305714</v>
      </c>
      <c r="F15" s="53">
        <v>45909.634484175825</v>
      </c>
      <c r="G15" s="53">
        <v>0.10720606803894001</v>
      </c>
      <c r="H15" s="53">
        <v>0.8</v>
      </c>
      <c r="I15" s="53">
        <v>307.24564002762583</v>
      </c>
      <c r="J15" s="53">
        <v>2.1674905163411697</v>
      </c>
      <c r="K15">
        <f t="shared" si="0"/>
        <v>5</v>
      </c>
      <c r="P15" s="17" t="s">
        <v>807</v>
      </c>
      <c r="Q15" s="19">
        <v>0.40881119999999999</v>
      </c>
      <c r="T15" s="17"/>
      <c r="U15" s="19"/>
    </row>
    <row r="16" spans="1:23" x14ac:dyDescent="0.25">
      <c r="A16" s="3" t="s">
        <v>46</v>
      </c>
      <c r="B16" s="53">
        <v>5</v>
      </c>
      <c r="C16" s="53">
        <v>76.900000000000006</v>
      </c>
      <c r="D16" s="53">
        <v>7.38</v>
      </c>
      <c r="E16" s="53">
        <v>4.591652907047882</v>
      </c>
      <c r="F16" s="53">
        <v>45942.169490682201</v>
      </c>
      <c r="G16" s="53">
        <v>0.103632917404175</v>
      </c>
      <c r="H16" s="53">
        <v>0.88</v>
      </c>
      <c r="I16" s="53">
        <v>191.54694939417959</v>
      </c>
      <c r="J16" s="53">
        <v>1.52573720690762</v>
      </c>
      <c r="K16">
        <f t="shared" si="0"/>
        <v>5</v>
      </c>
    </row>
    <row r="17" spans="1:18" ht="15.75" thickBot="1" x14ac:dyDescent="0.3">
      <c r="A17" s="3" t="s">
        <v>25</v>
      </c>
      <c r="B17" s="53">
        <v>2</v>
      </c>
      <c r="C17" s="53">
        <v>82.6</v>
      </c>
      <c r="D17" s="53">
        <v>9.73</v>
      </c>
      <c r="E17" s="53">
        <v>3.9474653648526594</v>
      </c>
      <c r="F17" s="53">
        <v>77567.191812574616</v>
      </c>
      <c r="G17" s="53">
        <v>0.15406312942504902</v>
      </c>
      <c r="H17" s="53">
        <v>1.06</v>
      </c>
      <c r="I17" s="53">
        <v>302.53409212928165</v>
      </c>
      <c r="J17" s="53">
        <v>1E-3</v>
      </c>
      <c r="K17">
        <f t="shared" si="0"/>
        <v>2</v>
      </c>
    </row>
    <row r="18" spans="1:18" x14ac:dyDescent="0.25">
      <c r="A18" s="3" t="s">
        <v>155</v>
      </c>
      <c r="B18" s="53">
        <v>3</v>
      </c>
      <c r="C18" s="53">
        <v>83.8</v>
      </c>
      <c r="D18" s="53">
        <v>9.3800000000000008</v>
      </c>
      <c r="E18" s="53">
        <v>4.7323727707993539</v>
      </c>
      <c r="F18" s="53">
        <v>58754.90787787213</v>
      </c>
      <c r="G18" s="53">
        <v>7.437161922454831E-2</v>
      </c>
      <c r="H18" s="53">
        <v>0.55000000000000004</v>
      </c>
      <c r="I18" s="53">
        <v>346.2151439091557</v>
      </c>
      <c r="J18" s="53">
        <v>1.6790923384615599</v>
      </c>
      <c r="K18">
        <f t="shared" si="0"/>
        <v>3</v>
      </c>
      <c r="Q18" s="175" t="s">
        <v>895</v>
      </c>
      <c r="R18" s="176"/>
    </row>
    <row r="19" spans="1:18" x14ac:dyDescent="0.25">
      <c r="A19" s="3" t="s">
        <v>379</v>
      </c>
      <c r="B19" s="53">
        <v>5</v>
      </c>
      <c r="C19" s="53">
        <v>77.3</v>
      </c>
      <c r="D19" s="53">
        <v>7.82</v>
      </c>
      <c r="E19" s="53">
        <v>4.1840004150439096</v>
      </c>
      <c r="F19" s="53">
        <v>51877.00651927686</v>
      </c>
      <c r="G19" s="53">
        <v>0.127444953918457</v>
      </c>
      <c r="H19" s="53">
        <v>2.21</v>
      </c>
      <c r="I19" s="53">
        <v>113.60881507291208</v>
      </c>
      <c r="J19" s="53">
        <v>2.52262366538611</v>
      </c>
      <c r="K19">
        <f t="shared" si="0"/>
        <v>5</v>
      </c>
      <c r="Q19" s="61" t="s">
        <v>263</v>
      </c>
      <c r="R19" s="56">
        <v>1</v>
      </c>
    </row>
    <row r="20" spans="1:18" x14ac:dyDescent="0.25">
      <c r="A20" s="3" t="s">
        <v>263</v>
      </c>
      <c r="B20" s="53">
        <v>1</v>
      </c>
      <c r="C20" s="53">
        <v>83.4</v>
      </c>
      <c r="D20" s="53">
        <v>5.67</v>
      </c>
      <c r="E20" s="53">
        <v>12.456953232691275</v>
      </c>
      <c r="F20" s="53">
        <v>143341.47312464545</v>
      </c>
      <c r="G20" s="53">
        <v>0.11003183364868199</v>
      </c>
      <c r="H20" s="53">
        <v>1.39</v>
      </c>
      <c r="I20" s="53">
        <v>194.04309569043096</v>
      </c>
      <c r="J20" s="53">
        <v>0.700406724896945</v>
      </c>
      <c r="K20">
        <f t="shared" si="0"/>
        <v>1</v>
      </c>
      <c r="Q20" s="61" t="s">
        <v>169</v>
      </c>
      <c r="R20" s="56">
        <v>2</v>
      </c>
    </row>
    <row r="21" spans="1:18" x14ac:dyDescent="0.25">
      <c r="A21" s="3" t="s">
        <v>240</v>
      </c>
      <c r="B21" s="53">
        <v>5</v>
      </c>
      <c r="C21" s="53">
        <v>75.900000000000006</v>
      </c>
      <c r="D21" s="53">
        <v>9.0399999999999991</v>
      </c>
      <c r="E21" s="53">
        <v>3.6456121684928142</v>
      </c>
      <c r="F21" s="53">
        <v>42501.027882049464</v>
      </c>
      <c r="G21" s="53">
        <v>0.126531772613525</v>
      </c>
      <c r="H21" s="53">
        <v>4.05</v>
      </c>
      <c r="I21" s="53">
        <v>212.41821394647889</v>
      </c>
      <c r="J21" s="53">
        <v>2.0498651345644303</v>
      </c>
      <c r="K21">
        <f t="shared" si="0"/>
        <v>5</v>
      </c>
      <c r="Q21" s="61" t="s">
        <v>401</v>
      </c>
      <c r="R21" s="56">
        <v>2</v>
      </c>
    </row>
    <row r="22" spans="1:18" x14ac:dyDescent="0.25">
      <c r="A22" s="3" t="s">
        <v>361</v>
      </c>
      <c r="B22" s="53">
        <v>2</v>
      </c>
      <c r="C22" s="53">
        <v>83.6</v>
      </c>
      <c r="D22" s="53">
        <v>10.58</v>
      </c>
      <c r="E22" s="53">
        <v>3.1255578927759191</v>
      </c>
      <c r="F22" s="53">
        <v>62445.681490419811</v>
      </c>
      <c r="G22" s="53">
        <v>0.12658941268920901</v>
      </c>
      <c r="H22" s="53">
        <v>1.54</v>
      </c>
      <c r="I22" s="53">
        <v>295.44718206643319</v>
      </c>
      <c r="J22" s="53">
        <v>0.49920686499012495</v>
      </c>
      <c r="K22">
        <f t="shared" si="0"/>
        <v>2</v>
      </c>
      <c r="Q22" s="61" t="s">
        <v>274</v>
      </c>
      <c r="R22" s="56">
        <v>2</v>
      </c>
    </row>
    <row r="23" spans="1:18" x14ac:dyDescent="0.25">
      <c r="A23" s="3" t="s">
        <v>14</v>
      </c>
      <c r="B23" s="53">
        <v>2</v>
      </c>
      <c r="C23" s="53">
        <v>82</v>
      </c>
      <c r="D23" s="53">
        <v>11.29</v>
      </c>
      <c r="E23" s="53">
        <v>7.4715534787718951</v>
      </c>
      <c r="F23" s="53">
        <v>78215.066303860061</v>
      </c>
      <c r="G23" s="53">
        <v>0.11019962310791</v>
      </c>
      <c r="H23" s="53">
        <v>0.81</v>
      </c>
      <c r="I23" s="53">
        <v>129.46981710648762</v>
      </c>
      <c r="J23" s="53">
        <v>1.5832811384634797</v>
      </c>
      <c r="K23">
        <f t="shared" si="0"/>
        <v>2</v>
      </c>
      <c r="Q23" s="61" t="s">
        <v>47</v>
      </c>
      <c r="R23" s="56">
        <v>2</v>
      </c>
    </row>
    <row r="24" spans="1:18" x14ac:dyDescent="0.25">
      <c r="A24" s="3" t="s">
        <v>619</v>
      </c>
      <c r="B24" s="53">
        <v>2</v>
      </c>
      <c r="C24" s="53">
        <v>83.1</v>
      </c>
      <c r="D24" s="53">
        <v>10.08</v>
      </c>
      <c r="E24" s="53">
        <v>6.7250800496330969</v>
      </c>
      <c r="F24" s="53">
        <v>104459.81192279447</v>
      </c>
      <c r="G24" s="53">
        <v>0.102669334411621</v>
      </c>
      <c r="H24" s="53">
        <v>0.55000000000000004</v>
      </c>
      <c r="I24" s="53">
        <v>84.406987752204003</v>
      </c>
      <c r="J24" s="53">
        <v>1.6376655408969301</v>
      </c>
      <c r="K24">
        <f t="shared" si="0"/>
        <v>2</v>
      </c>
      <c r="Q24" s="61" t="s">
        <v>337</v>
      </c>
      <c r="R24" s="56">
        <v>2</v>
      </c>
    </row>
    <row r="25" spans="1:18" x14ac:dyDescent="0.25">
      <c r="A25" s="3" t="s">
        <v>65</v>
      </c>
      <c r="B25" s="53">
        <v>5</v>
      </c>
      <c r="C25" s="53">
        <v>78.599999999999994</v>
      </c>
      <c r="D25" s="53">
        <v>6.44</v>
      </c>
      <c r="E25" s="53">
        <v>7.3675633729270924</v>
      </c>
      <c r="F25" s="53">
        <v>49463.99116942488</v>
      </c>
      <c r="G25" s="53">
        <v>0.111692733764648</v>
      </c>
      <c r="H25" s="53">
        <v>0.69</v>
      </c>
      <c r="I25" s="53">
        <v>69.97884130192277</v>
      </c>
      <c r="J25" s="53">
        <v>2.38851188830618</v>
      </c>
      <c r="K25">
        <f t="shared" si="0"/>
        <v>5</v>
      </c>
      <c r="Q25" s="61" t="s">
        <v>25</v>
      </c>
      <c r="R25" s="56">
        <v>2</v>
      </c>
    </row>
    <row r="26" spans="1:18" x14ac:dyDescent="0.25">
      <c r="A26" s="3" t="s">
        <v>388</v>
      </c>
      <c r="B26" s="53">
        <v>3</v>
      </c>
      <c r="C26" s="53">
        <v>82.4</v>
      </c>
      <c r="D26" s="53">
        <v>11.14</v>
      </c>
      <c r="E26" s="53">
        <v>3.7849075869171078</v>
      </c>
      <c r="F26" s="53">
        <v>48758.857022163567</v>
      </c>
      <c r="G26" s="53">
        <v>9.7091884613037097E-2</v>
      </c>
      <c r="H26" s="53">
        <v>0.72</v>
      </c>
      <c r="I26" s="53">
        <v>366.86566302808836</v>
      </c>
      <c r="J26" s="53">
        <v>1.3543893401962401</v>
      </c>
      <c r="K26">
        <f t="shared" si="0"/>
        <v>3</v>
      </c>
      <c r="Q26" s="61" t="s">
        <v>361</v>
      </c>
      <c r="R26" s="56">
        <v>2</v>
      </c>
    </row>
    <row r="27" spans="1:18" x14ac:dyDescent="0.25">
      <c r="A27" s="3" t="s">
        <v>503</v>
      </c>
      <c r="B27" s="53">
        <v>5</v>
      </c>
      <c r="C27" s="53">
        <v>76.599999999999994</v>
      </c>
      <c r="D27" s="53">
        <v>6.48</v>
      </c>
      <c r="E27" s="53">
        <v>3.5641375014598826</v>
      </c>
      <c r="F27" s="53">
        <v>47903.341148648993</v>
      </c>
      <c r="G27" s="53">
        <v>8.1443548202514593E-2</v>
      </c>
      <c r="H27" s="53">
        <v>0.91</v>
      </c>
      <c r="I27" s="53">
        <v>173.79404592361107</v>
      </c>
      <c r="J27" s="53">
        <v>1.7305450659253301</v>
      </c>
      <c r="K27">
        <f t="shared" si="0"/>
        <v>5</v>
      </c>
      <c r="Q27" s="61" t="s">
        <v>14</v>
      </c>
      <c r="R27" s="56">
        <v>2</v>
      </c>
    </row>
    <row r="28" spans="1:18" x14ac:dyDescent="0.25">
      <c r="A28" s="3" t="s">
        <v>334</v>
      </c>
      <c r="B28" s="53">
        <v>3</v>
      </c>
      <c r="C28" s="53">
        <v>82</v>
      </c>
      <c r="D28" s="53">
        <v>9.48</v>
      </c>
      <c r="E28" s="53">
        <v>5.9347351788582579</v>
      </c>
      <c r="F28" s="53">
        <v>54947.470137240023</v>
      </c>
      <c r="G28" s="53">
        <v>0.11501742362976101</v>
      </c>
      <c r="H28" s="53">
        <v>0.62</v>
      </c>
      <c r="I28" s="53">
        <v>305.39652451354999</v>
      </c>
      <c r="J28" s="53">
        <v>1.1879860151950101</v>
      </c>
      <c r="K28">
        <f t="shared" si="0"/>
        <v>3</v>
      </c>
      <c r="Q28" s="61" t="s">
        <v>619</v>
      </c>
      <c r="R28" s="56">
        <v>2</v>
      </c>
    </row>
    <row r="29" spans="1:18" x14ac:dyDescent="0.25">
      <c r="A29" s="3" t="s">
        <v>63</v>
      </c>
      <c r="B29" s="53">
        <v>2</v>
      </c>
      <c r="C29" s="53">
        <v>83.4</v>
      </c>
      <c r="D29" s="53">
        <v>11.25</v>
      </c>
      <c r="E29" s="53">
        <v>3.242989143127474</v>
      </c>
      <c r="F29" s="53">
        <v>70206.611636511487</v>
      </c>
      <c r="G29" s="53">
        <v>0.13531939506530802</v>
      </c>
      <c r="H29" s="53">
        <v>1.1100000000000001</v>
      </c>
      <c r="I29" s="53">
        <v>153.00776867014963</v>
      </c>
      <c r="J29" s="53">
        <v>1.30746311852624</v>
      </c>
      <c r="K29">
        <f t="shared" si="0"/>
        <v>2</v>
      </c>
      <c r="Q29" s="61" t="s">
        <v>63</v>
      </c>
      <c r="R29" s="56">
        <v>2</v>
      </c>
    </row>
    <row r="30" spans="1:18" x14ac:dyDescent="0.25">
      <c r="Q30" s="61" t="s">
        <v>54</v>
      </c>
      <c r="R30" s="56">
        <v>3</v>
      </c>
    </row>
    <row r="31" spans="1:18" x14ac:dyDescent="0.25">
      <c r="Q31" s="61" t="s">
        <v>587</v>
      </c>
      <c r="R31" s="56">
        <v>3</v>
      </c>
    </row>
    <row r="32" spans="1:18" ht="50.25" customHeight="1" x14ac:dyDescent="0.25">
      <c r="A32" s="37" t="s">
        <v>653</v>
      </c>
      <c r="B32" s="54" t="s">
        <v>774</v>
      </c>
      <c r="C32" s="38" t="s">
        <v>680</v>
      </c>
      <c r="D32" s="38" t="s">
        <v>699</v>
      </c>
      <c r="E32" s="38" t="s">
        <v>674</v>
      </c>
      <c r="F32" s="38" t="s">
        <v>676</v>
      </c>
      <c r="G32" s="38" t="s">
        <v>679</v>
      </c>
      <c r="H32" s="38" t="s">
        <v>675</v>
      </c>
      <c r="I32" s="38" t="s">
        <v>681</v>
      </c>
      <c r="J32" s="38" t="s">
        <v>700</v>
      </c>
      <c r="K32" s="54" t="s">
        <v>774</v>
      </c>
      <c r="Q32" s="61" t="s">
        <v>311</v>
      </c>
      <c r="R32" s="56">
        <v>3</v>
      </c>
    </row>
    <row r="33" spans="1:18" x14ac:dyDescent="0.25">
      <c r="A33" s="97" t="s">
        <v>263</v>
      </c>
      <c r="B33" s="58">
        <v>1</v>
      </c>
      <c r="C33" s="58">
        <v>83.4</v>
      </c>
      <c r="D33" s="58">
        <v>5.67</v>
      </c>
      <c r="E33" s="58">
        <v>12.456953232691275</v>
      </c>
      <c r="F33" s="58">
        <v>143341.47312464545</v>
      </c>
      <c r="G33" s="58">
        <v>0.11003183364868199</v>
      </c>
      <c r="H33" s="58">
        <v>1.39</v>
      </c>
      <c r="I33" s="58">
        <v>194.04309569043096</v>
      </c>
      <c r="J33" s="58">
        <v>0.700406724896945</v>
      </c>
      <c r="K33" s="59">
        <f t="shared" ref="K33:K60" si="1">VLOOKUP(A33,$Q$19:$R$46,2,0)</f>
        <v>1</v>
      </c>
      <c r="Q33" s="61" t="s">
        <v>436</v>
      </c>
      <c r="R33" s="56">
        <v>3</v>
      </c>
    </row>
    <row r="34" spans="1:18" x14ac:dyDescent="0.25">
      <c r="A34" s="4" t="s">
        <v>169</v>
      </c>
      <c r="B34" s="53">
        <v>2</v>
      </c>
      <c r="C34" s="53">
        <v>84.2</v>
      </c>
      <c r="D34" s="53">
        <v>11.80107975</v>
      </c>
      <c r="E34" s="53">
        <v>4.042072814753408</v>
      </c>
      <c r="F34" s="53">
        <v>92980.401876094998</v>
      </c>
      <c r="G34" s="53">
        <v>0.14550841331481901</v>
      </c>
      <c r="H34" s="53">
        <v>0.48</v>
      </c>
      <c r="I34" s="53">
        <v>235.89972412116612</v>
      </c>
      <c r="J34" s="53">
        <v>0.76465339190691706</v>
      </c>
      <c r="K34">
        <f t="shared" si="1"/>
        <v>2</v>
      </c>
      <c r="Q34" s="61" t="s">
        <v>72</v>
      </c>
      <c r="R34" s="56">
        <v>3</v>
      </c>
    </row>
    <row r="35" spans="1:18" x14ac:dyDescent="0.25">
      <c r="A35" s="3" t="s">
        <v>401</v>
      </c>
      <c r="B35" s="53">
        <v>2</v>
      </c>
      <c r="C35" s="53">
        <v>82.5</v>
      </c>
      <c r="D35" s="53">
        <v>9.43</v>
      </c>
      <c r="E35" s="53">
        <v>5.4719980089484199</v>
      </c>
      <c r="F35" s="53">
        <v>57100.46484375</v>
      </c>
      <c r="G35" s="53">
        <v>0.12736209869384799</v>
      </c>
      <c r="H35" s="53">
        <v>0.77</v>
      </c>
      <c r="I35" s="53">
        <v>35.846672689336337</v>
      </c>
      <c r="J35" s="53">
        <v>1.8147966516278899</v>
      </c>
      <c r="K35">
        <f t="shared" si="1"/>
        <v>2</v>
      </c>
      <c r="Q35" s="61" t="s">
        <v>155</v>
      </c>
      <c r="R35" s="56">
        <v>3</v>
      </c>
    </row>
    <row r="36" spans="1:18" x14ac:dyDescent="0.25">
      <c r="A36" s="3" t="s">
        <v>274</v>
      </c>
      <c r="B36" s="53">
        <v>2</v>
      </c>
      <c r="C36" s="53">
        <v>81.900000000000006</v>
      </c>
      <c r="D36" s="53">
        <v>10.82</v>
      </c>
      <c r="E36" s="53">
        <v>4.6912373075163369</v>
      </c>
      <c r="F36" s="53">
        <v>76687.902843730641</v>
      </c>
      <c r="G36" s="53">
        <v>0.11888381004333499</v>
      </c>
      <c r="H36" s="53">
        <v>1</v>
      </c>
      <c r="I36" s="53">
        <v>44.512870912845095</v>
      </c>
      <c r="J36" s="53">
        <v>1.4189603714329999</v>
      </c>
      <c r="K36">
        <f t="shared" si="1"/>
        <v>2</v>
      </c>
      <c r="Q36" s="61" t="s">
        <v>388</v>
      </c>
      <c r="R36" s="56">
        <v>3</v>
      </c>
    </row>
    <row r="37" spans="1:18" x14ac:dyDescent="0.25">
      <c r="A37" s="3" t="s">
        <v>47</v>
      </c>
      <c r="B37" s="53">
        <v>2</v>
      </c>
      <c r="C37" s="53">
        <v>81.7</v>
      </c>
      <c r="D37" s="53">
        <v>10.25</v>
      </c>
      <c r="E37" s="53">
        <v>6.5701451277257457</v>
      </c>
      <c r="F37" s="53">
        <v>65060.674161832023</v>
      </c>
      <c r="G37" s="53">
        <v>0.10231122016906699</v>
      </c>
      <c r="H37" s="53">
        <v>1.5</v>
      </c>
      <c r="I37" s="53">
        <v>70.131530006134255</v>
      </c>
      <c r="J37" s="53">
        <v>1.7216829026165299</v>
      </c>
      <c r="K37">
        <f t="shared" si="1"/>
        <v>2</v>
      </c>
      <c r="Q37" s="61" t="s">
        <v>334</v>
      </c>
      <c r="R37" s="56">
        <v>3</v>
      </c>
    </row>
    <row r="38" spans="1:18" x14ac:dyDescent="0.25">
      <c r="A38" s="3" t="s">
        <v>337</v>
      </c>
      <c r="B38" s="53">
        <v>2</v>
      </c>
      <c r="C38" s="53">
        <v>83.1</v>
      </c>
      <c r="D38" s="53">
        <v>12.307872769999999</v>
      </c>
      <c r="E38" s="53">
        <v>3.9536824518799136</v>
      </c>
      <c r="F38" s="53">
        <v>61156.772819256643</v>
      </c>
      <c r="G38" s="53">
        <v>8.875411033630369E-2</v>
      </c>
      <c r="H38" s="53">
        <v>1.21</v>
      </c>
      <c r="I38" s="53">
        <v>103.60469429450643</v>
      </c>
      <c r="J38" s="53">
        <v>1.9387234180687101</v>
      </c>
      <c r="K38">
        <f t="shared" si="1"/>
        <v>2</v>
      </c>
      <c r="Q38" s="61" t="s">
        <v>631</v>
      </c>
      <c r="R38" s="56">
        <v>4</v>
      </c>
    </row>
    <row r="39" spans="1:18" x14ac:dyDescent="0.25">
      <c r="A39" s="3" t="s">
        <v>25</v>
      </c>
      <c r="B39" s="53">
        <v>2</v>
      </c>
      <c r="C39" s="53">
        <v>82.6</v>
      </c>
      <c r="D39" s="53">
        <v>9.73</v>
      </c>
      <c r="E39" s="53">
        <v>3.9474653648526594</v>
      </c>
      <c r="F39" s="53">
        <v>77567.191812574616</v>
      </c>
      <c r="G39" s="53">
        <v>0.15406312942504902</v>
      </c>
      <c r="H39" s="53">
        <v>1.06</v>
      </c>
      <c r="I39" s="53">
        <v>302.53409212928165</v>
      </c>
      <c r="J39" s="53">
        <v>1E-3</v>
      </c>
      <c r="K39">
        <f t="shared" si="1"/>
        <v>2</v>
      </c>
      <c r="Q39" s="61" t="s">
        <v>556</v>
      </c>
      <c r="R39" s="56">
        <v>5</v>
      </c>
    </row>
    <row r="40" spans="1:18" x14ac:dyDescent="0.25">
      <c r="A40" s="3" t="s">
        <v>361</v>
      </c>
      <c r="B40" s="53">
        <v>2</v>
      </c>
      <c r="C40" s="53">
        <v>83.6</v>
      </c>
      <c r="D40" s="53">
        <v>10.58</v>
      </c>
      <c r="E40" s="53">
        <v>3.1255578927759191</v>
      </c>
      <c r="F40" s="53">
        <v>62445.681490419811</v>
      </c>
      <c r="G40" s="53">
        <v>0.12658941268920901</v>
      </c>
      <c r="H40" s="53">
        <v>1.54</v>
      </c>
      <c r="I40" s="53">
        <v>295.44718206643319</v>
      </c>
      <c r="J40" s="53">
        <v>0.49920686499012495</v>
      </c>
      <c r="K40">
        <f t="shared" si="1"/>
        <v>2</v>
      </c>
      <c r="Q40" s="61" t="s">
        <v>468</v>
      </c>
      <c r="R40" s="56">
        <v>5</v>
      </c>
    </row>
    <row r="41" spans="1:18" x14ac:dyDescent="0.25">
      <c r="A41" s="3" t="s">
        <v>14</v>
      </c>
      <c r="B41" s="53">
        <v>2</v>
      </c>
      <c r="C41" s="53">
        <v>82</v>
      </c>
      <c r="D41" s="53">
        <v>11.29</v>
      </c>
      <c r="E41" s="53">
        <v>7.4715534787718951</v>
      </c>
      <c r="F41" s="53">
        <v>78215.066303860061</v>
      </c>
      <c r="G41" s="53">
        <v>0.11019962310791</v>
      </c>
      <c r="H41" s="53">
        <v>0.81</v>
      </c>
      <c r="I41" s="53">
        <v>129.46981710648762</v>
      </c>
      <c r="J41" s="53">
        <v>1.5832811384634797</v>
      </c>
      <c r="K41">
        <f t="shared" si="1"/>
        <v>2</v>
      </c>
      <c r="Q41" s="61" t="s">
        <v>473</v>
      </c>
      <c r="R41" s="56">
        <v>5</v>
      </c>
    </row>
    <row r="42" spans="1:18" x14ac:dyDescent="0.25">
      <c r="A42" s="3" t="s">
        <v>619</v>
      </c>
      <c r="B42" s="53">
        <v>2</v>
      </c>
      <c r="C42" s="53">
        <v>83.1</v>
      </c>
      <c r="D42" s="53">
        <v>10.08</v>
      </c>
      <c r="E42" s="53">
        <v>6.7250800496330969</v>
      </c>
      <c r="F42" s="53">
        <v>104459.81192279447</v>
      </c>
      <c r="G42" s="53">
        <v>0.102669334411621</v>
      </c>
      <c r="H42" s="53">
        <v>0.55000000000000004</v>
      </c>
      <c r="I42" s="53">
        <v>84.406987752204003</v>
      </c>
      <c r="J42" s="53">
        <v>1.6376655408969301</v>
      </c>
      <c r="K42">
        <f t="shared" si="1"/>
        <v>2</v>
      </c>
      <c r="Q42" s="61" t="s">
        <v>46</v>
      </c>
      <c r="R42" s="56">
        <v>5</v>
      </c>
    </row>
    <row r="43" spans="1:18" x14ac:dyDescent="0.25">
      <c r="A43" s="98" t="s">
        <v>63</v>
      </c>
      <c r="B43" s="60">
        <v>2</v>
      </c>
      <c r="C43" s="60">
        <v>83.4</v>
      </c>
      <c r="D43" s="60">
        <v>11.25</v>
      </c>
      <c r="E43" s="60">
        <v>3.242989143127474</v>
      </c>
      <c r="F43" s="60">
        <v>70206.611636511487</v>
      </c>
      <c r="G43" s="60">
        <v>0.13531939506530802</v>
      </c>
      <c r="H43" s="60">
        <v>1.1100000000000001</v>
      </c>
      <c r="I43" s="60">
        <v>153.00776867014963</v>
      </c>
      <c r="J43" s="60">
        <v>1.30746311852624</v>
      </c>
      <c r="K43" s="5">
        <f t="shared" si="1"/>
        <v>2</v>
      </c>
      <c r="Q43" s="61" t="s">
        <v>379</v>
      </c>
      <c r="R43" s="56">
        <v>5</v>
      </c>
    </row>
    <row r="44" spans="1:18" x14ac:dyDescent="0.25">
      <c r="A44" s="4" t="s">
        <v>54</v>
      </c>
      <c r="B44" s="53">
        <v>3</v>
      </c>
      <c r="C44" s="53">
        <v>81.599999999999994</v>
      </c>
      <c r="D44" s="53">
        <v>12.1</v>
      </c>
      <c r="E44" s="53">
        <v>6.6326457373354577</v>
      </c>
      <c r="F44" s="53">
        <v>73751.352706379985</v>
      </c>
      <c r="G44" s="53">
        <v>8.8113784790039104E-2</v>
      </c>
      <c r="H44" s="53">
        <v>0.72</v>
      </c>
      <c r="I44" s="53">
        <v>456.564613958981</v>
      </c>
      <c r="J44" s="53">
        <v>0.77260715738691399</v>
      </c>
      <c r="K44">
        <f t="shared" si="1"/>
        <v>3</v>
      </c>
      <c r="Q44" s="61" t="s">
        <v>240</v>
      </c>
      <c r="R44" s="56">
        <v>5</v>
      </c>
    </row>
    <row r="45" spans="1:18" x14ac:dyDescent="0.25">
      <c r="A45" s="3" t="s">
        <v>587</v>
      </c>
      <c r="B45" s="53">
        <v>3</v>
      </c>
      <c r="C45" s="53">
        <v>82.5</v>
      </c>
      <c r="D45" s="53">
        <v>11.04290771</v>
      </c>
      <c r="E45" s="53">
        <v>7.3981306577468127</v>
      </c>
      <c r="F45" s="53">
        <v>70455.958425795616</v>
      </c>
      <c r="G45" s="53">
        <v>0.113196802139282</v>
      </c>
      <c r="H45" s="53">
        <v>1.54</v>
      </c>
      <c r="I45" s="53">
        <v>362.93192027235858</v>
      </c>
      <c r="J45" s="53">
        <v>1.17973708133594</v>
      </c>
      <c r="K45">
        <f t="shared" si="1"/>
        <v>3</v>
      </c>
      <c r="Q45" s="61" t="s">
        <v>65</v>
      </c>
      <c r="R45" s="56">
        <v>5</v>
      </c>
    </row>
    <row r="46" spans="1:18" ht="15.75" thickBot="1" x14ac:dyDescent="0.3">
      <c r="A46" s="3" t="s">
        <v>311</v>
      </c>
      <c r="B46" s="53">
        <v>3</v>
      </c>
      <c r="C46" s="53">
        <v>80</v>
      </c>
      <c r="D46" s="53">
        <v>9.4887867000000004</v>
      </c>
      <c r="E46" s="53">
        <v>8.3040174958388864</v>
      </c>
      <c r="F46" s="53">
        <v>53816.803389523178</v>
      </c>
      <c r="G46" s="53">
        <v>0.108769035339355</v>
      </c>
      <c r="H46" s="53">
        <v>0.75</v>
      </c>
      <c r="I46" s="53">
        <v>211.36000286318796</v>
      </c>
      <c r="J46" s="53">
        <v>1.3580638321417899</v>
      </c>
      <c r="K46">
        <f t="shared" si="1"/>
        <v>3</v>
      </c>
      <c r="Q46" s="62" t="s">
        <v>503</v>
      </c>
      <c r="R46" s="57">
        <v>5</v>
      </c>
    </row>
    <row r="47" spans="1:18" x14ac:dyDescent="0.25">
      <c r="A47" s="3" t="s">
        <v>436</v>
      </c>
      <c r="B47" s="53">
        <v>3</v>
      </c>
      <c r="C47" s="53">
        <v>81.2</v>
      </c>
      <c r="D47" s="53">
        <v>12.934129710000001</v>
      </c>
      <c r="E47" s="53">
        <v>7.2552210281684033</v>
      </c>
      <c r="F47" s="53">
        <v>69338.293226446665</v>
      </c>
      <c r="G47" s="53">
        <v>9.0661725997924811E-2</v>
      </c>
      <c r="H47" s="53">
        <v>0.74</v>
      </c>
      <c r="I47" s="53">
        <v>388.39451061623362</v>
      </c>
      <c r="J47" s="53">
        <v>1.3900550095965298</v>
      </c>
      <c r="K47">
        <f t="shared" si="1"/>
        <v>3</v>
      </c>
    </row>
    <row r="48" spans="1:18" x14ac:dyDescent="0.25">
      <c r="A48" s="3" t="s">
        <v>72</v>
      </c>
      <c r="B48" s="53">
        <v>3</v>
      </c>
      <c r="C48" s="53">
        <v>84</v>
      </c>
      <c r="D48" s="53">
        <v>10.740038869999999</v>
      </c>
      <c r="E48" s="53">
        <v>4.2795945712140995</v>
      </c>
      <c r="F48" s="53">
        <v>52779.234057370304</v>
      </c>
      <c r="G48" s="53">
        <v>9.1786003112793002E-2</v>
      </c>
      <c r="H48" s="53">
        <v>0.69</v>
      </c>
      <c r="I48" s="53">
        <v>249.20388341488072</v>
      </c>
      <c r="J48" s="53">
        <v>1.4660338438573299</v>
      </c>
      <c r="K48">
        <f t="shared" si="1"/>
        <v>3</v>
      </c>
    </row>
    <row r="49" spans="1:21" x14ac:dyDescent="0.25">
      <c r="A49" s="3" t="s">
        <v>155</v>
      </c>
      <c r="B49" s="53">
        <v>3</v>
      </c>
      <c r="C49" s="53">
        <v>83.8</v>
      </c>
      <c r="D49" s="53">
        <v>9.3800000000000008</v>
      </c>
      <c r="E49" s="53">
        <v>4.7323727707993539</v>
      </c>
      <c r="F49" s="53">
        <v>58754.90787787213</v>
      </c>
      <c r="G49" s="53">
        <v>7.437161922454831E-2</v>
      </c>
      <c r="H49" s="53">
        <v>0.55000000000000004</v>
      </c>
      <c r="I49" s="53">
        <v>346.2151439091557</v>
      </c>
      <c r="J49" s="53">
        <v>1.6790923384615599</v>
      </c>
      <c r="K49">
        <f t="shared" si="1"/>
        <v>3</v>
      </c>
      <c r="R49" s="53"/>
      <c r="S49" s="53"/>
      <c r="T49" s="53"/>
      <c r="U49" s="53"/>
    </row>
    <row r="50" spans="1:21" x14ac:dyDescent="0.25">
      <c r="A50" s="3" t="s">
        <v>388</v>
      </c>
      <c r="B50" s="53">
        <v>3</v>
      </c>
      <c r="C50" s="53">
        <v>82.4</v>
      </c>
      <c r="D50" s="53">
        <v>11.14</v>
      </c>
      <c r="E50" s="53">
        <v>3.7849075869171078</v>
      </c>
      <c r="F50" s="53">
        <v>48758.857022163567</v>
      </c>
      <c r="G50" s="53">
        <v>9.7091884613037097E-2</v>
      </c>
      <c r="H50" s="53">
        <v>0.72</v>
      </c>
      <c r="I50" s="53">
        <v>366.86566302808836</v>
      </c>
      <c r="J50" s="53">
        <v>1.3543893401962401</v>
      </c>
      <c r="K50">
        <f t="shared" si="1"/>
        <v>3</v>
      </c>
      <c r="P50" s="53"/>
    </row>
    <row r="51" spans="1:21" x14ac:dyDescent="0.25">
      <c r="A51" s="98" t="s">
        <v>334</v>
      </c>
      <c r="B51" s="60">
        <v>3</v>
      </c>
      <c r="C51" s="60">
        <v>82</v>
      </c>
      <c r="D51" s="60">
        <v>9.48</v>
      </c>
      <c r="E51" s="60">
        <v>5.9347351788582579</v>
      </c>
      <c r="F51" s="60">
        <v>54947.470137240023</v>
      </c>
      <c r="G51" s="60">
        <v>0.11501742362976101</v>
      </c>
      <c r="H51" s="60">
        <v>0.62</v>
      </c>
      <c r="I51" s="60">
        <v>305.39652451354999</v>
      </c>
      <c r="J51" s="60">
        <v>1.1879860151950101</v>
      </c>
      <c r="K51" s="5">
        <f t="shared" si="1"/>
        <v>3</v>
      </c>
    </row>
    <row r="52" spans="1:21" x14ac:dyDescent="0.25">
      <c r="A52" s="97" t="s">
        <v>631</v>
      </c>
      <c r="B52" s="58">
        <v>4</v>
      </c>
      <c r="C52" s="58">
        <v>81.599999999999994</v>
      </c>
      <c r="D52" s="58">
        <v>9.1729879400000005</v>
      </c>
      <c r="E52" s="58">
        <v>4.7671849370183885</v>
      </c>
      <c r="F52" s="58">
        <v>41186.81220278937</v>
      </c>
      <c r="G52" s="58">
        <v>7.1118955612182594E-2</v>
      </c>
      <c r="H52" s="58">
        <v>0.76</v>
      </c>
      <c r="I52" s="58">
        <v>116.90564864516325</v>
      </c>
      <c r="J52" s="58">
        <v>3.6920744951686402</v>
      </c>
      <c r="K52" s="59">
        <f t="shared" si="1"/>
        <v>4</v>
      </c>
    </row>
    <row r="53" spans="1:21" x14ac:dyDescent="0.25">
      <c r="A53" s="4" t="s">
        <v>556</v>
      </c>
      <c r="B53" s="53">
        <v>5</v>
      </c>
      <c r="C53" s="53">
        <v>75.8</v>
      </c>
      <c r="D53" s="53">
        <v>8.56</v>
      </c>
      <c r="E53" s="53">
        <v>4.9232803794050053</v>
      </c>
      <c r="F53" s="53">
        <v>38689.548074916594</v>
      </c>
      <c r="G53" s="53">
        <v>0.10561671257019001</v>
      </c>
      <c r="H53" s="53">
        <v>1.1100000000000001</v>
      </c>
      <c r="I53" s="53">
        <v>110.63222339072571</v>
      </c>
      <c r="J53" s="53">
        <v>1.50812345474607</v>
      </c>
      <c r="K53">
        <f t="shared" si="1"/>
        <v>5</v>
      </c>
    </row>
    <row r="54" spans="1:21" x14ac:dyDescent="0.25">
      <c r="A54" s="3" t="s">
        <v>468</v>
      </c>
      <c r="B54" s="53">
        <v>5</v>
      </c>
      <c r="C54" s="53">
        <v>78.8</v>
      </c>
      <c r="D54" s="53">
        <v>7.4905729299999999</v>
      </c>
      <c r="E54" s="53">
        <v>5.3383998158736761</v>
      </c>
      <c r="F54" s="53">
        <v>48992.140951181515</v>
      </c>
      <c r="G54" s="53">
        <v>0.14251974105835</v>
      </c>
      <c r="H54" s="53">
        <v>1.35</v>
      </c>
      <c r="I54" s="53">
        <v>133.06464943362997</v>
      </c>
      <c r="J54" s="53">
        <v>2.0866657905942798</v>
      </c>
      <c r="K54">
        <f t="shared" si="1"/>
        <v>5</v>
      </c>
    </row>
    <row r="55" spans="1:21" x14ac:dyDescent="0.25">
      <c r="A55" s="3" t="s">
        <v>473</v>
      </c>
      <c r="B55" s="53">
        <v>5</v>
      </c>
      <c r="C55" s="53">
        <v>78.599999999999994</v>
      </c>
      <c r="D55" s="53">
        <v>8.1</v>
      </c>
      <c r="E55" s="53">
        <v>3.8607053917305714</v>
      </c>
      <c r="F55" s="53">
        <v>45909.634484175825</v>
      </c>
      <c r="G55" s="53">
        <v>0.10720606803894001</v>
      </c>
      <c r="H55" s="53">
        <v>0.8</v>
      </c>
      <c r="I55" s="53">
        <v>307.24564002762583</v>
      </c>
      <c r="J55" s="53">
        <v>2.1674905163411697</v>
      </c>
      <c r="K55">
        <f t="shared" si="1"/>
        <v>5</v>
      </c>
    </row>
    <row r="56" spans="1:21" x14ac:dyDescent="0.25">
      <c r="A56" s="3" t="s">
        <v>46</v>
      </c>
      <c r="B56" s="53">
        <v>5</v>
      </c>
      <c r="C56" s="53">
        <v>76.900000000000006</v>
      </c>
      <c r="D56" s="53">
        <v>7.38</v>
      </c>
      <c r="E56" s="53">
        <v>4.591652907047882</v>
      </c>
      <c r="F56" s="53">
        <v>45942.169490682201</v>
      </c>
      <c r="G56" s="53">
        <v>0.103632917404175</v>
      </c>
      <c r="H56" s="53">
        <v>0.88</v>
      </c>
      <c r="I56" s="53">
        <v>191.54694939417959</v>
      </c>
      <c r="J56" s="53">
        <v>1.52573720690762</v>
      </c>
      <c r="K56">
        <f t="shared" si="1"/>
        <v>5</v>
      </c>
    </row>
    <row r="57" spans="1:21" x14ac:dyDescent="0.25">
      <c r="A57" s="3" t="s">
        <v>379</v>
      </c>
      <c r="B57" s="53">
        <v>5</v>
      </c>
      <c r="C57" s="53">
        <v>77.3</v>
      </c>
      <c r="D57" s="53">
        <v>7.82</v>
      </c>
      <c r="E57" s="53">
        <v>4.1840004150439096</v>
      </c>
      <c r="F57" s="53">
        <v>51877.00651927686</v>
      </c>
      <c r="G57" s="53">
        <v>0.127444953918457</v>
      </c>
      <c r="H57" s="53">
        <v>2.21</v>
      </c>
      <c r="I57" s="53">
        <v>113.60881507291208</v>
      </c>
      <c r="J57" s="53">
        <v>2.52262366538611</v>
      </c>
      <c r="K57">
        <f t="shared" si="1"/>
        <v>5</v>
      </c>
    </row>
    <row r="58" spans="1:21" x14ac:dyDescent="0.25">
      <c r="A58" s="3" t="s">
        <v>240</v>
      </c>
      <c r="B58" s="53">
        <v>5</v>
      </c>
      <c r="C58" s="53">
        <v>75.900000000000006</v>
      </c>
      <c r="D58" s="53">
        <v>9.0399999999999991</v>
      </c>
      <c r="E58" s="53">
        <v>3.6456121684928142</v>
      </c>
      <c r="F58" s="53">
        <v>42501.027882049464</v>
      </c>
      <c r="G58" s="53">
        <v>0.126531772613525</v>
      </c>
      <c r="H58" s="53">
        <v>4.05</v>
      </c>
      <c r="I58" s="53">
        <v>212.41821394647889</v>
      </c>
      <c r="J58" s="53">
        <v>2.0498651345644303</v>
      </c>
      <c r="K58">
        <f t="shared" si="1"/>
        <v>5</v>
      </c>
    </row>
    <row r="59" spans="1:21" x14ac:dyDescent="0.25">
      <c r="A59" s="3" t="s">
        <v>65</v>
      </c>
      <c r="B59" s="53">
        <v>5</v>
      </c>
      <c r="C59" s="53">
        <v>78.599999999999994</v>
      </c>
      <c r="D59" s="53">
        <v>6.44</v>
      </c>
      <c r="E59" s="53">
        <v>7.3675633729270924</v>
      </c>
      <c r="F59" s="53">
        <v>49463.99116942488</v>
      </c>
      <c r="G59" s="53">
        <v>0.111692733764648</v>
      </c>
      <c r="H59" s="53">
        <v>0.69</v>
      </c>
      <c r="I59" s="53">
        <v>69.97884130192277</v>
      </c>
      <c r="J59" s="53">
        <v>2.38851188830618</v>
      </c>
      <c r="K59">
        <f t="shared" si="1"/>
        <v>5</v>
      </c>
    </row>
    <row r="60" spans="1:21" x14ac:dyDescent="0.25">
      <c r="A60" s="3" t="s">
        <v>503</v>
      </c>
      <c r="B60" s="53">
        <v>5</v>
      </c>
      <c r="C60" s="53">
        <v>76.599999999999994</v>
      </c>
      <c r="D60" s="53">
        <v>6.48</v>
      </c>
      <c r="E60" s="53">
        <v>3.5641375014598826</v>
      </c>
      <c r="F60" s="53">
        <v>47903.341148648993</v>
      </c>
      <c r="G60" s="53">
        <v>8.1443548202514593E-2</v>
      </c>
      <c r="H60" s="53">
        <v>0.91</v>
      </c>
      <c r="I60" s="53">
        <v>173.79404592361107</v>
      </c>
      <c r="J60" s="53">
        <v>1.7305450659253301</v>
      </c>
      <c r="K60">
        <f t="shared" si="1"/>
        <v>5</v>
      </c>
    </row>
    <row r="62" spans="1:21" ht="75" x14ac:dyDescent="0.25">
      <c r="A62" s="60"/>
      <c r="B62" s="60"/>
      <c r="C62" s="38" t="s">
        <v>680</v>
      </c>
      <c r="D62" s="38" t="s">
        <v>699</v>
      </c>
      <c r="E62" s="38" t="s">
        <v>674</v>
      </c>
      <c r="F62" s="38" t="s">
        <v>676</v>
      </c>
      <c r="G62" s="38" t="s">
        <v>679</v>
      </c>
      <c r="H62" s="38" t="s">
        <v>675</v>
      </c>
      <c r="I62" s="38" t="s">
        <v>681</v>
      </c>
      <c r="J62" s="38" t="s">
        <v>700</v>
      </c>
    </row>
    <row r="63" spans="1:21" x14ac:dyDescent="0.25">
      <c r="A63" s="177" t="s">
        <v>683</v>
      </c>
      <c r="B63" s="53" t="s">
        <v>845</v>
      </c>
      <c r="C63" s="63">
        <f>AVERAGE(C33)</f>
        <v>83.4</v>
      </c>
      <c r="D63" s="63">
        <f t="shared" ref="D63:J63" si="2">AVERAGE(D33)</f>
        <v>5.67</v>
      </c>
      <c r="E63" s="63">
        <f t="shared" si="2"/>
        <v>12.456953232691275</v>
      </c>
      <c r="F63" s="63">
        <f t="shared" si="2"/>
        <v>143341.47312464545</v>
      </c>
      <c r="G63" s="63">
        <f t="shared" si="2"/>
        <v>0.11003183364868199</v>
      </c>
      <c r="H63" s="63">
        <f t="shared" si="2"/>
        <v>1.39</v>
      </c>
      <c r="I63" s="63">
        <f t="shared" si="2"/>
        <v>194.04309569043096</v>
      </c>
      <c r="J63" s="63">
        <f t="shared" si="2"/>
        <v>0.700406724896945</v>
      </c>
    </row>
    <row r="64" spans="1:21" x14ac:dyDescent="0.25">
      <c r="A64" s="178"/>
      <c r="B64" s="53" t="s">
        <v>846</v>
      </c>
      <c r="C64" s="63">
        <f>AVERAGE(C34:C43)</f>
        <v>82.81</v>
      </c>
      <c r="D64" s="63">
        <f t="shared" ref="D64:J64" si="3">AVERAGE(D34:D43)</f>
        <v>10.753895252</v>
      </c>
      <c r="E64" s="63">
        <f t="shared" si="3"/>
        <v>4.9241781639984872</v>
      </c>
      <c r="F64" s="63">
        <f t="shared" si="3"/>
        <v>74588.057971082482</v>
      </c>
      <c r="G64" s="63">
        <f t="shared" si="3"/>
        <v>0.12116605472564694</v>
      </c>
      <c r="H64" s="63">
        <f t="shared" si="3"/>
        <v>1.0029999999999999</v>
      </c>
      <c r="I64" s="63">
        <f t="shared" si="3"/>
        <v>145.48613397485443</v>
      </c>
      <c r="J64" s="63">
        <f t="shared" si="3"/>
        <v>1.2687433398529824</v>
      </c>
    </row>
    <row r="65" spans="1:10" x14ac:dyDescent="0.25">
      <c r="A65" s="178"/>
      <c r="B65" s="53" t="s">
        <v>847</v>
      </c>
      <c r="C65" s="63">
        <f t="shared" ref="C65:J65" si="4">AVERAGE(C44:C51)</f>
        <v>82.1875</v>
      </c>
      <c r="D65" s="63">
        <f t="shared" si="4"/>
        <v>10.788232873750001</v>
      </c>
      <c r="E65" s="63">
        <f t="shared" si="4"/>
        <v>6.0402031283597974</v>
      </c>
      <c r="F65" s="63">
        <f t="shared" si="4"/>
        <v>60325.359605348931</v>
      </c>
      <c r="G65" s="63">
        <f t="shared" si="4"/>
        <v>9.7376034855842536E-2</v>
      </c>
      <c r="H65" s="63">
        <f t="shared" si="4"/>
        <v>0.7912499999999999</v>
      </c>
      <c r="I65" s="63">
        <f t="shared" si="4"/>
        <v>335.86653282205452</v>
      </c>
      <c r="J65" s="63">
        <f t="shared" si="4"/>
        <v>1.2984955772714142</v>
      </c>
    </row>
    <row r="66" spans="1:10" x14ac:dyDescent="0.25">
      <c r="A66" s="178"/>
      <c r="B66" s="53" t="s">
        <v>848</v>
      </c>
      <c r="C66" s="63">
        <f>AVERAGE(C52)</f>
        <v>81.599999999999994</v>
      </c>
      <c r="D66" s="63">
        <f t="shared" ref="D66:J66" si="5">AVERAGE(D52)</f>
        <v>9.1729879400000005</v>
      </c>
      <c r="E66" s="63">
        <f t="shared" si="5"/>
        <v>4.7671849370183885</v>
      </c>
      <c r="F66" s="63">
        <f t="shared" si="5"/>
        <v>41186.81220278937</v>
      </c>
      <c r="G66" s="63">
        <f t="shared" si="5"/>
        <v>7.1118955612182594E-2</v>
      </c>
      <c r="H66" s="63">
        <f t="shared" si="5"/>
        <v>0.76</v>
      </c>
      <c r="I66" s="63">
        <f t="shared" si="5"/>
        <v>116.90564864516325</v>
      </c>
      <c r="J66" s="63">
        <f t="shared" si="5"/>
        <v>3.6920744951686402</v>
      </c>
    </row>
    <row r="67" spans="1:10" x14ac:dyDescent="0.25">
      <c r="A67" s="179"/>
      <c r="B67" s="60" t="s">
        <v>849</v>
      </c>
      <c r="C67" s="64">
        <f>AVERAGE(C53:C60)</f>
        <v>77.312500000000014</v>
      </c>
      <c r="D67" s="64">
        <f t="shared" ref="D67:I67" si="6">AVERAGE(D53:D60)</f>
        <v>7.663821616249999</v>
      </c>
      <c r="E67" s="64">
        <f t="shared" si="6"/>
        <v>4.6844189939976042</v>
      </c>
      <c r="F67" s="64">
        <f t="shared" si="6"/>
        <v>46409.857465044544</v>
      </c>
      <c r="G67" s="64">
        <f t="shared" si="6"/>
        <v>0.11326105594634997</v>
      </c>
      <c r="H67" s="64">
        <f t="shared" si="6"/>
        <v>1.4999999999999998</v>
      </c>
      <c r="I67" s="64">
        <f t="shared" si="6"/>
        <v>164.03617231138574</v>
      </c>
      <c r="J67" s="64">
        <f>AVERAGE(J53:J60)</f>
        <v>1.997445340346399</v>
      </c>
    </row>
    <row r="68" spans="1:10" x14ac:dyDescent="0.25">
      <c r="A68" s="177" t="s">
        <v>896</v>
      </c>
      <c r="B68" s="53" t="s">
        <v>845</v>
      </c>
      <c r="C68" s="63">
        <f>MEDIAN(C33)</f>
        <v>83.4</v>
      </c>
      <c r="D68" s="63">
        <f t="shared" ref="D68:J68" si="7">MEDIAN(D33)</f>
        <v>5.67</v>
      </c>
      <c r="E68" s="63">
        <f t="shared" si="7"/>
        <v>12.456953232691275</v>
      </c>
      <c r="F68" s="63">
        <f t="shared" si="7"/>
        <v>143341.47312464545</v>
      </c>
      <c r="G68" s="63">
        <f t="shared" si="7"/>
        <v>0.11003183364868199</v>
      </c>
      <c r="H68" s="63">
        <f t="shared" si="7"/>
        <v>1.39</v>
      </c>
      <c r="I68" s="63">
        <f t="shared" si="7"/>
        <v>194.04309569043096</v>
      </c>
      <c r="J68" s="63">
        <f t="shared" si="7"/>
        <v>0.700406724896945</v>
      </c>
    </row>
    <row r="69" spans="1:10" x14ac:dyDescent="0.25">
      <c r="A69" s="178"/>
      <c r="B69" s="53" t="s">
        <v>846</v>
      </c>
      <c r="C69" s="63">
        <f>MEDIAN(C34:C43)</f>
        <v>82.85</v>
      </c>
      <c r="D69" s="63">
        <f t="shared" ref="D69:J69" si="8">MEDIAN(D34:D43)</f>
        <v>10.7</v>
      </c>
      <c r="E69" s="63">
        <f t="shared" si="8"/>
        <v>4.3666550611348729</v>
      </c>
      <c r="F69" s="63">
        <f t="shared" si="8"/>
        <v>73447.257240121064</v>
      </c>
      <c r="G69" s="63">
        <f t="shared" si="8"/>
        <v>0.12273661136627201</v>
      </c>
      <c r="H69" s="63">
        <f t="shared" si="8"/>
        <v>1.03</v>
      </c>
      <c r="I69" s="63">
        <f t="shared" si="8"/>
        <v>116.53725570049703</v>
      </c>
      <c r="J69" s="63">
        <f t="shared" si="8"/>
        <v>1.5011207549482397</v>
      </c>
    </row>
    <row r="70" spans="1:10" x14ac:dyDescent="0.25">
      <c r="A70" s="178"/>
      <c r="B70" s="53" t="s">
        <v>847</v>
      </c>
      <c r="C70" s="63">
        <f>MEDIAN(C44:C51)</f>
        <v>82.2</v>
      </c>
      <c r="D70" s="63">
        <f t="shared" ref="D70:J70" si="9">MEDIAN(D44:D51)</f>
        <v>10.89147329</v>
      </c>
      <c r="E70" s="63">
        <f t="shared" si="9"/>
        <v>6.2836904580968582</v>
      </c>
      <c r="F70" s="63">
        <f t="shared" si="9"/>
        <v>56851.18900755608</v>
      </c>
      <c r="G70" s="63">
        <f t="shared" si="9"/>
        <v>9.4438943862915042E-2</v>
      </c>
      <c r="H70" s="63">
        <f t="shared" si="9"/>
        <v>0.72</v>
      </c>
      <c r="I70" s="63">
        <f t="shared" si="9"/>
        <v>354.57353209075711</v>
      </c>
      <c r="J70" s="63">
        <f t="shared" si="9"/>
        <v>1.356226586169015</v>
      </c>
    </row>
    <row r="71" spans="1:10" x14ac:dyDescent="0.25">
      <c r="A71" s="178"/>
      <c r="B71" s="53" t="s">
        <v>848</v>
      </c>
      <c r="C71" s="63">
        <f>MEDIAN(C52)</f>
        <v>81.599999999999994</v>
      </c>
      <c r="D71" s="63">
        <f t="shared" ref="D71:J71" si="10">MEDIAN(D52)</f>
        <v>9.1729879400000005</v>
      </c>
      <c r="E71" s="63">
        <f t="shared" si="10"/>
        <v>4.7671849370183885</v>
      </c>
      <c r="F71" s="63">
        <f t="shared" si="10"/>
        <v>41186.81220278937</v>
      </c>
      <c r="G71" s="63">
        <f t="shared" si="10"/>
        <v>7.1118955612182594E-2</v>
      </c>
      <c r="H71" s="63">
        <f t="shared" si="10"/>
        <v>0.76</v>
      </c>
      <c r="I71" s="63">
        <f t="shared" si="10"/>
        <v>116.90564864516325</v>
      </c>
      <c r="J71" s="63">
        <f t="shared" si="10"/>
        <v>3.6920744951686402</v>
      </c>
    </row>
    <row r="72" spans="1:10" x14ac:dyDescent="0.25">
      <c r="A72" s="179"/>
      <c r="B72" s="60" t="s">
        <v>849</v>
      </c>
      <c r="C72" s="64">
        <f>MEDIAN(C53:C60)</f>
        <v>77.099999999999994</v>
      </c>
      <c r="D72" s="64">
        <f t="shared" ref="D72:J72" si="11">MEDIAN(D53:D60)</f>
        <v>7.6552864649999997</v>
      </c>
      <c r="E72" s="64">
        <f t="shared" si="11"/>
        <v>4.3878266610458958</v>
      </c>
      <c r="F72" s="64">
        <f t="shared" si="11"/>
        <v>46922.755319665594</v>
      </c>
      <c r="G72" s="64">
        <f t="shared" si="11"/>
        <v>0.109449400901794</v>
      </c>
      <c r="H72" s="64">
        <f t="shared" si="11"/>
        <v>1.01</v>
      </c>
      <c r="I72" s="64">
        <f t="shared" si="11"/>
        <v>153.4293476786205</v>
      </c>
      <c r="J72" s="64">
        <f t="shared" si="11"/>
        <v>2.0682654625793551</v>
      </c>
    </row>
    <row r="73" spans="1:10" ht="15" customHeight="1" x14ac:dyDescent="0.25">
      <c r="A73" s="177" t="s">
        <v>897</v>
      </c>
      <c r="B73" s="53" t="s">
        <v>845</v>
      </c>
      <c r="C73" s="63">
        <f>_xlfn.STDEV.P(C33)</f>
        <v>0</v>
      </c>
      <c r="D73" s="63">
        <f>_xlfn.STDEV.P(D33)</f>
        <v>0</v>
      </c>
      <c r="E73" s="63">
        <f t="shared" ref="E73:J73" si="12">_xlfn.STDEV.P(E33)</f>
        <v>0</v>
      </c>
      <c r="F73" s="63">
        <f t="shared" si="12"/>
        <v>0</v>
      </c>
      <c r="G73" s="63">
        <f t="shared" si="12"/>
        <v>0</v>
      </c>
      <c r="H73" s="63">
        <f t="shared" si="12"/>
        <v>0</v>
      </c>
      <c r="I73" s="63">
        <f t="shared" si="12"/>
        <v>0</v>
      </c>
      <c r="J73" s="63">
        <f t="shared" si="12"/>
        <v>0</v>
      </c>
    </row>
    <row r="74" spans="1:10" x14ac:dyDescent="0.25">
      <c r="A74" s="178"/>
      <c r="B74" s="53" t="s">
        <v>846</v>
      </c>
      <c r="C74" s="63">
        <f>_xlfn.STDEV.P(C34:C43)</f>
        <v>0.76999999999999891</v>
      </c>
      <c r="D74" s="63">
        <f>_xlfn.STDEV.P(D34:D43)</f>
        <v>0.87113055729242428</v>
      </c>
      <c r="E74" s="63">
        <f t="shared" ref="E74:J74" si="13">_xlfn.STDEV.P(E34:E43)</f>
        <v>1.4673552718136438</v>
      </c>
      <c r="F74" s="63">
        <f t="shared" si="13"/>
        <v>14144.470756797682</v>
      </c>
      <c r="G74" s="63">
        <f t="shared" si="13"/>
        <v>1.9535935123598806E-2</v>
      </c>
      <c r="H74" s="63">
        <f t="shared" si="13"/>
        <v>0.34105864598335611</v>
      </c>
      <c r="I74" s="63">
        <f t="shared" si="13"/>
        <v>94.35016509762967</v>
      </c>
      <c r="J74" s="63">
        <f t="shared" si="13"/>
        <v>0.605373438841184</v>
      </c>
    </row>
    <row r="75" spans="1:10" x14ac:dyDescent="0.25">
      <c r="A75" s="178"/>
      <c r="B75" s="53" t="s">
        <v>847</v>
      </c>
      <c r="C75" s="63">
        <f>_xlfn.STDEV.P(C44:C51)</f>
        <v>1.2333262950249617</v>
      </c>
      <c r="D75" s="63">
        <f t="shared" ref="D75:J75" si="14">_xlfn.STDEV.P(D44:D51)</f>
        <v>1.219614780771388</v>
      </c>
      <c r="E75" s="63">
        <f t="shared" si="14"/>
        <v>1.5290406964225851</v>
      </c>
      <c r="F75" s="63">
        <f t="shared" si="14"/>
        <v>8864.2301289710922</v>
      </c>
      <c r="G75" s="63">
        <f t="shared" si="14"/>
        <v>1.3146859367514979E-2</v>
      </c>
      <c r="H75" s="63">
        <f t="shared" si="14"/>
        <v>0.29001885714553133</v>
      </c>
      <c r="I75" s="63">
        <f t="shared" si="14"/>
        <v>73.37276612874561</v>
      </c>
      <c r="J75" s="63">
        <f t="shared" si="14"/>
        <v>0.24770273479635088</v>
      </c>
    </row>
    <row r="76" spans="1:10" x14ac:dyDescent="0.25">
      <c r="A76" s="178"/>
      <c r="B76" s="53" t="s">
        <v>848</v>
      </c>
      <c r="C76" s="63">
        <f>_xlfn.STDEV.P(C52)</f>
        <v>0</v>
      </c>
      <c r="D76" s="63">
        <f t="shared" ref="D76:J76" si="15">_xlfn.STDEV.P(D52)</f>
        <v>0</v>
      </c>
      <c r="E76" s="63">
        <f t="shared" si="15"/>
        <v>0</v>
      </c>
      <c r="F76" s="63">
        <f t="shared" si="15"/>
        <v>0</v>
      </c>
      <c r="G76" s="63">
        <f t="shared" si="15"/>
        <v>0</v>
      </c>
      <c r="H76" s="63">
        <f t="shared" si="15"/>
        <v>0</v>
      </c>
      <c r="I76" s="63">
        <f t="shared" si="15"/>
        <v>0</v>
      </c>
      <c r="J76" s="63">
        <f t="shared" si="15"/>
        <v>0</v>
      </c>
    </row>
    <row r="77" spans="1:10" x14ac:dyDescent="0.25">
      <c r="A77" s="179"/>
      <c r="B77" s="60" t="s">
        <v>849</v>
      </c>
      <c r="C77" s="64">
        <f>_xlfn.STDEV.P(C53:C60)</f>
        <v>1.1450300214404838</v>
      </c>
      <c r="D77" s="64">
        <f t="shared" ref="D77:J77" si="16">_xlfn.STDEV.P(D53:D60)</f>
        <v>0.86033341604016922</v>
      </c>
      <c r="E77" s="64">
        <f t="shared" si="16"/>
        <v>1.170239723189707</v>
      </c>
      <c r="F77" s="64">
        <f t="shared" si="16"/>
        <v>3928.5368434307275</v>
      </c>
      <c r="G77" s="64">
        <f t="shared" si="16"/>
        <v>1.7449852744794853E-2</v>
      </c>
      <c r="H77" s="64">
        <f t="shared" si="16"/>
        <v>1.0641780866001709</v>
      </c>
      <c r="I77" s="64">
        <f t="shared" si="16"/>
        <v>69.734092642917687</v>
      </c>
      <c r="J77" s="64">
        <f t="shared" si="16"/>
        <v>0.35382711718399196</v>
      </c>
    </row>
    <row r="78" spans="1:10" ht="15" customHeight="1" x14ac:dyDescent="0.25">
      <c r="A78" s="177" t="s">
        <v>685</v>
      </c>
      <c r="B78" s="53" t="s">
        <v>845</v>
      </c>
      <c r="C78" s="63">
        <f>C73/C63</f>
        <v>0</v>
      </c>
      <c r="D78" s="63">
        <f t="shared" ref="D78:J78" si="17">D73/D63</f>
        <v>0</v>
      </c>
      <c r="E78" s="63">
        <f t="shared" si="17"/>
        <v>0</v>
      </c>
      <c r="F78" s="63">
        <f t="shared" si="17"/>
        <v>0</v>
      </c>
      <c r="G78" s="63">
        <f t="shared" si="17"/>
        <v>0</v>
      </c>
      <c r="H78" s="63">
        <f t="shared" si="17"/>
        <v>0</v>
      </c>
      <c r="I78" s="63">
        <f t="shared" si="17"/>
        <v>0</v>
      </c>
      <c r="J78" s="63">
        <f t="shared" si="17"/>
        <v>0</v>
      </c>
    </row>
    <row r="79" spans="1:10" x14ac:dyDescent="0.25">
      <c r="A79" s="178"/>
      <c r="B79" s="53" t="s">
        <v>846</v>
      </c>
      <c r="C79" s="63">
        <f>C74/C64</f>
        <v>9.2983939137785149E-3</v>
      </c>
      <c r="D79" s="63">
        <f t="shared" ref="D79:J79" si="18">D74/D64</f>
        <v>8.1006048215916199E-2</v>
      </c>
      <c r="E79" s="63">
        <f t="shared" si="18"/>
        <v>0.29798988236082324</v>
      </c>
      <c r="F79" s="63">
        <f t="shared" si="18"/>
        <v>0.1896345224899332</v>
      </c>
      <c r="G79" s="63">
        <f t="shared" si="18"/>
        <v>0.16123274103323329</v>
      </c>
      <c r="H79" s="63">
        <f t="shared" si="18"/>
        <v>0.34003853039217963</v>
      </c>
      <c r="I79" s="63">
        <f t="shared" si="18"/>
        <v>0.64851654600937425</v>
      </c>
      <c r="J79" s="63">
        <f t="shared" si="18"/>
        <v>0.47714413138226414</v>
      </c>
    </row>
    <row r="80" spans="1:10" x14ac:dyDescent="0.25">
      <c r="A80" s="178"/>
      <c r="B80" s="53" t="s">
        <v>847</v>
      </c>
      <c r="C80" s="63">
        <f t="shared" ref="C80:J82" si="19">C75/C65</f>
        <v>1.5006251498402576E-2</v>
      </c>
      <c r="D80" s="63">
        <f t="shared" si="19"/>
        <v>0.11305046850990422</v>
      </c>
      <c r="E80" s="63">
        <f t="shared" si="19"/>
        <v>0.2531439198200926</v>
      </c>
      <c r="F80" s="63">
        <f t="shared" si="19"/>
        <v>0.14694036118410669</v>
      </c>
      <c r="G80" s="63">
        <f t="shared" si="19"/>
        <v>0.13501124159530481</v>
      </c>
      <c r="H80" s="63">
        <f t="shared" si="19"/>
        <v>0.3665325208790286</v>
      </c>
      <c r="I80" s="63">
        <f t="shared" si="19"/>
        <v>0.2184581045102795</v>
      </c>
      <c r="J80" s="63">
        <f t="shared" si="19"/>
        <v>0.19076132343620264</v>
      </c>
    </row>
    <row r="81" spans="1:10" x14ac:dyDescent="0.25">
      <c r="A81" s="178"/>
      <c r="B81" s="53" t="s">
        <v>848</v>
      </c>
      <c r="C81" s="63">
        <f t="shared" si="19"/>
        <v>0</v>
      </c>
      <c r="D81" s="63">
        <f t="shared" si="19"/>
        <v>0</v>
      </c>
      <c r="E81" s="63">
        <f t="shared" si="19"/>
        <v>0</v>
      </c>
      <c r="F81" s="63">
        <f t="shared" si="19"/>
        <v>0</v>
      </c>
      <c r="G81" s="63">
        <f t="shared" si="19"/>
        <v>0</v>
      </c>
      <c r="H81" s="63">
        <f t="shared" si="19"/>
        <v>0</v>
      </c>
      <c r="I81" s="63">
        <f t="shared" si="19"/>
        <v>0</v>
      </c>
      <c r="J81" s="63">
        <f t="shared" si="19"/>
        <v>0</v>
      </c>
    </row>
    <row r="82" spans="1:10" x14ac:dyDescent="0.25">
      <c r="A82" s="179"/>
      <c r="B82" s="60" t="s">
        <v>849</v>
      </c>
      <c r="C82" s="64">
        <f t="shared" si="19"/>
        <v>1.481041256511539E-2</v>
      </c>
      <c r="D82" s="64">
        <f t="shared" si="19"/>
        <v>0.11225906070359984</v>
      </c>
      <c r="E82" s="64">
        <f t="shared" si="19"/>
        <v>0.24981533989363411</v>
      </c>
      <c r="F82" s="64">
        <f t="shared" si="19"/>
        <v>8.464875907860013E-2</v>
      </c>
      <c r="G82" s="64">
        <f t="shared" si="19"/>
        <v>0.15406754421449664</v>
      </c>
      <c r="H82" s="64">
        <f t="shared" si="19"/>
        <v>0.70945205773344733</v>
      </c>
      <c r="I82" s="64">
        <f t="shared" si="19"/>
        <v>0.42511411757733053</v>
      </c>
      <c r="J82" s="64">
        <f t="shared" si="19"/>
        <v>0.17713982457343785</v>
      </c>
    </row>
    <row r="83" spans="1:10" x14ac:dyDescent="0.25">
      <c r="C83" s="63"/>
      <c r="D83" s="63"/>
      <c r="E83" s="63"/>
      <c r="F83" s="63"/>
      <c r="G83" s="63"/>
      <c r="H83" s="63"/>
      <c r="I83" s="63"/>
      <c r="J83" s="63"/>
    </row>
    <row r="84" spans="1:10" x14ac:dyDescent="0.25">
      <c r="C84" s="63"/>
      <c r="D84" s="63"/>
      <c r="E84" s="63"/>
      <c r="F84" s="63"/>
      <c r="G84" s="63"/>
      <c r="H84" s="63"/>
      <c r="I84" s="63"/>
      <c r="J84" s="63"/>
    </row>
    <row r="85" spans="1:10" x14ac:dyDescent="0.25">
      <c r="B85" s="99" t="s">
        <v>907</v>
      </c>
      <c r="C85" s="63"/>
      <c r="D85" s="63"/>
      <c r="E85" s="63"/>
      <c r="F85" s="63"/>
      <c r="G85" s="63"/>
      <c r="H85" s="63"/>
      <c r="I85" s="63"/>
      <c r="J85" s="63"/>
    </row>
    <row r="86" spans="1:10" x14ac:dyDescent="0.25">
      <c r="B86" s="99" t="s">
        <v>902</v>
      </c>
    </row>
    <row r="87" spans="1:10" x14ac:dyDescent="0.25">
      <c r="B87" s="99" t="s">
        <v>903</v>
      </c>
    </row>
    <row r="88" spans="1:10" x14ac:dyDescent="0.25">
      <c r="B88" s="99" t="s">
        <v>904</v>
      </c>
    </row>
    <row r="89" spans="1:10" x14ac:dyDescent="0.25">
      <c r="B89" s="99" t="s">
        <v>905</v>
      </c>
    </row>
  </sheetData>
  <autoFilter ref="A32:K60" xr:uid="{90C84F49-ECD1-4373-A869-92EAFF135ABA}">
    <sortState xmlns:xlrd2="http://schemas.microsoft.com/office/spreadsheetml/2017/richdata2" ref="A33:K60">
      <sortCondition ref="B32:B60"/>
    </sortState>
  </autoFilter>
  <mergeCells count="5">
    <mergeCell ref="Q18:R18"/>
    <mergeCell ref="A63:A67"/>
    <mergeCell ref="A68:A72"/>
    <mergeCell ref="A73:A77"/>
    <mergeCell ref="A78:A82"/>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0E4F5-9338-4F84-A499-0B4395CBB4D8}">
  <sheetPr>
    <tabColor theme="8" tint="-0.249977111117893"/>
  </sheetPr>
  <dimension ref="A15:B26"/>
  <sheetViews>
    <sheetView zoomScale="130" zoomScaleNormal="130" workbookViewId="0">
      <selection activeCell="K41" sqref="K41"/>
    </sheetView>
  </sheetViews>
  <sheetFormatPr defaultRowHeight="15" x14ac:dyDescent="0.25"/>
  <cols>
    <col min="1" max="8" width="9.140625" style="7"/>
    <col min="9" max="9" width="54.140625" style="7" bestFit="1" customWidth="1"/>
    <col min="10" max="10" width="11.28515625" style="7" bestFit="1" customWidth="1"/>
    <col min="11" max="11" width="27.28515625" style="7" customWidth="1"/>
    <col min="12" max="16384" width="9.140625" style="7"/>
  </cols>
  <sheetData>
    <row r="15" spans="2:2" x14ac:dyDescent="0.25">
      <c r="B15" s="100" t="s">
        <v>890</v>
      </c>
    </row>
    <row r="17" spans="1:2" x14ac:dyDescent="0.25">
      <c r="B17" s="102" t="s">
        <v>926</v>
      </c>
    </row>
    <row r="18" spans="1:2" x14ac:dyDescent="0.25">
      <c r="A18" s="101"/>
      <c r="B18" s="102" t="s">
        <v>925</v>
      </c>
    </row>
    <row r="19" spans="1:2" x14ac:dyDescent="0.25">
      <c r="A19" s="101"/>
      <c r="B19" s="102" t="s">
        <v>924</v>
      </c>
    </row>
    <row r="20" spans="1:2" x14ac:dyDescent="0.25">
      <c r="A20" s="101"/>
    </row>
    <row r="21" spans="1:2" x14ac:dyDescent="0.25">
      <c r="A21" s="101"/>
    </row>
    <row r="22" spans="1:2" x14ac:dyDescent="0.25">
      <c r="A22" s="101"/>
    </row>
    <row r="23" spans="1:2" x14ac:dyDescent="0.25">
      <c r="A23" s="101"/>
    </row>
    <row r="24" spans="1:2" x14ac:dyDescent="0.25">
      <c r="A24" s="101"/>
    </row>
    <row r="25" spans="1:2" x14ac:dyDescent="0.25">
      <c r="A25" s="101"/>
    </row>
    <row r="26" spans="1:2" x14ac:dyDescent="0.25">
      <c r="A26" s="10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7D0-E461-4692-808D-8CF96C4EDDBB}">
  <sheetPr>
    <tabColor theme="8" tint="0.79998168889431442"/>
  </sheetPr>
  <dimension ref="L3:R194"/>
  <sheetViews>
    <sheetView topLeftCell="A9" zoomScaleNormal="100" workbookViewId="0">
      <selection activeCell="Q15" sqref="Q15"/>
    </sheetView>
  </sheetViews>
  <sheetFormatPr defaultRowHeight="15" x14ac:dyDescent="0.25"/>
  <cols>
    <col min="1" max="16384" width="9.140625" style="7"/>
  </cols>
  <sheetData>
    <row r="3" spans="12:18" ht="15.75" thickBot="1" x14ac:dyDescent="0.3"/>
    <row r="4" spans="12:18" ht="15.75" thickBot="1" x14ac:dyDescent="0.3">
      <c r="L4" s="104" t="s">
        <v>891</v>
      </c>
      <c r="M4" s="105"/>
      <c r="N4" s="105"/>
      <c r="O4" s="105"/>
      <c r="P4" s="105"/>
      <c r="Q4" s="105"/>
      <c r="R4" s="106"/>
    </row>
    <row r="9" spans="12:18" x14ac:dyDescent="0.25">
      <c r="L9" s="100" t="s">
        <v>893</v>
      </c>
    </row>
    <row r="25" spans="12:12" s="103" customFormat="1" x14ac:dyDescent="0.25"/>
    <row r="32" spans="12:12" x14ac:dyDescent="0.25">
      <c r="L32" s="100" t="s">
        <v>892</v>
      </c>
    </row>
    <row r="51" spans="12:12" s="103" customFormat="1" x14ac:dyDescent="0.25"/>
    <row r="58" spans="12:12" x14ac:dyDescent="0.25">
      <c r="L58" s="100" t="s">
        <v>893</v>
      </c>
    </row>
    <row r="78" s="103" customFormat="1" x14ac:dyDescent="0.25"/>
    <row r="89" spans="12:12" x14ac:dyDescent="0.25">
      <c r="L89" s="100" t="s">
        <v>893</v>
      </c>
    </row>
    <row r="104" s="103" customFormat="1" x14ac:dyDescent="0.25"/>
    <row r="115" spans="12:12" x14ac:dyDescent="0.25">
      <c r="L115" s="100" t="s">
        <v>892</v>
      </c>
    </row>
    <row r="130" spans="12:12" s="103" customFormat="1" x14ac:dyDescent="0.25"/>
    <row r="140" spans="12:12" x14ac:dyDescent="0.25">
      <c r="L140" s="100" t="s">
        <v>893</v>
      </c>
    </row>
    <row r="156" s="103" customFormat="1" x14ac:dyDescent="0.25"/>
    <row r="165" spans="12:12" x14ac:dyDescent="0.25">
      <c r="L165" s="100" t="s">
        <v>892</v>
      </c>
    </row>
    <row r="182" s="103" customFormat="1" x14ac:dyDescent="0.25"/>
    <row r="194" spans="12:12" x14ac:dyDescent="0.25">
      <c r="L194" s="100" t="s">
        <v>892</v>
      </c>
    </row>
  </sheetData>
  <pageMargins left="0.7" right="0.7" top="0.75" bottom="0.75" header="0.3" footer="0.3"/>
  <drawing r:id="rId1"/>
  <legacyDrawing r:id="rId2"/>
  <oleObjects>
    <mc:AlternateContent xmlns:mc="http://schemas.openxmlformats.org/markup-compatibility/2006">
      <mc:Choice Requires="x14">
        <oleObject progId="Statistica.Graph" shapeId="4097" r:id="rId3">
          <objectPr defaultSize="0" r:id="rId4">
            <anchor moveWithCells="1">
              <from>
                <xdr:col>0</xdr:col>
                <xdr:colOff>0</xdr:colOff>
                <xdr:row>0</xdr:row>
                <xdr:rowOff>0</xdr:rowOff>
              </from>
              <to>
                <xdr:col>9</xdr:col>
                <xdr:colOff>457200</xdr:colOff>
                <xdr:row>24</xdr:row>
                <xdr:rowOff>47625</xdr:rowOff>
              </to>
            </anchor>
          </objectPr>
        </oleObject>
      </mc:Choice>
      <mc:Fallback>
        <oleObject progId="Statistica.Graph" shapeId="4097" r:id="rId3"/>
      </mc:Fallback>
    </mc:AlternateContent>
    <mc:AlternateContent xmlns:mc="http://schemas.openxmlformats.org/markup-compatibility/2006">
      <mc:Choice Requires="x14">
        <oleObject progId="Statistica.Graph" shapeId="4098" r:id="rId5">
          <objectPr defaultSize="0" r:id="rId6">
            <anchor moveWithCells="1">
              <from>
                <xdr:col>0</xdr:col>
                <xdr:colOff>0</xdr:colOff>
                <xdr:row>26</xdr:row>
                <xdr:rowOff>0</xdr:rowOff>
              </from>
              <to>
                <xdr:col>9</xdr:col>
                <xdr:colOff>457200</xdr:colOff>
                <xdr:row>50</xdr:row>
                <xdr:rowOff>66675</xdr:rowOff>
              </to>
            </anchor>
          </objectPr>
        </oleObject>
      </mc:Choice>
      <mc:Fallback>
        <oleObject progId="Statistica.Graph" shapeId="4098" r:id="rId5"/>
      </mc:Fallback>
    </mc:AlternateContent>
    <mc:AlternateContent xmlns:mc="http://schemas.openxmlformats.org/markup-compatibility/2006">
      <mc:Choice Requires="x14">
        <oleObject progId="Statistica.Graph" shapeId="4099" r:id="rId7">
          <objectPr defaultSize="0" r:id="rId8">
            <anchor moveWithCells="1">
              <from>
                <xdr:col>0</xdr:col>
                <xdr:colOff>0</xdr:colOff>
                <xdr:row>53</xdr:row>
                <xdr:rowOff>0</xdr:rowOff>
              </from>
              <to>
                <xdr:col>9</xdr:col>
                <xdr:colOff>457200</xdr:colOff>
                <xdr:row>77</xdr:row>
                <xdr:rowOff>66675</xdr:rowOff>
              </to>
            </anchor>
          </objectPr>
        </oleObject>
      </mc:Choice>
      <mc:Fallback>
        <oleObject progId="Statistica.Graph" shapeId="4099" r:id="rId7"/>
      </mc:Fallback>
    </mc:AlternateContent>
    <mc:AlternateContent xmlns:mc="http://schemas.openxmlformats.org/markup-compatibility/2006">
      <mc:Choice Requires="x14">
        <oleObject progId="Statistica.Graph" shapeId="4100" r:id="rId9">
          <objectPr defaultSize="0" r:id="rId10">
            <anchor moveWithCells="1">
              <from>
                <xdr:col>0</xdr:col>
                <xdr:colOff>0</xdr:colOff>
                <xdr:row>79</xdr:row>
                <xdr:rowOff>0</xdr:rowOff>
              </from>
              <to>
                <xdr:col>9</xdr:col>
                <xdr:colOff>457200</xdr:colOff>
                <xdr:row>103</xdr:row>
                <xdr:rowOff>66675</xdr:rowOff>
              </to>
            </anchor>
          </objectPr>
        </oleObject>
      </mc:Choice>
      <mc:Fallback>
        <oleObject progId="Statistica.Graph" shapeId="4100" r:id="rId9"/>
      </mc:Fallback>
    </mc:AlternateContent>
    <mc:AlternateContent xmlns:mc="http://schemas.openxmlformats.org/markup-compatibility/2006">
      <mc:Choice Requires="x14">
        <oleObject progId="Statistica.Graph" shapeId="4101" r:id="rId11">
          <objectPr defaultSize="0" r:id="rId12">
            <anchor moveWithCells="1">
              <from>
                <xdr:col>0</xdr:col>
                <xdr:colOff>0</xdr:colOff>
                <xdr:row>105</xdr:row>
                <xdr:rowOff>0</xdr:rowOff>
              </from>
              <to>
                <xdr:col>9</xdr:col>
                <xdr:colOff>457200</xdr:colOff>
                <xdr:row>129</xdr:row>
                <xdr:rowOff>66675</xdr:rowOff>
              </to>
            </anchor>
          </objectPr>
        </oleObject>
      </mc:Choice>
      <mc:Fallback>
        <oleObject progId="Statistica.Graph" shapeId="4101" r:id="rId11"/>
      </mc:Fallback>
    </mc:AlternateContent>
    <mc:AlternateContent xmlns:mc="http://schemas.openxmlformats.org/markup-compatibility/2006">
      <mc:Choice Requires="x14">
        <oleObject progId="Statistica.Graph" shapeId="4102" r:id="rId13">
          <objectPr defaultSize="0" r:id="rId14">
            <anchor moveWithCells="1">
              <from>
                <xdr:col>0</xdr:col>
                <xdr:colOff>0</xdr:colOff>
                <xdr:row>131</xdr:row>
                <xdr:rowOff>0</xdr:rowOff>
              </from>
              <to>
                <xdr:col>9</xdr:col>
                <xdr:colOff>457200</xdr:colOff>
                <xdr:row>155</xdr:row>
                <xdr:rowOff>66675</xdr:rowOff>
              </to>
            </anchor>
          </objectPr>
        </oleObject>
      </mc:Choice>
      <mc:Fallback>
        <oleObject progId="Statistica.Graph" shapeId="4102" r:id="rId13"/>
      </mc:Fallback>
    </mc:AlternateContent>
    <mc:AlternateContent xmlns:mc="http://schemas.openxmlformats.org/markup-compatibility/2006">
      <mc:Choice Requires="x14">
        <oleObject progId="Statistica.Graph" shapeId="4103" r:id="rId15">
          <objectPr defaultSize="0" r:id="rId16">
            <anchor moveWithCells="1">
              <from>
                <xdr:col>0</xdr:col>
                <xdr:colOff>0</xdr:colOff>
                <xdr:row>157</xdr:row>
                <xdr:rowOff>0</xdr:rowOff>
              </from>
              <to>
                <xdr:col>9</xdr:col>
                <xdr:colOff>457200</xdr:colOff>
                <xdr:row>181</xdr:row>
                <xdr:rowOff>66675</xdr:rowOff>
              </to>
            </anchor>
          </objectPr>
        </oleObject>
      </mc:Choice>
      <mc:Fallback>
        <oleObject progId="Statistica.Graph" shapeId="4103" r:id="rId15"/>
      </mc:Fallback>
    </mc:AlternateContent>
    <mc:AlternateContent xmlns:mc="http://schemas.openxmlformats.org/markup-compatibility/2006">
      <mc:Choice Requires="x14">
        <oleObject progId="Statistica.Graph" shapeId="4104" r:id="rId17">
          <objectPr defaultSize="0" r:id="rId18">
            <anchor moveWithCells="1">
              <from>
                <xdr:col>0</xdr:col>
                <xdr:colOff>0</xdr:colOff>
                <xdr:row>183</xdr:row>
                <xdr:rowOff>0</xdr:rowOff>
              </from>
              <to>
                <xdr:col>9</xdr:col>
                <xdr:colOff>457200</xdr:colOff>
                <xdr:row>207</xdr:row>
                <xdr:rowOff>66675</xdr:rowOff>
              </to>
            </anchor>
          </objectPr>
        </oleObject>
      </mc:Choice>
      <mc:Fallback>
        <oleObject progId="Statistica.Graph" shapeId="4104" r:id="rId17"/>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6DFF5-1CD4-4FDB-A572-3D9EFB78B168}">
  <sheetPr>
    <tabColor theme="8" tint="0.79998168889431442"/>
  </sheetPr>
  <dimension ref="B2:E11"/>
  <sheetViews>
    <sheetView zoomScale="160" zoomScaleNormal="160" workbookViewId="0">
      <selection activeCell="G29" sqref="G29"/>
    </sheetView>
  </sheetViews>
  <sheetFormatPr defaultRowHeight="15" x14ac:dyDescent="0.25"/>
  <cols>
    <col min="1" max="1" width="9.140625" style="7"/>
    <col min="2" max="2" width="54.140625" style="7" bestFit="1" customWidth="1"/>
    <col min="3" max="3" width="13" style="7" customWidth="1"/>
    <col min="4" max="4" width="21.42578125" style="7" bestFit="1" customWidth="1"/>
    <col min="5" max="5" width="15.7109375" style="7" bestFit="1" customWidth="1"/>
    <col min="6" max="16384" width="9.140625" style="7"/>
  </cols>
  <sheetData>
    <row r="2" spans="2:5" x14ac:dyDescent="0.25">
      <c r="B2" s="103"/>
      <c r="C2" s="180" t="s">
        <v>906</v>
      </c>
      <c r="D2" s="180"/>
      <c r="E2" s="103"/>
    </row>
    <row r="3" spans="2:5" x14ac:dyDescent="0.25">
      <c r="B3" s="65" t="s">
        <v>899</v>
      </c>
      <c r="C3" s="110" t="s">
        <v>844</v>
      </c>
      <c r="D3" s="108" t="s">
        <v>808</v>
      </c>
      <c r="E3" s="65" t="s">
        <v>812</v>
      </c>
    </row>
    <row r="4" spans="2:5" x14ac:dyDescent="0.25">
      <c r="B4" s="107" t="s">
        <v>680</v>
      </c>
      <c r="C4" s="111" t="s">
        <v>809</v>
      </c>
      <c r="D4" s="109" t="s">
        <v>810</v>
      </c>
      <c r="E4" s="7" t="s">
        <v>927</v>
      </c>
    </row>
    <row r="5" spans="2:5" x14ac:dyDescent="0.25">
      <c r="B5" s="107" t="s">
        <v>699</v>
      </c>
      <c r="C5" s="111" t="s">
        <v>810</v>
      </c>
      <c r="D5" s="109" t="s">
        <v>810</v>
      </c>
      <c r="E5" s="7" t="s">
        <v>813</v>
      </c>
    </row>
    <row r="6" spans="2:5" x14ac:dyDescent="0.25">
      <c r="B6" s="107" t="s">
        <v>674</v>
      </c>
      <c r="C6" s="111" t="s">
        <v>809</v>
      </c>
      <c r="D6" s="109" t="s">
        <v>810</v>
      </c>
      <c r="E6" s="7" t="s">
        <v>927</v>
      </c>
    </row>
    <row r="7" spans="2:5" x14ac:dyDescent="0.25">
      <c r="B7" s="107" t="s">
        <v>676</v>
      </c>
      <c r="C7" s="111" t="s">
        <v>809</v>
      </c>
      <c r="D7" s="109" t="s">
        <v>809</v>
      </c>
      <c r="E7" s="7" t="s">
        <v>927</v>
      </c>
    </row>
    <row r="8" spans="2:5" x14ac:dyDescent="0.25">
      <c r="B8" s="107" t="s">
        <v>679</v>
      </c>
      <c r="C8" s="111" t="s">
        <v>810</v>
      </c>
      <c r="D8" s="109" t="s">
        <v>810</v>
      </c>
      <c r="E8" s="7" t="s">
        <v>813</v>
      </c>
    </row>
    <row r="9" spans="2:5" x14ac:dyDescent="0.25">
      <c r="B9" s="107" t="s">
        <v>675</v>
      </c>
      <c r="C9" s="111" t="s">
        <v>811</v>
      </c>
      <c r="D9" s="109" t="s">
        <v>809</v>
      </c>
      <c r="E9" s="7" t="s">
        <v>927</v>
      </c>
    </row>
    <row r="10" spans="2:5" x14ac:dyDescent="0.25">
      <c r="B10" s="107" t="s">
        <v>681</v>
      </c>
      <c r="C10" s="111" t="s">
        <v>810</v>
      </c>
      <c r="D10" s="109" t="s">
        <v>810</v>
      </c>
      <c r="E10" s="7" t="s">
        <v>813</v>
      </c>
    </row>
    <row r="11" spans="2:5" x14ac:dyDescent="0.25">
      <c r="B11" s="107" t="s">
        <v>700</v>
      </c>
      <c r="C11" s="111" t="s">
        <v>810</v>
      </c>
      <c r="D11" s="109" t="s">
        <v>810</v>
      </c>
      <c r="E11" s="7" t="s">
        <v>813</v>
      </c>
    </row>
  </sheetData>
  <mergeCells count="1">
    <mergeCell ref="C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9311-971A-46CD-A9F5-F6C704AF9024}">
  <sheetPr>
    <tabColor theme="8" tint="-0.249977111117893"/>
  </sheetPr>
  <dimension ref="L4:P51"/>
  <sheetViews>
    <sheetView topLeftCell="A13" zoomScale="130" zoomScaleNormal="130" workbookViewId="0">
      <selection activeCell="S26" activeCellId="1" sqref="P51 S26"/>
    </sheetView>
  </sheetViews>
  <sheetFormatPr defaultRowHeight="15" x14ac:dyDescent="0.25"/>
  <cols>
    <col min="1" max="16384" width="9.140625" style="7"/>
  </cols>
  <sheetData>
    <row r="4" spans="12:16" x14ac:dyDescent="0.25">
      <c r="L4" s="7" t="s">
        <v>900</v>
      </c>
    </row>
    <row r="6" spans="12:16" x14ac:dyDescent="0.25">
      <c r="P6" s="100" t="s">
        <v>928</v>
      </c>
    </row>
    <row r="13" spans="12:16" s="103" customFormat="1" x14ac:dyDescent="0.25"/>
    <row r="20" spans="16:16" x14ac:dyDescent="0.25">
      <c r="P20" s="100" t="s">
        <v>929</v>
      </c>
    </row>
    <row r="29" spans="16:16" s="103" customFormat="1" x14ac:dyDescent="0.25"/>
    <row r="37" spans="16:16" x14ac:dyDescent="0.25">
      <c r="P37" s="100" t="s">
        <v>928</v>
      </c>
    </row>
    <row r="44" spans="16:16" s="103" customFormat="1" x14ac:dyDescent="0.25"/>
    <row r="51" spans="16:16" x14ac:dyDescent="0.25">
      <c r="P51" s="100" t="s">
        <v>929</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F4C24-73A2-404F-AB8B-63B0C208D701}">
  <sheetPr>
    <tabColor theme="8" tint="-0.249977111117893"/>
  </sheetPr>
  <dimension ref="A2:S163"/>
  <sheetViews>
    <sheetView topLeftCell="A115" zoomScaleNormal="100" workbookViewId="0">
      <selection activeCell="F136" sqref="F136:J146"/>
    </sheetView>
  </sheetViews>
  <sheetFormatPr defaultRowHeight="15" x14ac:dyDescent="0.25"/>
  <cols>
    <col min="1" max="1" width="13.85546875" bestFit="1" customWidth="1"/>
    <col min="2" max="2" width="10.42578125" bestFit="1" customWidth="1"/>
    <col min="3" max="3" width="15.7109375" customWidth="1"/>
    <col min="6" max="10" width="12.28515625" bestFit="1" customWidth="1"/>
    <col min="12" max="12" width="16.85546875" customWidth="1"/>
    <col min="13" max="13" width="12.28515625" customWidth="1"/>
  </cols>
  <sheetData>
    <row r="2" spans="1:3" ht="49.5" customHeight="1" x14ac:dyDescent="0.25">
      <c r="A2" s="112" t="s">
        <v>814</v>
      </c>
      <c r="B2" s="114" t="s">
        <v>774</v>
      </c>
      <c r="C2" s="113" t="s">
        <v>680</v>
      </c>
    </row>
    <row r="3" spans="1:3" x14ac:dyDescent="0.25">
      <c r="A3" s="4" t="s">
        <v>263</v>
      </c>
      <c r="B3" s="20">
        <v>1</v>
      </c>
      <c r="C3" s="21">
        <v>83.4</v>
      </c>
    </row>
    <row r="4" spans="1:3" x14ac:dyDescent="0.25">
      <c r="A4" s="3" t="s">
        <v>169</v>
      </c>
      <c r="B4" s="20">
        <v>2</v>
      </c>
      <c r="C4" s="21">
        <v>84.2</v>
      </c>
    </row>
    <row r="5" spans="1:3" x14ac:dyDescent="0.25">
      <c r="A5" s="3" t="s">
        <v>401</v>
      </c>
      <c r="B5" s="20">
        <v>2</v>
      </c>
      <c r="C5" s="21">
        <v>82.5</v>
      </c>
    </row>
    <row r="6" spans="1:3" x14ac:dyDescent="0.25">
      <c r="A6" s="3" t="s">
        <v>274</v>
      </c>
      <c r="B6" s="20">
        <v>2</v>
      </c>
      <c r="C6" s="21">
        <v>81.900000000000006</v>
      </c>
    </row>
    <row r="7" spans="1:3" x14ac:dyDescent="0.25">
      <c r="A7" s="3" t="s">
        <v>47</v>
      </c>
      <c r="B7" s="20">
        <v>2</v>
      </c>
      <c r="C7" s="21">
        <v>81.7</v>
      </c>
    </row>
    <row r="8" spans="1:3" x14ac:dyDescent="0.25">
      <c r="A8" s="3" t="s">
        <v>337</v>
      </c>
      <c r="B8" s="20">
        <v>2</v>
      </c>
      <c r="C8" s="21">
        <v>83.1</v>
      </c>
    </row>
    <row r="9" spans="1:3" x14ac:dyDescent="0.25">
      <c r="A9" s="3" t="s">
        <v>25</v>
      </c>
      <c r="B9" s="20">
        <v>2</v>
      </c>
      <c r="C9" s="21">
        <v>82.6</v>
      </c>
    </row>
    <row r="10" spans="1:3" x14ac:dyDescent="0.25">
      <c r="A10" s="3" t="s">
        <v>361</v>
      </c>
      <c r="B10" s="20">
        <v>2</v>
      </c>
      <c r="C10" s="21">
        <v>83.6</v>
      </c>
    </row>
    <row r="11" spans="1:3" x14ac:dyDescent="0.25">
      <c r="A11" s="3" t="s">
        <v>14</v>
      </c>
      <c r="B11" s="20">
        <v>2</v>
      </c>
      <c r="C11" s="21">
        <v>82</v>
      </c>
    </row>
    <row r="12" spans="1:3" x14ac:dyDescent="0.25">
      <c r="A12" s="3" t="s">
        <v>619</v>
      </c>
      <c r="B12" s="20">
        <v>2</v>
      </c>
      <c r="C12" s="21">
        <v>83.1</v>
      </c>
    </row>
    <row r="13" spans="1:3" x14ac:dyDescent="0.25">
      <c r="A13" s="3" t="s">
        <v>63</v>
      </c>
      <c r="B13" s="20">
        <v>2</v>
      </c>
      <c r="C13" s="21">
        <v>83.4</v>
      </c>
    </row>
    <row r="14" spans="1:3" x14ac:dyDescent="0.25">
      <c r="A14" s="3" t="s">
        <v>54</v>
      </c>
      <c r="B14" s="20">
        <v>3</v>
      </c>
      <c r="C14" s="21">
        <v>81.599999999999994</v>
      </c>
    </row>
    <row r="15" spans="1:3" x14ac:dyDescent="0.25">
      <c r="A15" s="3" t="s">
        <v>587</v>
      </c>
      <c r="B15" s="20">
        <v>3</v>
      </c>
      <c r="C15" s="21">
        <v>82.5</v>
      </c>
    </row>
    <row r="16" spans="1:3" x14ac:dyDescent="0.25">
      <c r="A16" s="3" t="s">
        <v>311</v>
      </c>
      <c r="B16" s="20">
        <v>3</v>
      </c>
      <c r="C16" s="21">
        <v>80</v>
      </c>
    </row>
    <row r="17" spans="1:17" x14ac:dyDescent="0.25">
      <c r="A17" s="3" t="s">
        <v>436</v>
      </c>
      <c r="B17" s="20">
        <v>3</v>
      </c>
      <c r="C17" s="21">
        <v>81.2</v>
      </c>
      <c r="M17">
        <f>COUNT(M18:M28)</f>
        <v>1</v>
      </c>
      <c r="N17">
        <f t="shared" ref="N17:Q17" si="0">COUNT(N18:N28)</f>
        <v>10</v>
      </c>
      <c r="O17">
        <f t="shared" si="0"/>
        <v>8</v>
      </c>
      <c r="P17">
        <f t="shared" si="0"/>
        <v>1</v>
      </c>
      <c r="Q17">
        <f t="shared" si="0"/>
        <v>8</v>
      </c>
    </row>
    <row r="18" spans="1:17" x14ac:dyDescent="0.25">
      <c r="A18" s="3" t="s">
        <v>72</v>
      </c>
      <c r="B18" s="20">
        <v>3</v>
      </c>
      <c r="C18" s="21">
        <v>84</v>
      </c>
      <c r="F18" s="122" t="s">
        <v>845</v>
      </c>
      <c r="G18" s="123" t="s">
        <v>846</v>
      </c>
      <c r="H18" s="124" t="s">
        <v>847</v>
      </c>
      <c r="I18" s="125" t="s">
        <v>848</v>
      </c>
      <c r="J18" s="126" t="s">
        <v>849</v>
      </c>
      <c r="M18" t="s">
        <v>815</v>
      </c>
      <c r="N18" t="s">
        <v>816</v>
      </c>
      <c r="O18" t="s">
        <v>817</v>
      </c>
      <c r="P18" t="s">
        <v>818</v>
      </c>
      <c r="Q18" t="s">
        <v>819</v>
      </c>
    </row>
    <row r="19" spans="1:17" x14ac:dyDescent="0.25">
      <c r="A19" s="3" t="s">
        <v>155</v>
      </c>
      <c r="B19" s="20">
        <v>3</v>
      </c>
      <c r="C19" s="21">
        <v>83.8</v>
      </c>
      <c r="F19" s="116">
        <v>83.4</v>
      </c>
      <c r="G19" s="117">
        <v>84.2</v>
      </c>
      <c r="H19" s="119">
        <v>81.599999999999994</v>
      </c>
      <c r="I19" s="121">
        <v>81.599999999999994</v>
      </c>
      <c r="J19" s="127">
        <v>75.8</v>
      </c>
      <c r="M19" s="21">
        <f>_xlfn.RANK.AVG(F19,$F$19:$J$28,1)</f>
        <v>23.5</v>
      </c>
      <c r="N19" s="21">
        <f>_xlfn.RANK.AVG(G19,$F$19:$J$28,1)</f>
        <v>28</v>
      </c>
      <c r="O19" s="21">
        <f>_xlfn.RANK.AVG(H19,$F$19:$J$28,1)</f>
        <v>11.5</v>
      </c>
      <c r="P19" s="21">
        <f>_xlfn.RANK.AVG(I19,$F$19:$J$28,1)</f>
        <v>11.5</v>
      </c>
      <c r="Q19" s="21">
        <f>_xlfn.RANK.AVG(J19,$F$19:$J$28,1)</f>
        <v>1</v>
      </c>
    </row>
    <row r="20" spans="1:17" x14ac:dyDescent="0.25">
      <c r="A20" s="3" t="s">
        <v>388</v>
      </c>
      <c r="B20" s="20">
        <v>3</v>
      </c>
      <c r="C20" s="21">
        <v>82.4</v>
      </c>
      <c r="F20" s="115"/>
      <c r="G20" s="117">
        <v>82.5</v>
      </c>
      <c r="H20" s="119">
        <v>82.5</v>
      </c>
      <c r="I20" s="120"/>
      <c r="J20" s="127">
        <v>78.8</v>
      </c>
      <c r="M20" s="21"/>
      <c r="N20" s="21">
        <f t="shared" ref="N20:O28" si="1">_xlfn.RANK.AVG(G20,$F$19:$J$28,1)</f>
        <v>18.5</v>
      </c>
      <c r="O20" s="21">
        <f t="shared" si="1"/>
        <v>18.5</v>
      </c>
      <c r="P20" s="21"/>
      <c r="Q20" s="21">
        <f t="shared" ref="Q20:Q26" si="2">_xlfn.RANK.AVG(J20,$F$19:$J$28,1)</f>
        <v>8</v>
      </c>
    </row>
    <row r="21" spans="1:17" x14ac:dyDescent="0.25">
      <c r="A21" s="3" t="s">
        <v>334</v>
      </c>
      <c r="B21" s="20">
        <v>3</v>
      </c>
      <c r="C21" s="21">
        <v>82</v>
      </c>
      <c r="F21" s="115"/>
      <c r="G21" s="117">
        <v>81.900000000000006</v>
      </c>
      <c r="H21" s="119">
        <v>80</v>
      </c>
      <c r="I21" s="120"/>
      <c r="J21" s="127">
        <v>78.599999999999994</v>
      </c>
      <c r="M21" s="21"/>
      <c r="N21" s="21">
        <f t="shared" si="1"/>
        <v>14</v>
      </c>
      <c r="O21" s="21">
        <f t="shared" si="1"/>
        <v>9</v>
      </c>
      <c r="P21" s="21"/>
      <c r="Q21" s="21">
        <f t="shared" si="2"/>
        <v>6.5</v>
      </c>
    </row>
    <row r="22" spans="1:17" x14ac:dyDescent="0.25">
      <c r="A22" s="3" t="s">
        <v>631</v>
      </c>
      <c r="B22" s="20">
        <v>4</v>
      </c>
      <c r="C22" s="21">
        <v>81.599999999999994</v>
      </c>
      <c r="F22" s="115"/>
      <c r="G22" s="117">
        <v>81.7</v>
      </c>
      <c r="H22" s="119">
        <v>81.2</v>
      </c>
      <c r="I22" s="120"/>
      <c r="J22" s="127">
        <v>76.900000000000006</v>
      </c>
      <c r="M22" s="21"/>
      <c r="N22" s="21">
        <f>_xlfn.RANK.AVG(G22,$F$19:$J$28,1)</f>
        <v>13</v>
      </c>
      <c r="O22" s="21">
        <f t="shared" si="1"/>
        <v>10</v>
      </c>
      <c r="P22" s="21"/>
      <c r="Q22" s="21">
        <f t="shared" si="2"/>
        <v>4</v>
      </c>
    </row>
    <row r="23" spans="1:17" x14ac:dyDescent="0.25">
      <c r="A23" s="3" t="s">
        <v>556</v>
      </c>
      <c r="B23" s="20">
        <v>5</v>
      </c>
      <c r="C23" s="21">
        <v>75.8</v>
      </c>
      <c r="F23" s="115"/>
      <c r="G23" s="117">
        <v>83.1</v>
      </c>
      <c r="H23" s="119">
        <v>84</v>
      </c>
      <c r="I23" s="120"/>
      <c r="J23" s="127">
        <v>77.3</v>
      </c>
      <c r="M23" s="21"/>
      <c r="N23" s="21">
        <f t="shared" si="1"/>
        <v>21.5</v>
      </c>
      <c r="O23" s="21">
        <f t="shared" si="1"/>
        <v>27</v>
      </c>
      <c r="P23" s="21"/>
      <c r="Q23" s="21">
        <f t="shared" si="2"/>
        <v>5</v>
      </c>
    </row>
    <row r="24" spans="1:17" x14ac:dyDescent="0.25">
      <c r="A24" s="3" t="s">
        <v>468</v>
      </c>
      <c r="B24" s="20">
        <v>5</v>
      </c>
      <c r="C24" s="21">
        <v>78.8</v>
      </c>
      <c r="F24" s="115"/>
      <c r="G24" s="117">
        <v>82.6</v>
      </c>
      <c r="H24" s="119">
        <v>83.8</v>
      </c>
      <c r="I24" s="120"/>
      <c r="J24" s="127">
        <v>75.900000000000006</v>
      </c>
      <c r="M24" s="21"/>
      <c r="N24" s="21">
        <f t="shared" si="1"/>
        <v>20</v>
      </c>
      <c r="O24" s="21">
        <f t="shared" si="1"/>
        <v>26</v>
      </c>
      <c r="P24" s="21"/>
      <c r="Q24" s="21">
        <f t="shared" si="2"/>
        <v>2</v>
      </c>
    </row>
    <row r="25" spans="1:17" x14ac:dyDescent="0.25">
      <c r="A25" s="3" t="s">
        <v>473</v>
      </c>
      <c r="B25" s="20">
        <v>5</v>
      </c>
      <c r="C25" s="21">
        <v>78.599999999999994</v>
      </c>
      <c r="F25" s="115"/>
      <c r="G25" s="117">
        <v>83.6</v>
      </c>
      <c r="H25" s="119">
        <v>82.4</v>
      </c>
      <c r="I25" s="120"/>
      <c r="J25" s="127">
        <v>78.599999999999994</v>
      </c>
      <c r="M25" s="21"/>
      <c r="N25" s="21">
        <f t="shared" si="1"/>
        <v>25</v>
      </c>
      <c r="O25" s="21">
        <f t="shared" si="1"/>
        <v>17</v>
      </c>
      <c r="P25" s="21"/>
      <c r="Q25" s="21">
        <f t="shared" si="2"/>
        <v>6.5</v>
      </c>
    </row>
    <row r="26" spans="1:17" x14ac:dyDescent="0.25">
      <c r="A26" s="3" t="s">
        <v>46</v>
      </c>
      <c r="B26" s="20">
        <v>5</v>
      </c>
      <c r="C26" s="21">
        <v>76.900000000000006</v>
      </c>
      <c r="F26" s="115"/>
      <c r="G26" s="117">
        <v>82</v>
      </c>
      <c r="H26" s="119">
        <v>82</v>
      </c>
      <c r="I26" s="120"/>
      <c r="J26" s="127">
        <v>76.599999999999994</v>
      </c>
      <c r="M26" s="21"/>
      <c r="N26" s="21">
        <f t="shared" si="1"/>
        <v>15.5</v>
      </c>
      <c r="O26" s="21">
        <f t="shared" si="1"/>
        <v>15.5</v>
      </c>
      <c r="P26" s="21"/>
      <c r="Q26" s="21">
        <f t="shared" si="2"/>
        <v>3</v>
      </c>
    </row>
    <row r="27" spans="1:17" x14ac:dyDescent="0.25">
      <c r="A27" s="3" t="s">
        <v>379</v>
      </c>
      <c r="B27" s="20">
        <v>5</v>
      </c>
      <c r="C27" s="21">
        <v>77.3</v>
      </c>
      <c r="F27" s="115"/>
      <c r="G27" s="117">
        <v>83.1</v>
      </c>
      <c r="H27" s="118"/>
      <c r="I27" s="120"/>
      <c r="J27" s="128"/>
      <c r="M27" s="21"/>
      <c r="N27" s="21">
        <f t="shared" si="1"/>
        <v>21.5</v>
      </c>
      <c r="O27" s="21"/>
      <c r="P27" s="21"/>
      <c r="Q27" s="21"/>
    </row>
    <row r="28" spans="1:17" x14ac:dyDescent="0.25">
      <c r="A28" s="3" t="s">
        <v>240</v>
      </c>
      <c r="B28" s="20">
        <v>5</v>
      </c>
      <c r="C28" s="21">
        <v>75.900000000000006</v>
      </c>
      <c r="F28" s="115"/>
      <c r="G28" s="117">
        <v>83.4</v>
      </c>
      <c r="H28" s="118"/>
      <c r="I28" s="120"/>
      <c r="J28" s="128"/>
      <c r="M28" s="22"/>
      <c r="N28" s="22">
        <f t="shared" si="1"/>
        <v>23.5</v>
      </c>
      <c r="O28" s="22"/>
      <c r="P28" s="22"/>
      <c r="Q28" s="22"/>
    </row>
    <row r="29" spans="1:17" x14ac:dyDescent="0.25">
      <c r="A29" s="3" t="s">
        <v>65</v>
      </c>
      <c r="B29" s="20">
        <v>5</v>
      </c>
      <c r="C29" s="21">
        <v>78.599999999999994</v>
      </c>
      <c r="L29" t="s">
        <v>820</v>
      </c>
      <c r="M29">
        <f>SUM(M19:M28)</f>
        <v>23.5</v>
      </c>
      <c r="N29">
        <f t="shared" ref="N29:Q29" si="3">SUM(N19:N28)</f>
        <v>200.5</v>
      </c>
      <c r="O29">
        <f t="shared" si="3"/>
        <v>134.5</v>
      </c>
      <c r="P29">
        <f t="shared" si="3"/>
        <v>11.5</v>
      </c>
      <c r="Q29">
        <f t="shared" si="3"/>
        <v>36</v>
      </c>
    </row>
    <row r="30" spans="1:17" x14ac:dyDescent="0.25">
      <c r="A30" s="3" t="s">
        <v>503</v>
      </c>
      <c r="B30" s="20">
        <v>5</v>
      </c>
      <c r="C30" s="21">
        <v>76.599999999999994</v>
      </c>
      <c r="I30" t="s">
        <v>821</v>
      </c>
      <c r="J30">
        <f>COUNT(F19:J28)</f>
        <v>28</v>
      </c>
      <c r="L30" t="s">
        <v>822</v>
      </c>
      <c r="M30">
        <f>AVERAGE(M19)</f>
        <v>23.5</v>
      </c>
      <c r="N30">
        <f t="shared" ref="N30" si="4">AVERAGE(N19:N28)</f>
        <v>20.05</v>
      </c>
      <c r="O30">
        <f>AVERAGE(O19:O26)</f>
        <v>16.8125</v>
      </c>
      <c r="P30">
        <f>AVERAGE(P19)</f>
        <v>11.5</v>
      </c>
      <c r="Q30">
        <f>AVERAGE(Q19:Q26)</f>
        <v>4.5</v>
      </c>
    </row>
    <row r="31" spans="1:17" x14ac:dyDescent="0.25">
      <c r="L31" t="s">
        <v>823</v>
      </c>
      <c r="M31">
        <f>(M29^2)/COUNT(M19:M28)</f>
        <v>552.25</v>
      </c>
      <c r="N31">
        <f>(N29^2)/COUNT(N19:N28)</f>
        <v>4020.0250000000001</v>
      </c>
      <c r="O31">
        <f t="shared" ref="O31:Q31" si="5">(O29^2)/COUNT(O19:O28)</f>
        <v>2261.28125</v>
      </c>
      <c r="P31">
        <f t="shared" si="5"/>
        <v>132.25</v>
      </c>
      <c r="Q31">
        <f t="shared" si="5"/>
        <v>162</v>
      </c>
    </row>
    <row r="32" spans="1:17" x14ac:dyDescent="0.25">
      <c r="L32" t="s">
        <v>824</v>
      </c>
      <c r="M32">
        <f>SUM(M31:Q31)</f>
        <v>7127.8062499999996</v>
      </c>
    </row>
    <row r="33" spans="12:19" x14ac:dyDescent="0.25">
      <c r="L33" t="s">
        <v>825</v>
      </c>
      <c r="M33">
        <f>12/(J30*(J30+1))*M32-3*(J30+1)</f>
        <v>18.337038177339892</v>
      </c>
    </row>
    <row r="34" spans="12:19" x14ac:dyDescent="0.25">
      <c r="O34" t="s">
        <v>826</v>
      </c>
      <c r="P34">
        <f>1- (6*(2^3-2))/(28^3-28)</f>
        <v>0.99835796387520526</v>
      </c>
    </row>
    <row r="35" spans="12:19" x14ac:dyDescent="0.25">
      <c r="L35" t="s">
        <v>827</v>
      </c>
      <c r="M35" s="23">
        <f>1/P34*((12)/(28*29) * SUM(M31:Q31) - 3*29)</f>
        <v>18.367197779605256</v>
      </c>
    </row>
    <row r="36" spans="12:19" x14ac:dyDescent="0.25">
      <c r="L36" t="s">
        <v>828</v>
      </c>
      <c r="M36">
        <f>CHIINV(0.05,4)</f>
        <v>9.4877290367811575</v>
      </c>
    </row>
    <row r="38" spans="12:19" x14ac:dyDescent="0.25">
      <c r="M38" s="24" t="s">
        <v>829</v>
      </c>
    </row>
    <row r="41" spans="12:19" x14ac:dyDescent="0.25">
      <c r="N41" t="s">
        <v>831</v>
      </c>
      <c r="O41" t="s">
        <v>832</v>
      </c>
    </row>
    <row r="42" spans="12:19" x14ac:dyDescent="0.25">
      <c r="L42">
        <v>1</v>
      </c>
      <c r="M42">
        <v>2</v>
      </c>
      <c r="N42">
        <f>ABS(M30-N30)/(SQRT(($J$30*($J$30+1)/12)*(1/1+1/10)))</f>
        <v>0.39988522760039874</v>
      </c>
      <c r="O42">
        <f>NORMSINV(1-0.05/2)</f>
        <v>1.9599639845400536</v>
      </c>
      <c r="P42" t="s">
        <v>833</v>
      </c>
    </row>
    <row r="43" spans="12:19" x14ac:dyDescent="0.25">
      <c r="L43">
        <v>1</v>
      </c>
      <c r="M43">
        <v>3</v>
      </c>
      <c r="N43">
        <f>ABS(M30-O30)/(SQRT(($J$30*($J$30+1)/12)*(1/1+1/8)))</f>
        <v>0.76647879114442563</v>
      </c>
      <c r="O43">
        <f>O42</f>
        <v>1.9599639845400536</v>
      </c>
      <c r="P43" t="s">
        <v>833</v>
      </c>
    </row>
    <row r="44" spans="12:19" x14ac:dyDescent="0.25">
      <c r="L44">
        <v>1</v>
      </c>
      <c r="M44">
        <v>4</v>
      </c>
      <c r="N44">
        <f>ABS(M30-P30)/(SQRT(($J$30*($J$30+1)/12)*(1/1+1/1)))</f>
        <v>1.031522859110255</v>
      </c>
      <c r="O44">
        <f t="shared" ref="O44:O51" si="6">O43</f>
        <v>1.9599639845400536</v>
      </c>
      <c r="P44" t="s">
        <v>833</v>
      </c>
    </row>
    <row r="45" spans="12:19" x14ac:dyDescent="0.25">
      <c r="L45">
        <v>1</v>
      </c>
      <c r="M45">
        <v>5</v>
      </c>
      <c r="N45" s="70">
        <f>ABS(M30-Q30)/(SQRT(($J$30*($J$30+1)/12)*(1/1+1/8)))</f>
        <v>2.1776593692327606</v>
      </c>
      <c r="O45" s="70">
        <f t="shared" si="6"/>
        <v>1.9599639845400536</v>
      </c>
      <c r="P45" t="s">
        <v>834</v>
      </c>
      <c r="S45" s="24" t="s">
        <v>835</v>
      </c>
    </row>
    <row r="46" spans="12:19" x14ac:dyDescent="0.25">
      <c r="L46">
        <v>2</v>
      </c>
      <c r="M46">
        <v>3</v>
      </c>
      <c r="N46">
        <f>ABS(N30-O30)/(SQRT(($J$30*($J$30+1)/12)*(1/10+1/8)))</f>
        <v>0.82971917420653674</v>
      </c>
      <c r="O46">
        <f t="shared" si="6"/>
        <v>1.9599639845400536</v>
      </c>
      <c r="P46" t="s">
        <v>833</v>
      </c>
    </row>
    <row r="47" spans="12:19" x14ac:dyDescent="0.25">
      <c r="L47">
        <v>2</v>
      </c>
      <c r="M47">
        <v>4</v>
      </c>
      <c r="N47">
        <f>ABS(N30-P30)/(SQRT(($J$30*($J$30+1)/12)*(1/10+1/1)))</f>
        <v>0.99101991187924943</v>
      </c>
      <c r="O47">
        <f t="shared" si="6"/>
        <v>1.9599639845400536</v>
      </c>
      <c r="P47" t="s">
        <v>833</v>
      </c>
    </row>
    <row r="48" spans="12:19" x14ac:dyDescent="0.25">
      <c r="L48">
        <v>2</v>
      </c>
      <c r="M48">
        <v>5</v>
      </c>
      <c r="N48" s="70">
        <f>ABS(N30-Q30)/(SQRT(($J$30*($J$30+1)/12)*(1/10+1/8)))</f>
        <v>3.985214875339504</v>
      </c>
      <c r="O48" s="70">
        <f t="shared" si="6"/>
        <v>1.9599639845400536</v>
      </c>
      <c r="P48" t="s">
        <v>834</v>
      </c>
      <c r="S48" s="24" t="s">
        <v>836</v>
      </c>
    </row>
    <row r="49" spans="1:19" x14ac:dyDescent="0.25">
      <c r="L49">
        <v>3</v>
      </c>
      <c r="M49">
        <v>4</v>
      </c>
      <c r="N49">
        <f>ABS(O30-P30)/(SQRT(($J$30*($J$30+1)/12)*(1/8+1/1)))</f>
        <v>0.60888502100258113</v>
      </c>
      <c r="O49">
        <f t="shared" si="6"/>
        <v>1.9599639845400536</v>
      </c>
      <c r="P49" t="s">
        <v>833</v>
      </c>
    </row>
    <row r="50" spans="1:19" x14ac:dyDescent="0.25">
      <c r="L50">
        <v>3</v>
      </c>
      <c r="M50">
        <v>5</v>
      </c>
      <c r="N50" s="70">
        <f>ABS(O30-Q30)/(SQRT(($J$30*($J$30+1)/12)*(1/8+1/8)))</f>
        <v>2.9935660687350421</v>
      </c>
      <c r="O50" s="70">
        <f t="shared" si="6"/>
        <v>1.9599639845400536</v>
      </c>
      <c r="P50" t="s">
        <v>834</v>
      </c>
      <c r="S50" s="24" t="s">
        <v>837</v>
      </c>
    </row>
    <row r="51" spans="1:19" x14ac:dyDescent="0.25">
      <c r="L51">
        <v>4</v>
      </c>
      <c r="M51">
        <v>5</v>
      </c>
      <c r="N51">
        <f>ABS(P30-Q30)/(SQRT(($J$30*($J$30+1)/12)*(1/1+1/8)))</f>
        <v>0.80229555708575395</v>
      </c>
      <c r="O51">
        <f t="shared" si="6"/>
        <v>1.9599639845400536</v>
      </c>
      <c r="P51" t="s">
        <v>833</v>
      </c>
    </row>
    <row r="53" spans="1:19" s="70" customFormat="1" x14ac:dyDescent="0.25"/>
    <row r="55" spans="1:19" ht="45" x14ac:dyDescent="0.25">
      <c r="A55" s="112" t="s">
        <v>653</v>
      </c>
      <c r="B55" s="114" t="s">
        <v>774</v>
      </c>
      <c r="C55" s="113" t="s">
        <v>674</v>
      </c>
      <c r="M55" s="5">
        <f>COUNT(M56:M66)</f>
        <v>1</v>
      </c>
      <c r="N55" s="5">
        <f t="shared" ref="N55:Q55" si="7">COUNT(N56:N66)</f>
        <v>10</v>
      </c>
      <c r="O55" s="5">
        <f t="shared" si="7"/>
        <v>8</v>
      </c>
      <c r="P55" s="5">
        <f t="shared" si="7"/>
        <v>1</v>
      </c>
      <c r="Q55" s="5">
        <f t="shared" si="7"/>
        <v>8</v>
      </c>
    </row>
    <row r="56" spans="1:19" x14ac:dyDescent="0.25">
      <c r="A56" s="4" t="s">
        <v>54</v>
      </c>
      <c r="B56" s="20">
        <v>3</v>
      </c>
      <c r="C56" s="21">
        <v>6.6326457373354577</v>
      </c>
      <c r="F56" s="122" t="s">
        <v>845</v>
      </c>
      <c r="G56" s="123" t="s">
        <v>846</v>
      </c>
      <c r="H56" s="124" t="s">
        <v>847</v>
      </c>
      <c r="I56" s="125" t="s">
        <v>848</v>
      </c>
      <c r="J56" s="126" t="s">
        <v>849</v>
      </c>
      <c r="M56" t="s">
        <v>815</v>
      </c>
      <c r="N56" t="s">
        <v>816</v>
      </c>
      <c r="O56" t="s">
        <v>817</v>
      </c>
      <c r="P56" t="s">
        <v>818</v>
      </c>
      <c r="Q56" t="s">
        <v>819</v>
      </c>
    </row>
    <row r="57" spans="1:19" x14ac:dyDescent="0.25">
      <c r="A57" s="3" t="s">
        <v>587</v>
      </c>
      <c r="B57" s="20">
        <v>3</v>
      </c>
      <c r="C57" s="21">
        <v>7.3981306577468127</v>
      </c>
      <c r="F57" s="116">
        <v>12.456953232691275</v>
      </c>
      <c r="G57" s="117">
        <v>4.042072814753408</v>
      </c>
      <c r="H57" s="119">
        <v>6.6326457373354577</v>
      </c>
      <c r="I57" s="121">
        <v>4.7671849370183885</v>
      </c>
      <c r="J57" s="127">
        <v>4.9232803794050053</v>
      </c>
      <c r="M57" s="21">
        <f>_xlfn.RANK.AVG(F57,$F$57:$J$66,1)</f>
        <v>28</v>
      </c>
      <c r="N57" s="21">
        <f t="shared" ref="N57:Q57" si="8">_xlfn.RANK.AVG(G57,$F$57:$J$66,1)</f>
        <v>9</v>
      </c>
      <c r="O57" s="21">
        <f t="shared" si="8"/>
        <v>21</v>
      </c>
      <c r="P57" s="21">
        <f t="shared" si="8"/>
        <v>15</v>
      </c>
      <c r="Q57" s="21">
        <f t="shared" si="8"/>
        <v>16</v>
      </c>
    </row>
    <row r="58" spans="1:19" x14ac:dyDescent="0.25">
      <c r="A58" s="3" t="s">
        <v>556</v>
      </c>
      <c r="B58" s="20">
        <v>5</v>
      </c>
      <c r="C58" s="21">
        <v>4.9232803794050053</v>
      </c>
      <c r="F58" s="115"/>
      <c r="G58" s="117">
        <v>5.4719980089484199</v>
      </c>
      <c r="H58" s="119">
        <v>7.3981306577468127</v>
      </c>
      <c r="I58" s="120"/>
      <c r="J58" s="127">
        <v>5.3383998158736761</v>
      </c>
      <c r="M58" s="21"/>
      <c r="N58" s="21">
        <f t="shared" ref="N58:N66" si="9">_xlfn.RANK.AVG(G58,$F$57:$J$66,1)</f>
        <v>18</v>
      </c>
      <c r="O58" s="21">
        <f t="shared" ref="O58:O64" si="10">_xlfn.RANK.AVG(H58,$F$57:$J$66,1)</f>
        <v>25</v>
      </c>
      <c r="P58" s="21"/>
      <c r="Q58" s="21">
        <f t="shared" ref="Q58:Q64" si="11">_xlfn.RANK.AVG(J58,$F$57:$J$66,1)</f>
        <v>17</v>
      </c>
    </row>
    <row r="59" spans="1:19" x14ac:dyDescent="0.25">
      <c r="A59" s="3" t="s">
        <v>169</v>
      </c>
      <c r="B59" s="20">
        <v>2</v>
      </c>
      <c r="C59" s="21">
        <v>4.042072814753408</v>
      </c>
      <c r="F59" s="115"/>
      <c r="G59" s="117">
        <v>4.6912373075163369</v>
      </c>
      <c r="H59" s="119">
        <v>8.3040174958388864</v>
      </c>
      <c r="I59" s="120"/>
      <c r="J59" s="127">
        <v>3.8607053917305714</v>
      </c>
      <c r="M59" s="21"/>
      <c r="N59" s="21">
        <f t="shared" si="9"/>
        <v>13</v>
      </c>
      <c r="O59" s="21">
        <f t="shared" si="10"/>
        <v>27</v>
      </c>
      <c r="P59" s="21"/>
      <c r="Q59" s="21">
        <f t="shared" si="11"/>
        <v>6</v>
      </c>
    </row>
    <row r="60" spans="1:19" x14ac:dyDescent="0.25">
      <c r="A60" s="3" t="s">
        <v>401</v>
      </c>
      <c r="B60" s="20">
        <v>2</v>
      </c>
      <c r="C60" s="21">
        <v>5.4719980089484199</v>
      </c>
      <c r="F60" s="115"/>
      <c r="G60" s="117">
        <v>6.5701451277257457</v>
      </c>
      <c r="H60" s="119">
        <v>7.2552210281684033</v>
      </c>
      <c r="I60" s="120"/>
      <c r="J60" s="127">
        <v>4.591652907047882</v>
      </c>
      <c r="M60" s="21"/>
      <c r="N60" s="21">
        <f t="shared" si="9"/>
        <v>20</v>
      </c>
      <c r="O60" s="21">
        <f t="shared" si="10"/>
        <v>23</v>
      </c>
      <c r="P60" s="21"/>
      <c r="Q60" s="21">
        <f t="shared" si="11"/>
        <v>12</v>
      </c>
    </row>
    <row r="61" spans="1:19" x14ac:dyDescent="0.25">
      <c r="A61" s="3" t="s">
        <v>311</v>
      </c>
      <c r="B61" s="20">
        <v>3</v>
      </c>
      <c r="C61" s="21">
        <v>8.3040174958388864</v>
      </c>
      <c r="F61" s="115"/>
      <c r="G61" s="117">
        <v>3.9536824518799136</v>
      </c>
      <c r="H61" s="119">
        <v>4.2795945712140995</v>
      </c>
      <c r="I61" s="120"/>
      <c r="J61" s="127">
        <v>4.1840004150439096</v>
      </c>
      <c r="M61" s="21"/>
      <c r="N61" s="21">
        <f t="shared" si="9"/>
        <v>8</v>
      </c>
      <c r="O61" s="21">
        <f t="shared" si="10"/>
        <v>11</v>
      </c>
      <c r="P61" s="21"/>
      <c r="Q61" s="21">
        <f t="shared" si="11"/>
        <v>10</v>
      </c>
    </row>
    <row r="62" spans="1:19" x14ac:dyDescent="0.25">
      <c r="A62" s="3" t="s">
        <v>436</v>
      </c>
      <c r="B62" s="20">
        <v>3</v>
      </c>
      <c r="C62" s="21">
        <v>7.2552210281684033</v>
      </c>
      <c r="F62" s="115"/>
      <c r="G62" s="117">
        <v>3.9474653648526594</v>
      </c>
      <c r="H62" s="119">
        <v>4.7323727707993539</v>
      </c>
      <c r="I62" s="120"/>
      <c r="J62" s="127">
        <v>3.6456121684928142</v>
      </c>
      <c r="M62" s="21"/>
      <c r="N62" s="21">
        <f t="shared" si="9"/>
        <v>7</v>
      </c>
      <c r="O62" s="21">
        <f t="shared" si="10"/>
        <v>14</v>
      </c>
      <c r="P62" s="21"/>
      <c r="Q62" s="21">
        <f t="shared" si="11"/>
        <v>4</v>
      </c>
    </row>
    <row r="63" spans="1:19" x14ac:dyDescent="0.25">
      <c r="A63" s="3" t="s">
        <v>274</v>
      </c>
      <c r="B63" s="20">
        <v>2</v>
      </c>
      <c r="C63" s="21">
        <v>4.6912373075163369</v>
      </c>
      <c r="F63" s="115"/>
      <c r="G63" s="117">
        <v>3.1255578927759191</v>
      </c>
      <c r="H63" s="119">
        <v>3.7849075869171078</v>
      </c>
      <c r="I63" s="120"/>
      <c r="J63" s="127">
        <v>7.3675633729270924</v>
      </c>
      <c r="M63" s="21"/>
      <c r="N63" s="21">
        <f t="shared" si="9"/>
        <v>1</v>
      </c>
      <c r="O63" s="21">
        <f t="shared" si="10"/>
        <v>5</v>
      </c>
      <c r="P63" s="21"/>
      <c r="Q63" s="21">
        <f t="shared" si="11"/>
        <v>24</v>
      </c>
    </row>
    <row r="64" spans="1:19" x14ac:dyDescent="0.25">
      <c r="A64" s="3" t="s">
        <v>72</v>
      </c>
      <c r="B64" s="20">
        <v>3</v>
      </c>
      <c r="C64" s="21">
        <v>4.2795945712140995</v>
      </c>
      <c r="F64" s="115"/>
      <c r="G64" s="117">
        <v>7.4715534787718951</v>
      </c>
      <c r="H64" s="119">
        <v>5.9347351788582579</v>
      </c>
      <c r="I64" s="120"/>
      <c r="J64" s="127">
        <v>3.5641375014598826</v>
      </c>
      <c r="M64" s="21"/>
      <c r="N64" s="21">
        <f t="shared" si="9"/>
        <v>26</v>
      </c>
      <c r="O64" s="21">
        <f t="shared" si="10"/>
        <v>19</v>
      </c>
      <c r="P64" s="21"/>
      <c r="Q64" s="21">
        <f t="shared" si="11"/>
        <v>3</v>
      </c>
    </row>
    <row r="65" spans="1:17" x14ac:dyDescent="0.25">
      <c r="A65" s="3" t="s">
        <v>468</v>
      </c>
      <c r="B65" s="20">
        <v>5</v>
      </c>
      <c r="C65" s="21">
        <v>5.3383998158736761</v>
      </c>
      <c r="F65" s="115"/>
      <c r="G65" s="117">
        <v>6.7250800496330969</v>
      </c>
      <c r="H65" s="118"/>
      <c r="I65" s="120"/>
      <c r="J65" s="128"/>
      <c r="M65" s="21"/>
      <c r="N65" s="21">
        <f t="shared" si="9"/>
        <v>22</v>
      </c>
      <c r="O65" s="21"/>
      <c r="P65" s="21"/>
      <c r="Q65" s="21"/>
    </row>
    <row r="66" spans="1:17" x14ac:dyDescent="0.25">
      <c r="A66" s="3" t="s">
        <v>47</v>
      </c>
      <c r="B66" s="20">
        <v>2</v>
      </c>
      <c r="C66" s="21">
        <v>6.5701451277257457</v>
      </c>
      <c r="F66" s="115"/>
      <c r="G66" s="117">
        <v>3.242989143127474</v>
      </c>
      <c r="H66" s="118"/>
      <c r="I66" s="120"/>
      <c r="J66" s="128"/>
      <c r="M66" s="22"/>
      <c r="N66" s="22">
        <f t="shared" si="9"/>
        <v>2</v>
      </c>
      <c r="O66" s="22"/>
      <c r="P66" s="22"/>
      <c r="Q66" s="22"/>
    </row>
    <row r="67" spans="1:17" x14ac:dyDescent="0.25">
      <c r="A67" s="3" t="s">
        <v>337</v>
      </c>
      <c r="B67" s="20">
        <v>2</v>
      </c>
      <c r="C67" s="21">
        <v>3.9536824518799136</v>
      </c>
      <c r="L67" t="s">
        <v>820</v>
      </c>
      <c r="M67">
        <f>SUM(M57:M66)</f>
        <v>28</v>
      </c>
      <c r="N67">
        <f t="shared" ref="N67:Q67" si="12">SUM(N57:N66)</f>
        <v>126</v>
      </c>
      <c r="O67">
        <f t="shared" si="12"/>
        <v>145</v>
      </c>
      <c r="P67">
        <f t="shared" si="12"/>
        <v>15</v>
      </c>
      <c r="Q67">
        <f t="shared" si="12"/>
        <v>92</v>
      </c>
    </row>
    <row r="68" spans="1:17" x14ac:dyDescent="0.25">
      <c r="A68" s="3" t="s">
        <v>631</v>
      </c>
      <c r="B68" s="20">
        <v>4</v>
      </c>
      <c r="C68" s="21">
        <v>4.7671849370183885</v>
      </c>
      <c r="J68">
        <f>COUNT(F57:J66)</f>
        <v>28</v>
      </c>
      <c r="L68" t="s">
        <v>822</v>
      </c>
      <c r="M68">
        <f>AVERAGE(M57)</f>
        <v>28</v>
      </c>
      <c r="N68">
        <f t="shared" ref="N68" si="13">AVERAGE(N57:N66)</f>
        <v>12.6</v>
      </c>
      <c r="O68">
        <f>AVERAGE(O57:O64)</f>
        <v>18.125</v>
      </c>
      <c r="P68">
        <f>AVERAGE(P57)</f>
        <v>15</v>
      </c>
      <c r="Q68">
        <f>AVERAGE(Q57:Q64)</f>
        <v>11.5</v>
      </c>
    </row>
    <row r="69" spans="1:17" x14ac:dyDescent="0.25">
      <c r="A69" s="3" t="s">
        <v>473</v>
      </c>
      <c r="B69" s="20">
        <v>5</v>
      </c>
      <c r="C69" s="21">
        <v>3.8607053917305714</v>
      </c>
      <c r="L69" t="s">
        <v>823</v>
      </c>
      <c r="M69">
        <f>(M67^2)/COUNT(M57:M66)</f>
        <v>784</v>
      </c>
      <c r="N69">
        <f>(N67^2)/COUNT(N57:N66)</f>
        <v>1587.6</v>
      </c>
      <c r="O69">
        <f t="shared" ref="O69:Q69" si="14">(O67^2)/COUNT(O57:O66)</f>
        <v>2628.125</v>
      </c>
      <c r="P69">
        <f t="shared" si="14"/>
        <v>225</v>
      </c>
      <c r="Q69">
        <f t="shared" si="14"/>
        <v>1058</v>
      </c>
    </row>
    <row r="70" spans="1:17" x14ac:dyDescent="0.25">
      <c r="A70" s="3" t="s">
        <v>46</v>
      </c>
      <c r="B70" s="20">
        <v>5</v>
      </c>
      <c r="C70" s="21">
        <v>4.591652907047882</v>
      </c>
      <c r="L70" t="s">
        <v>824</v>
      </c>
      <c r="M70">
        <f>SUM(M69:Q69)</f>
        <v>6282.7250000000004</v>
      </c>
    </row>
    <row r="71" spans="1:17" x14ac:dyDescent="0.25">
      <c r="A71" s="3" t="s">
        <v>25</v>
      </c>
      <c r="B71" s="20">
        <v>2</v>
      </c>
      <c r="C71" s="21">
        <v>3.9474653648526594</v>
      </c>
      <c r="L71" t="s">
        <v>825</v>
      </c>
      <c r="M71">
        <f>12/(J68*(J68+1))*M70-3*(J68+1)</f>
        <v>5.84815270935961</v>
      </c>
    </row>
    <row r="72" spans="1:17" x14ac:dyDescent="0.25">
      <c r="A72" s="3" t="s">
        <v>155</v>
      </c>
      <c r="B72" s="20">
        <v>3</v>
      </c>
      <c r="C72" s="21">
        <v>4.7323727707993539</v>
      </c>
      <c r="L72" t="s">
        <v>828</v>
      </c>
      <c r="M72">
        <f>CHIINV(0.05,4)</f>
        <v>9.4877290367811575</v>
      </c>
      <c r="O72" s="24" t="s">
        <v>838</v>
      </c>
    </row>
    <row r="73" spans="1:17" x14ac:dyDescent="0.25">
      <c r="A73" s="3" t="s">
        <v>379</v>
      </c>
      <c r="B73" s="20">
        <v>5</v>
      </c>
      <c r="C73" s="21">
        <v>4.1840004150439096</v>
      </c>
    </row>
    <row r="74" spans="1:17" x14ac:dyDescent="0.25">
      <c r="A74" s="3" t="s">
        <v>263</v>
      </c>
      <c r="B74" s="20">
        <v>1</v>
      </c>
      <c r="C74" s="21">
        <v>12.456953232691275</v>
      </c>
    </row>
    <row r="75" spans="1:17" x14ac:dyDescent="0.25">
      <c r="A75" s="3" t="s">
        <v>240</v>
      </c>
      <c r="B75" s="20">
        <v>5</v>
      </c>
      <c r="C75" s="21">
        <v>3.6456121684928142</v>
      </c>
    </row>
    <row r="76" spans="1:17" x14ac:dyDescent="0.25">
      <c r="A76" s="3" t="s">
        <v>361</v>
      </c>
      <c r="B76" s="20">
        <v>2</v>
      </c>
      <c r="C76" s="21">
        <v>3.1255578927759191</v>
      </c>
    </row>
    <row r="77" spans="1:17" x14ac:dyDescent="0.25">
      <c r="A77" s="3" t="s">
        <v>14</v>
      </c>
      <c r="B77" s="20">
        <v>2</v>
      </c>
      <c r="C77" s="21">
        <v>7.4715534787718951</v>
      </c>
    </row>
    <row r="78" spans="1:17" x14ac:dyDescent="0.25">
      <c r="A78" s="3" t="s">
        <v>619</v>
      </c>
      <c r="B78" s="20">
        <v>2</v>
      </c>
      <c r="C78" s="21">
        <v>6.7250800496330969</v>
      </c>
    </row>
    <row r="79" spans="1:17" x14ac:dyDescent="0.25">
      <c r="A79" s="3" t="s">
        <v>65</v>
      </c>
      <c r="B79" s="20">
        <v>5</v>
      </c>
      <c r="C79" s="21">
        <v>7.3675633729270924</v>
      </c>
    </row>
    <row r="80" spans="1:17" x14ac:dyDescent="0.25">
      <c r="A80" s="3" t="s">
        <v>388</v>
      </c>
      <c r="B80" s="20">
        <v>3</v>
      </c>
      <c r="C80" s="21">
        <v>3.7849075869171078</v>
      </c>
    </row>
    <row r="81" spans="1:17" x14ac:dyDescent="0.25">
      <c r="A81" s="3" t="s">
        <v>503</v>
      </c>
      <c r="B81" s="20">
        <v>5</v>
      </c>
      <c r="C81" s="21">
        <v>3.5641375014598826</v>
      </c>
    </row>
    <row r="82" spans="1:17" x14ac:dyDescent="0.25">
      <c r="A82" s="3" t="s">
        <v>334</v>
      </c>
      <c r="B82" s="20">
        <v>3</v>
      </c>
      <c r="C82" s="21">
        <v>5.9347351788582579</v>
      </c>
    </row>
    <row r="83" spans="1:17" x14ac:dyDescent="0.25">
      <c r="A83" s="3" t="s">
        <v>63</v>
      </c>
      <c r="B83" s="20">
        <v>2</v>
      </c>
      <c r="C83" s="21">
        <v>3.242989143127474</v>
      </c>
    </row>
    <row r="89" spans="1:17" s="70" customFormat="1" x14ac:dyDescent="0.25"/>
    <row r="91" spans="1:17" ht="30" x14ac:dyDescent="0.25">
      <c r="A91" s="112" t="s">
        <v>653</v>
      </c>
      <c r="B91" s="114" t="s">
        <v>774</v>
      </c>
      <c r="C91" s="113" t="s">
        <v>676</v>
      </c>
      <c r="M91">
        <f>COUNT(M92:M102)</f>
        <v>1</v>
      </c>
      <c r="N91">
        <f t="shared" ref="N91:Q91" si="15">COUNT(N92:N102)</f>
        <v>10</v>
      </c>
      <c r="O91">
        <f t="shared" si="15"/>
        <v>8</v>
      </c>
      <c r="P91">
        <f t="shared" si="15"/>
        <v>1</v>
      </c>
      <c r="Q91">
        <f t="shared" si="15"/>
        <v>8</v>
      </c>
    </row>
    <row r="92" spans="1:17" x14ac:dyDescent="0.25">
      <c r="A92" s="4" t="s">
        <v>54</v>
      </c>
      <c r="B92" s="20">
        <v>3</v>
      </c>
      <c r="C92" s="21">
        <v>73751.352706379985</v>
      </c>
      <c r="F92" s="122" t="s">
        <v>845</v>
      </c>
      <c r="G92" s="123" t="s">
        <v>846</v>
      </c>
      <c r="H92" s="124" t="s">
        <v>847</v>
      </c>
      <c r="I92" s="125" t="s">
        <v>848</v>
      </c>
      <c r="J92" s="126" t="s">
        <v>849</v>
      </c>
      <c r="M92" t="s">
        <v>815</v>
      </c>
      <c r="N92" t="s">
        <v>816</v>
      </c>
      <c r="O92" t="s">
        <v>817</v>
      </c>
      <c r="P92" t="s">
        <v>818</v>
      </c>
      <c r="Q92" t="s">
        <v>819</v>
      </c>
    </row>
    <row r="93" spans="1:17" x14ac:dyDescent="0.25">
      <c r="A93" s="3" t="s">
        <v>587</v>
      </c>
      <c r="B93" s="20">
        <v>3</v>
      </c>
      <c r="C93" s="21">
        <v>70455.958425795616</v>
      </c>
      <c r="F93" s="116">
        <v>143341.47312464545</v>
      </c>
      <c r="G93" s="117">
        <v>92980.401876094998</v>
      </c>
      <c r="H93" s="119">
        <v>73751.352706379985</v>
      </c>
      <c r="I93" s="121">
        <v>41186.81220278937</v>
      </c>
      <c r="J93" s="127">
        <v>38689.548074916594</v>
      </c>
      <c r="M93" s="21">
        <f>_xlfn.RANK.AVG(F93,$F$93:$J$102,1)</f>
        <v>28</v>
      </c>
      <c r="N93" s="21">
        <f t="shared" ref="N93:Q93" si="16">_xlfn.RANK.AVG(G93,$F$93:$J$102,1)</f>
        <v>26</v>
      </c>
      <c r="O93" s="21">
        <f t="shared" si="16"/>
        <v>22</v>
      </c>
      <c r="P93" s="21">
        <f t="shared" si="16"/>
        <v>2</v>
      </c>
      <c r="Q93" s="21">
        <f t="shared" si="16"/>
        <v>1</v>
      </c>
    </row>
    <row r="94" spans="1:17" x14ac:dyDescent="0.25">
      <c r="A94" s="3" t="s">
        <v>556</v>
      </c>
      <c r="B94" s="20">
        <v>5</v>
      </c>
      <c r="C94" s="21">
        <v>38689.548074916594</v>
      </c>
      <c r="F94" s="115"/>
      <c r="G94" s="117">
        <v>57100.46484375</v>
      </c>
      <c r="H94" s="119">
        <v>70455.958425795616</v>
      </c>
      <c r="I94" s="120"/>
      <c r="J94" s="127">
        <v>48992.140951181515</v>
      </c>
      <c r="M94" s="21"/>
      <c r="N94" s="21">
        <f t="shared" ref="N94:N102" si="17">_xlfn.RANK.AVG(G94,$F$93:$J$102,1)</f>
        <v>14</v>
      </c>
      <c r="O94" s="21">
        <f t="shared" ref="O94:O100" si="18">_xlfn.RANK.AVG(H94,$F$93:$J$102,1)</f>
        <v>21</v>
      </c>
      <c r="P94" s="21"/>
      <c r="Q94" s="21">
        <f t="shared" ref="Q94:Q100" si="19">_xlfn.RANK.AVG(J94,$F$93:$J$102,1)</f>
        <v>8</v>
      </c>
    </row>
    <row r="95" spans="1:17" x14ac:dyDescent="0.25">
      <c r="A95" s="3" t="s">
        <v>169</v>
      </c>
      <c r="B95" s="20">
        <v>2</v>
      </c>
      <c r="C95" s="21">
        <v>92980.401876094998</v>
      </c>
      <c r="F95" s="115"/>
      <c r="G95" s="117">
        <v>76687.902843730641</v>
      </c>
      <c r="H95" s="119">
        <v>53816.803389523178</v>
      </c>
      <c r="I95" s="120"/>
      <c r="J95" s="127">
        <v>45909.634484175825</v>
      </c>
      <c r="M95" s="21"/>
      <c r="N95" s="21">
        <f t="shared" si="17"/>
        <v>23</v>
      </c>
      <c r="O95" s="21">
        <f t="shared" si="18"/>
        <v>12</v>
      </c>
      <c r="P95" s="21"/>
      <c r="Q95" s="21">
        <f t="shared" si="19"/>
        <v>4</v>
      </c>
    </row>
    <row r="96" spans="1:17" x14ac:dyDescent="0.25">
      <c r="A96" s="3" t="s">
        <v>401</v>
      </c>
      <c r="B96" s="20">
        <v>2</v>
      </c>
      <c r="C96" s="21">
        <v>57100.46484375</v>
      </c>
      <c r="F96" s="115"/>
      <c r="G96" s="117">
        <v>65060.674161832023</v>
      </c>
      <c r="H96" s="119">
        <v>69338.293226446665</v>
      </c>
      <c r="I96" s="120"/>
      <c r="J96" s="127">
        <v>45942.169490682201</v>
      </c>
      <c r="M96" s="21"/>
      <c r="N96" s="21">
        <f t="shared" si="17"/>
        <v>18</v>
      </c>
      <c r="O96" s="21">
        <f t="shared" si="18"/>
        <v>19</v>
      </c>
      <c r="P96" s="21"/>
      <c r="Q96" s="21">
        <f t="shared" si="19"/>
        <v>5</v>
      </c>
    </row>
    <row r="97" spans="1:19" x14ac:dyDescent="0.25">
      <c r="A97" s="3" t="s">
        <v>311</v>
      </c>
      <c r="B97" s="20">
        <v>3</v>
      </c>
      <c r="C97" s="21">
        <v>53816.803389523178</v>
      </c>
      <c r="F97" s="115"/>
      <c r="G97" s="117">
        <v>61156.772819256643</v>
      </c>
      <c r="H97" s="119">
        <v>52779.234057370304</v>
      </c>
      <c r="I97" s="120"/>
      <c r="J97" s="127">
        <v>51877.00651927686</v>
      </c>
      <c r="M97" s="21"/>
      <c r="N97" s="21">
        <f t="shared" si="17"/>
        <v>16</v>
      </c>
      <c r="O97" s="21">
        <f t="shared" si="18"/>
        <v>11</v>
      </c>
      <c r="P97" s="21"/>
      <c r="Q97" s="21">
        <f t="shared" si="19"/>
        <v>10</v>
      </c>
    </row>
    <row r="98" spans="1:19" x14ac:dyDescent="0.25">
      <c r="A98" s="3" t="s">
        <v>436</v>
      </c>
      <c r="B98" s="20">
        <v>3</v>
      </c>
      <c r="C98" s="21">
        <v>69338.293226446665</v>
      </c>
      <c r="F98" s="115"/>
      <c r="G98" s="117">
        <v>77567.191812574616</v>
      </c>
      <c r="H98" s="119">
        <v>58754.90787787213</v>
      </c>
      <c r="I98" s="120"/>
      <c r="J98" s="127">
        <v>42501.027882049464</v>
      </c>
      <c r="M98" s="21"/>
      <c r="N98" s="21">
        <f t="shared" si="17"/>
        <v>24</v>
      </c>
      <c r="O98" s="21">
        <f t="shared" si="18"/>
        <v>15</v>
      </c>
      <c r="P98" s="21"/>
      <c r="Q98" s="21">
        <f t="shared" si="19"/>
        <v>3</v>
      </c>
    </row>
    <row r="99" spans="1:19" x14ac:dyDescent="0.25">
      <c r="A99" s="3" t="s">
        <v>274</v>
      </c>
      <c r="B99" s="20">
        <v>2</v>
      </c>
      <c r="C99" s="21">
        <v>76687.902843730641</v>
      </c>
      <c r="F99" s="115"/>
      <c r="G99" s="117">
        <v>62445.681490419811</v>
      </c>
      <c r="H99" s="119">
        <v>48758.857022163567</v>
      </c>
      <c r="I99" s="120"/>
      <c r="J99" s="127">
        <v>49463.99116942488</v>
      </c>
      <c r="M99" s="21"/>
      <c r="N99" s="21">
        <f t="shared" si="17"/>
        <v>17</v>
      </c>
      <c r="O99" s="21">
        <f t="shared" si="18"/>
        <v>7</v>
      </c>
      <c r="P99" s="21"/>
      <c r="Q99" s="21">
        <f t="shared" si="19"/>
        <v>9</v>
      </c>
    </row>
    <row r="100" spans="1:19" x14ac:dyDescent="0.25">
      <c r="A100" s="3" t="s">
        <v>72</v>
      </c>
      <c r="B100" s="20">
        <v>3</v>
      </c>
      <c r="C100" s="21">
        <v>52779.234057370304</v>
      </c>
      <c r="F100" s="115"/>
      <c r="G100" s="117">
        <v>78215.066303860061</v>
      </c>
      <c r="H100" s="119">
        <v>54947.470137240023</v>
      </c>
      <c r="I100" s="120"/>
      <c r="J100" s="127">
        <v>47903.341148648993</v>
      </c>
      <c r="M100" s="21"/>
      <c r="N100" s="21">
        <f t="shared" si="17"/>
        <v>25</v>
      </c>
      <c r="O100" s="21">
        <f t="shared" si="18"/>
        <v>13</v>
      </c>
      <c r="P100" s="21"/>
      <c r="Q100" s="21">
        <f t="shared" si="19"/>
        <v>6</v>
      </c>
    </row>
    <row r="101" spans="1:19" x14ac:dyDescent="0.25">
      <c r="A101" s="3" t="s">
        <v>468</v>
      </c>
      <c r="B101" s="20">
        <v>5</v>
      </c>
      <c r="C101" s="21">
        <v>48992.140951181515</v>
      </c>
      <c r="F101" s="115"/>
      <c r="G101" s="117">
        <v>104459.81192279447</v>
      </c>
      <c r="H101" s="118"/>
      <c r="I101" s="120"/>
      <c r="J101" s="128"/>
      <c r="M101" s="21"/>
      <c r="N101" s="21">
        <f t="shared" si="17"/>
        <v>27</v>
      </c>
      <c r="O101" s="21"/>
      <c r="P101" s="21"/>
      <c r="Q101" s="21"/>
    </row>
    <row r="102" spans="1:19" x14ac:dyDescent="0.25">
      <c r="A102" s="3" t="s">
        <v>47</v>
      </c>
      <c r="B102" s="20">
        <v>2</v>
      </c>
      <c r="C102" s="21">
        <v>65060.674161832023</v>
      </c>
      <c r="F102" s="115"/>
      <c r="G102" s="117">
        <v>70206.611636511487</v>
      </c>
      <c r="H102" s="118"/>
      <c r="I102" s="120"/>
      <c r="J102" s="128"/>
      <c r="M102" s="22"/>
      <c r="N102" s="22">
        <f t="shared" si="17"/>
        <v>20</v>
      </c>
      <c r="O102" s="22"/>
      <c r="P102" s="22"/>
      <c r="Q102" s="22"/>
    </row>
    <row r="103" spans="1:19" x14ac:dyDescent="0.25">
      <c r="A103" s="3" t="s">
        <v>337</v>
      </c>
      <c r="B103" s="20">
        <v>2</v>
      </c>
      <c r="C103" s="21">
        <v>61156.772819256643</v>
      </c>
      <c r="L103" t="s">
        <v>820</v>
      </c>
      <c r="M103">
        <f>SUM(M93:M102)</f>
        <v>28</v>
      </c>
      <c r="N103">
        <f t="shared" ref="N103:Q103" si="20">SUM(N93:N102)</f>
        <v>210</v>
      </c>
      <c r="O103">
        <f t="shared" si="20"/>
        <v>120</v>
      </c>
      <c r="P103">
        <f t="shared" si="20"/>
        <v>2</v>
      </c>
      <c r="Q103">
        <f t="shared" si="20"/>
        <v>46</v>
      </c>
    </row>
    <row r="104" spans="1:19" x14ac:dyDescent="0.25">
      <c r="A104" s="3" t="s">
        <v>631</v>
      </c>
      <c r="B104" s="20">
        <v>4</v>
      </c>
      <c r="C104" s="21">
        <v>41186.81220278937</v>
      </c>
      <c r="J104">
        <f>COUNT(F93:J102)</f>
        <v>28</v>
      </c>
      <c r="L104" t="s">
        <v>822</v>
      </c>
      <c r="M104">
        <f>AVERAGE(M93)</f>
        <v>28</v>
      </c>
      <c r="N104">
        <f t="shared" ref="N104" si="21">AVERAGE(N93:N102)</f>
        <v>21</v>
      </c>
      <c r="O104">
        <f>AVERAGE(O93:O100)</f>
        <v>15</v>
      </c>
      <c r="P104">
        <f>AVERAGE(P93)</f>
        <v>2</v>
      </c>
      <c r="Q104">
        <f>AVERAGE(Q93:Q100)</f>
        <v>5.75</v>
      </c>
    </row>
    <row r="105" spans="1:19" x14ac:dyDescent="0.25">
      <c r="A105" s="3" t="s">
        <v>473</v>
      </c>
      <c r="B105" s="20">
        <v>5</v>
      </c>
      <c r="C105" s="21">
        <v>45909.634484175825</v>
      </c>
      <c r="L105" t="s">
        <v>823</v>
      </c>
      <c r="M105">
        <f>(M103^2)/COUNT(M93:M102)</f>
        <v>784</v>
      </c>
      <c r="N105">
        <f>(N103^2)/COUNT(N93:N102)</f>
        <v>4410</v>
      </c>
      <c r="O105">
        <f t="shared" ref="O105:Q105" si="22">(O103^2)/COUNT(O93:O102)</f>
        <v>1800</v>
      </c>
      <c r="P105">
        <f t="shared" si="22"/>
        <v>4</v>
      </c>
      <c r="Q105">
        <f t="shared" si="22"/>
        <v>264.5</v>
      </c>
    </row>
    <row r="106" spans="1:19" x14ac:dyDescent="0.25">
      <c r="A106" s="3" t="s">
        <v>46</v>
      </c>
      <c r="B106" s="20">
        <v>5</v>
      </c>
      <c r="C106" s="21">
        <v>45942.169490682201</v>
      </c>
      <c r="L106" t="s">
        <v>824</v>
      </c>
      <c r="M106">
        <f>SUM(M105:Q105)</f>
        <v>7262.5</v>
      </c>
    </row>
    <row r="107" spans="1:19" x14ac:dyDescent="0.25">
      <c r="A107" s="3" t="s">
        <v>25</v>
      </c>
      <c r="B107" s="20">
        <v>2</v>
      </c>
      <c r="C107" s="21">
        <v>77567.191812574616</v>
      </c>
      <c r="L107" t="s">
        <v>825</v>
      </c>
      <c r="M107">
        <f>12/(J104*(J104+1))*M106-3*(J104+1)</f>
        <v>20.327586206896541</v>
      </c>
    </row>
    <row r="108" spans="1:19" x14ac:dyDescent="0.25">
      <c r="A108" s="3" t="s">
        <v>155</v>
      </c>
      <c r="B108" s="20">
        <v>3</v>
      </c>
      <c r="C108" s="21">
        <v>58754.90787787213</v>
      </c>
      <c r="L108" t="s">
        <v>828</v>
      </c>
      <c r="M108">
        <f>CHIINV(0.05,4)</f>
        <v>9.4877290367811575</v>
      </c>
      <c r="P108" s="24" t="s">
        <v>841</v>
      </c>
    </row>
    <row r="109" spans="1:19" x14ac:dyDescent="0.25">
      <c r="A109" s="3" t="s">
        <v>379</v>
      </c>
      <c r="B109" s="20">
        <v>5</v>
      </c>
      <c r="C109" s="21">
        <v>51877.00651927686</v>
      </c>
      <c r="L109" t="s">
        <v>830</v>
      </c>
      <c r="N109" t="s">
        <v>831</v>
      </c>
      <c r="O109" t="s">
        <v>832</v>
      </c>
    </row>
    <row r="110" spans="1:19" x14ac:dyDescent="0.25">
      <c r="A110" s="3" t="s">
        <v>263</v>
      </c>
      <c r="B110" s="20">
        <v>1</v>
      </c>
      <c r="C110" s="21">
        <v>143341.47312464545</v>
      </c>
      <c r="L110">
        <v>1</v>
      </c>
      <c r="M110">
        <v>2</v>
      </c>
      <c r="N110">
        <f>ABS(M104-N104)/(SQRT(($J$30*($J$30+1)/12)*(1/1+1/10)))</f>
        <v>0.81136133136312805</v>
      </c>
      <c r="O110">
        <f>NORMSINV(1-0.05/2)</f>
        <v>1.9599639845400536</v>
      </c>
      <c r="P110" t="s">
        <v>833</v>
      </c>
    </row>
    <row r="111" spans="1:19" x14ac:dyDescent="0.25">
      <c r="A111" s="3" t="s">
        <v>240</v>
      </c>
      <c r="B111" s="20">
        <v>5</v>
      </c>
      <c r="C111" s="21">
        <v>42501.027882049464</v>
      </c>
      <c r="L111">
        <v>1</v>
      </c>
      <c r="M111">
        <v>3</v>
      </c>
      <c r="N111">
        <f>ABS(M104-O104)/(SQRT(($J$30*($J$30+1)/12)*(1/1+1/8)))</f>
        <v>1.4899774631592573</v>
      </c>
      <c r="O111">
        <f>O110</f>
        <v>1.9599639845400536</v>
      </c>
      <c r="P111" t="s">
        <v>833</v>
      </c>
    </row>
    <row r="112" spans="1:19" x14ac:dyDescent="0.25">
      <c r="A112" s="3" t="s">
        <v>361</v>
      </c>
      <c r="B112" s="20">
        <v>2</v>
      </c>
      <c r="C112" s="21">
        <v>62445.681490419811</v>
      </c>
      <c r="L112">
        <v>1</v>
      </c>
      <c r="M112">
        <v>4</v>
      </c>
      <c r="N112" s="70">
        <f>ABS(M104-P104)/(SQRT(($J$30*($J$30+1)/12)*(1/1+1/1)))</f>
        <v>2.2349661947388859</v>
      </c>
      <c r="O112" s="70">
        <f t="shared" ref="O112:O119" si="23">O111</f>
        <v>1.9599639845400536</v>
      </c>
      <c r="P112" t="s">
        <v>834</v>
      </c>
      <c r="S112" s="24" t="s">
        <v>839</v>
      </c>
    </row>
    <row r="113" spans="1:19" x14ac:dyDescent="0.25">
      <c r="A113" s="3" t="s">
        <v>14</v>
      </c>
      <c r="B113" s="20">
        <v>2</v>
      </c>
      <c r="C113" s="21">
        <v>78215.066303860061</v>
      </c>
      <c r="L113">
        <v>1</v>
      </c>
      <c r="M113">
        <v>5</v>
      </c>
      <c r="N113" s="70">
        <f>ABS(M104-Q104)/(SQRT(($J$30*($J$30+1)/12)*(1/1+1/8)))</f>
        <v>2.5501537350225751</v>
      </c>
      <c r="O113" s="70">
        <f t="shared" si="23"/>
        <v>1.9599639845400536</v>
      </c>
      <c r="P113" t="s">
        <v>834</v>
      </c>
      <c r="S113" s="24" t="s">
        <v>835</v>
      </c>
    </row>
    <row r="114" spans="1:19" x14ac:dyDescent="0.25">
      <c r="A114" s="3" t="s">
        <v>619</v>
      </c>
      <c r="B114" s="20">
        <v>2</v>
      </c>
      <c r="C114" s="21">
        <v>104459.81192279447</v>
      </c>
      <c r="L114">
        <v>2</v>
      </c>
      <c r="M114">
        <v>3</v>
      </c>
      <c r="N114">
        <f>ABS(N104-O104)/(SQRT(($J$30*($J$30+1)/12)*(1/10+1/8)))</f>
        <v>1.5377034888769789</v>
      </c>
      <c r="O114">
        <f t="shared" si="23"/>
        <v>1.9599639845400536</v>
      </c>
      <c r="P114" t="s">
        <v>833</v>
      </c>
      <c r="S114" s="24"/>
    </row>
    <row r="115" spans="1:19" x14ac:dyDescent="0.25">
      <c r="A115" s="3" t="s">
        <v>65</v>
      </c>
      <c r="B115" s="20">
        <v>5</v>
      </c>
      <c r="C115" s="21">
        <v>49463.99116942488</v>
      </c>
      <c r="L115">
        <v>2</v>
      </c>
      <c r="M115">
        <v>4</v>
      </c>
      <c r="N115" s="70">
        <f>ABS(N104-P104)/(SQRT(($J$30*($J$30+1)/12)*(1/10+1/1)))</f>
        <v>2.2022664708427762</v>
      </c>
      <c r="O115" s="70">
        <f t="shared" si="23"/>
        <v>1.9599639845400536</v>
      </c>
      <c r="P115" t="s">
        <v>834</v>
      </c>
      <c r="S115" s="24" t="s">
        <v>840</v>
      </c>
    </row>
    <row r="116" spans="1:19" x14ac:dyDescent="0.25">
      <c r="A116" s="3" t="s">
        <v>388</v>
      </c>
      <c r="B116" s="20">
        <v>3</v>
      </c>
      <c r="C116" s="21">
        <v>48758.857022163567</v>
      </c>
      <c r="L116">
        <v>2</v>
      </c>
      <c r="M116">
        <v>5</v>
      </c>
      <c r="N116" s="70">
        <f>ABS(N104-Q104)/(SQRT(($J$30*($J$30+1)/12)*(1/10+1/8)))</f>
        <v>3.9083297008956546</v>
      </c>
      <c r="O116" s="70">
        <f t="shared" si="23"/>
        <v>1.9599639845400536</v>
      </c>
      <c r="P116" t="s">
        <v>834</v>
      </c>
      <c r="S116" s="24" t="s">
        <v>836</v>
      </c>
    </row>
    <row r="117" spans="1:19" x14ac:dyDescent="0.25">
      <c r="A117" s="3" t="s">
        <v>503</v>
      </c>
      <c r="B117" s="20">
        <v>5</v>
      </c>
      <c r="C117" s="21">
        <v>47903.341148648993</v>
      </c>
      <c r="L117">
        <v>3</v>
      </c>
      <c r="M117">
        <v>4</v>
      </c>
      <c r="N117">
        <f>ABS(O104-P104)/(SQRT(($J$30*($J$30+1)/12)*(1/8+1/1)))</f>
        <v>1.4899774631592573</v>
      </c>
      <c r="O117">
        <f t="shared" si="23"/>
        <v>1.9599639845400536</v>
      </c>
      <c r="P117" t="s">
        <v>833</v>
      </c>
      <c r="S117" s="24"/>
    </row>
    <row r="118" spans="1:19" x14ac:dyDescent="0.25">
      <c r="A118" s="3" t="s">
        <v>334</v>
      </c>
      <c r="B118" s="20">
        <v>3</v>
      </c>
      <c r="C118" s="21">
        <v>54947.470137240023</v>
      </c>
      <c r="L118">
        <v>3</v>
      </c>
      <c r="M118">
        <v>5</v>
      </c>
      <c r="N118" s="70">
        <f>ABS(O104-Q104)/(SQRT(($J$30*($J$30+1)/12)*(1/8+1/8)))</f>
        <v>2.248973493262874</v>
      </c>
      <c r="O118" s="70">
        <f t="shared" si="23"/>
        <v>1.9599639845400536</v>
      </c>
      <c r="P118" t="s">
        <v>834</v>
      </c>
      <c r="S118" s="24" t="s">
        <v>837</v>
      </c>
    </row>
    <row r="119" spans="1:19" x14ac:dyDescent="0.25">
      <c r="A119" s="3" t="s">
        <v>63</v>
      </c>
      <c r="B119" s="20">
        <v>2</v>
      </c>
      <c r="C119" s="21">
        <v>70206.611636511487</v>
      </c>
      <c r="L119">
        <v>4</v>
      </c>
      <c r="M119">
        <v>5</v>
      </c>
      <c r="N119">
        <f>ABS(P104-Q104)/(SQRT(($J$30*($J$30+1)/12)*(1/1+1/8)))</f>
        <v>0.42980119129593963</v>
      </c>
      <c r="O119">
        <f t="shared" si="23"/>
        <v>1.9599639845400536</v>
      </c>
      <c r="P119" t="s">
        <v>833</v>
      </c>
    </row>
    <row r="133" spans="1:17" s="70" customFormat="1" x14ac:dyDescent="0.25"/>
    <row r="135" spans="1:17" ht="75" x14ac:dyDescent="0.25">
      <c r="A135" s="112" t="s">
        <v>653</v>
      </c>
      <c r="B135" s="114" t="s">
        <v>774</v>
      </c>
      <c r="C135" s="113" t="s">
        <v>675</v>
      </c>
      <c r="D135" s="24"/>
      <c r="M135">
        <f>COUNT(M136:M146)</f>
        <v>1</v>
      </c>
      <c r="N135">
        <f t="shared" ref="N135:Q135" si="24">COUNT(N136:N146)</f>
        <v>10</v>
      </c>
      <c r="O135">
        <f t="shared" si="24"/>
        <v>8</v>
      </c>
      <c r="P135">
        <f t="shared" si="24"/>
        <v>1</v>
      </c>
      <c r="Q135">
        <f t="shared" si="24"/>
        <v>8</v>
      </c>
    </row>
    <row r="136" spans="1:17" x14ac:dyDescent="0.25">
      <c r="A136" s="4" t="s">
        <v>54</v>
      </c>
      <c r="B136" s="20">
        <v>3</v>
      </c>
      <c r="C136" s="21">
        <v>0.72</v>
      </c>
      <c r="F136" s="122" t="s">
        <v>845</v>
      </c>
      <c r="G136" s="123" t="s">
        <v>846</v>
      </c>
      <c r="H136" s="124" t="s">
        <v>847</v>
      </c>
      <c r="I136" s="125" t="s">
        <v>848</v>
      </c>
      <c r="J136" s="126" t="s">
        <v>849</v>
      </c>
      <c r="M136" t="s">
        <v>815</v>
      </c>
      <c r="N136" t="s">
        <v>816</v>
      </c>
      <c r="O136" t="s">
        <v>817</v>
      </c>
      <c r="P136" t="s">
        <v>818</v>
      </c>
      <c r="Q136" t="s">
        <v>819</v>
      </c>
    </row>
    <row r="137" spans="1:17" x14ac:dyDescent="0.25">
      <c r="A137" s="3" t="s">
        <v>587</v>
      </c>
      <c r="B137" s="20">
        <v>3</v>
      </c>
      <c r="C137" s="21">
        <v>1.54</v>
      </c>
      <c r="F137" s="116">
        <v>1.39</v>
      </c>
      <c r="G137" s="117">
        <v>0.48</v>
      </c>
      <c r="H137" s="119">
        <v>0.72</v>
      </c>
      <c r="I137" s="121">
        <v>0.76</v>
      </c>
      <c r="J137" s="127">
        <v>1.1100000000000001</v>
      </c>
      <c r="M137" s="21">
        <f>_xlfn.RANK.AVG(F137,$F$137:$J$146,1)</f>
        <v>23</v>
      </c>
      <c r="N137" s="21">
        <f t="shared" ref="N137:Q137" si="25">_xlfn.RANK.AVG(G137,$F$137:$J$146,1)</f>
        <v>1</v>
      </c>
      <c r="O137" s="21">
        <f t="shared" si="25"/>
        <v>7.5</v>
      </c>
      <c r="P137" s="21">
        <f t="shared" si="25"/>
        <v>11</v>
      </c>
      <c r="Q137" s="21">
        <f t="shared" si="25"/>
        <v>19.5</v>
      </c>
    </row>
    <row r="138" spans="1:17" x14ac:dyDescent="0.25">
      <c r="A138" s="3" t="s">
        <v>556</v>
      </c>
      <c r="B138" s="20">
        <v>5</v>
      </c>
      <c r="C138" s="21">
        <v>1.1100000000000001</v>
      </c>
      <c r="F138" s="115"/>
      <c r="G138" s="117">
        <v>0.77</v>
      </c>
      <c r="H138" s="119">
        <v>1.54</v>
      </c>
      <c r="I138" s="120"/>
      <c r="J138" s="127">
        <v>1.35</v>
      </c>
      <c r="M138" s="21"/>
      <c r="N138" s="21">
        <f t="shared" ref="N138:N146" si="26">_xlfn.RANK.AVG(G138,$F$137:$J$146,1)</f>
        <v>12</v>
      </c>
      <c r="O138" s="21">
        <f t="shared" ref="O138:O144" si="27">_xlfn.RANK.AVG(H138,$F$137:$J$146,1)</f>
        <v>25.5</v>
      </c>
      <c r="P138" s="21"/>
      <c r="Q138" s="21">
        <f t="shared" ref="Q138:Q144" si="28">_xlfn.RANK.AVG(J138,$F$137:$J$146,1)</f>
        <v>22</v>
      </c>
    </row>
    <row r="139" spans="1:17" x14ac:dyDescent="0.25">
      <c r="A139" s="3" t="s">
        <v>169</v>
      </c>
      <c r="B139" s="20">
        <v>2</v>
      </c>
      <c r="C139" s="21">
        <v>0.48</v>
      </c>
      <c r="F139" s="115"/>
      <c r="G139" s="117">
        <v>1</v>
      </c>
      <c r="H139" s="119">
        <v>0.75</v>
      </c>
      <c r="I139" s="120"/>
      <c r="J139" s="127">
        <v>0.8</v>
      </c>
      <c r="M139" s="21"/>
      <c r="N139" s="21">
        <f t="shared" si="26"/>
        <v>17</v>
      </c>
      <c r="O139" s="21">
        <f t="shared" si="27"/>
        <v>10</v>
      </c>
      <c r="P139" s="21"/>
      <c r="Q139" s="21">
        <f t="shared" si="28"/>
        <v>13</v>
      </c>
    </row>
    <row r="140" spans="1:17" x14ac:dyDescent="0.25">
      <c r="A140" s="3" t="s">
        <v>401</v>
      </c>
      <c r="B140" s="20">
        <v>2</v>
      </c>
      <c r="C140" s="21">
        <v>0.77</v>
      </c>
      <c r="F140" s="115"/>
      <c r="G140" s="117">
        <v>1.5</v>
      </c>
      <c r="H140" s="119">
        <v>0.74</v>
      </c>
      <c r="I140" s="120"/>
      <c r="J140" s="127">
        <v>0.88</v>
      </c>
      <c r="M140" s="21"/>
      <c r="N140" s="21">
        <f t="shared" si="26"/>
        <v>24</v>
      </c>
      <c r="O140" s="21">
        <f t="shared" si="27"/>
        <v>9</v>
      </c>
      <c r="P140" s="21"/>
      <c r="Q140" s="21">
        <f t="shared" si="28"/>
        <v>15</v>
      </c>
    </row>
    <row r="141" spans="1:17" x14ac:dyDescent="0.25">
      <c r="A141" s="3" t="s">
        <v>311</v>
      </c>
      <c r="B141" s="20">
        <v>3</v>
      </c>
      <c r="C141" s="21">
        <v>0.75</v>
      </c>
      <c r="F141" s="115"/>
      <c r="G141" s="117">
        <v>1.21</v>
      </c>
      <c r="H141" s="119">
        <v>0.69</v>
      </c>
      <c r="I141" s="120"/>
      <c r="J141" s="127">
        <v>2.21</v>
      </c>
      <c r="M141" s="21"/>
      <c r="N141" s="21">
        <f t="shared" si="26"/>
        <v>21</v>
      </c>
      <c r="O141" s="21">
        <f t="shared" si="27"/>
        <v>5.5</v>
      </c>
      <c r="P141" s="21"/>
      <c r="Q141" s="21">
        <f t="shared" si="28"/>
        <v>27</v>
      </c>
    </row>
    <row r="142" spans="1:17" x14ac:dyDescent="0.25">
      <c r="A142" s="3" t="s">
        <v>436</v>
      </c>
      <c r="B142" s="20">
        <v>3</v>
      </c>
      <c r="C142" s="21">
        <v>0.74</v>
      </c>
      <c r="F142" s="115"/>
      <c r="G142" s="117">
        <v>1.06</v>
      </c>
      <c r="H142" s="119">
        <v>0.55000000000000004</v>
      </c>
      <c r="I142" s="120"/>
      <c r="J142" s="127">
        <v>4.05</v>
      </c>
      <c r="M142" s="21"/>
      <c r="N142" s="21">
        <f t="shared" si="26"/>
        <v>18</v>
      </c>
      <c r="O142" s="21">
        <f t="shared" si="27"/>
        <v>2.5</v>
      </c>
      <c r="P142" s="21"/>
      <c r="Q142" s="21">
        <f t="shared" si="28"/>
        <v>28</v>
      </c>
    </row>
    <row r="143" spans="1:17" x14ac:dyDescent="0.25">
      <c r="A143" s="3" t="s">
        <v>274</v>
      </c>
      <c r="B143" s="20">
        <v>2</v>
      </c>
      <c r="C143" s="21">
        <v>1</v>
      </c>
      <c r="F143" s="115"/>
      <c r="G143" s="117">
        <v>1.54</v>
      </c>
      <c r="H143" s="119">
        <v>0.72</v>
      </c>
      <c r="I143" s="120"/>
      <c r="J143" s="127">
        <v>0.69</v>
      </c>
      <c r="M143" s="21"/>
      <c r="N143" s="21">
        <f t="shared" si="26"/>
        <v>25.5</v>
      </c>
      <c r="O143" s="21">
        <f t="shared" si="27"/>
        <v>7.5</v>
      </c>
      <c r="P143" s="21"/>
      <c r="Q143" s="21">
        <f t="shared" si="28"/>
        <v>5.5</v>
      </c>
    </row>
    <row r="144" spans="1:17" x14ac:dyDescent="0.25">
      <c r="A144" s="3" t="s">
        <v>72</v>
      </c>
      <c r="B144" s="20">
        <v>3</v>
      </c>
      <c r="C144" s="21">
        <v>0.69</v>
      </c>
      <c r="F144" s="115"/>
      <c r="G144" s="117">
        <v>0.81</v>
      </c>
      <c r="H144" s="119">
        <v>0.62</v>
      </c>
      <c r="I144" s="120"/>
      <c r="J144" s="127">
        <v>0.91</v>
      </c>
      <c r="M144" s="21"/>
      <c r="N144" s="21">
        <f t="shared" si="26"/>
        <v>14</v>
      </c>
      <c r="O144" s="21">
        <f t="shared" si="27"/>
        <v>4</v>
      </c>
      <c r="P144" s="21"/>
      <c r="Q144" s="21">
        <f t="shared" si="28"/>
        <v>16</v>
      </c>
    </row>
    <row r="145" spans="1:17" x14ac:dyDescent="0.25">
      <c r="A145" s="3" t="s">
        <v>468</v>
      </c>
      <c r="B145" s="20">
        <v>5</v>
      </c>
      <c r="C145" s="21">
        <v>1.35</v>
      </c>
      <c r="F145" s="115"/>
      <c r="G145" s="117">
        <v>0.55000000000000004</v>
      </c>
      <c r="H145" s="118"/>
      <c r="I145" s="120"/>
      <c r="J145" s="128"/>
      <c r="M145" s="21"/>
      <c r="N145" s="21">
        <f t="shared" si="26"/>
        <v>2.5</v>
      </c>
      <c r="O145" s="21"/>
      <c r="P145" s="21"/>
      <c r="Q145" s="21"/>
    </row>
    <row r="146" spans="1:17" x14ac:dyDescent="0.25">
      <c r="A146" s="3" t="s">
        <v>47</v>
      </c>
      <c r="B146" s="20">
        <v>2</v>
      </c>
      <c r="C146" s="21">
        <v>1.5</v>
      </c>
      <c r="F146" s="115"/>
      <c r="G146" s="117">
        <v>1.1100000000000001</v>
      </c>
      <c r="H146" s="118"/>
      <c r="I146" s="120"/>
      <c r="J146" s="128"/>
      <c r="M146" s="22"/>
      <c r="N146" s="22">
        <f t="shared" si="26"/>
        <v>19.5</v>
      </c>
      <c r="O146" s="22"/>
      <c r="P146" s="22"/>
      <c r="Q146" s="22"/>
    </row>
    <row r="147" spans="1:17" x14ac:dyDescent="0.25">
      <c r="A147" s="3" t="s">
        <v>337</v>
      </c>
      <c r="B147" s="20">
        <v>2</v>
      </c>
      <c r="C147" s="21">
        <v>1.21</v>
      </c>
      <c r="L147" t="s">
        <v>820</v>
      </c>
      <c r="M147">
        <f>SUM(M137:M146)</f>
        <v>23</v>
      </c>
      <c r="N147">
        <f t="shared" ref="N147:Q147" si="29">SUM(N137:N146)</f>
        <v>154.5</v>
      </c>
      <c r="O147">
        <f t="shared" si="29"/>
        <v>71.5</v>
      </c>
      <c r="P147">
        <f t="shared" si="29"/>
        <v>11</v>
      </c>
      <c r="Q147">
        <f t="shared" si="29"/>
        <v>146</v>
      </c>
    </row>
    <row r="148" spans="1:17" x14ac:dyDescent="0.25">
      <c r="A148" s="3" t="s">
        <v>631</v>
      </c>
      <c r="B148" s="20">
        <v>4</v>
      </c>
      <c r="C148" s="21">
        <v>0.76</v>
      </c>
      <c r="J148">
        <f>COUNT(F137:J146)</f>
        <v>28</v>
      </c>
      <c r="L148" t="s">
        <v>822</v>
      </c>
      <c r="M148">
        <f>AVERAGE(M137)</f>
        <v>23</v>
      </c>
      <c r="N148">
        <f t="shared" ref="N148" si="30">AVERAGE(N137:N146)</f>
        <v>15.45</v>
      </c>
      <c r="O148">
        <f>AVERAGE(O137:O144)</f>
        <v>8.9375</v>
      </c>
      <c r="P148">
        <f>AVERAGE(P137)</f>
        <v>11</v>
      </c>
      <c r="Q148">
        <f>AVERAGE(Q137:Q144)</f>
        <v>18.25</v>
      </c>
    </row>
    <row r="149" spans="1:17" x14ac:dyDescent="0.25">
      <c r="A149" s="3" t="s">
        <v>473</v>
      </c>
      <c r="B149" s="20">
        <v>5</v>
      </c>
      <c r="C149" s="21">
        <v>0.8</v>
      </c>
      <c r="L149" t="s">
        <v>823</v>
      </c>
      <c r="M149">
        <f>(M147^2)/COUNT(M137:M146)</f>
        <v>529</v>
      </c>
      <c r="N149">
        <f>(N147^2)/COUNT(N137:N146)</f>
        <v>2387.0250000000001</v>
      </c>
      <c r="O149">
        <f t="shared" ref="O149:Q149" si="31">(O147^2)/COUNT(O137:O146)</f>
        <v>639.03125</v>
      </c>
      <c r="P149">
        <f t="shared" si="31"/>
        <v>121</v>
      </c>
      <c r="Q149">
        <f t="shared" si="31"/>
        <v>2664.5</v>
      </c>
    </row>
    <row r="150" spans="1:17" x14ac:dyDescent="0.25">
      <c r="A150" s="3" t="s">
        <v>46</v>
      </c>
      <c r="B150" s="20">
        <v>5</v>
      </c>
      <c r="C150" s="21">
        <v>0.88</v>
      </c>
      <c r="L150" t="s">
        <v>824</v>
      </c>
      <c r="M150">
        <f>SUM(M149:Q149)</f>
        <v>6340.5562499999996</v>
      </c>
    </row>
    <row r="151" spans="1:17" x14ac:dyDescent="0.25">
      <c r="A151" s="3" t="s">
        <v>25</v>
      </c>
      <c r="B151" s="20">
        <v>2</v>
      </c>
      <c r="C151" s="21">
        <v>1.06</v>
      </c>
      <c r="L151" t="s">
        <v>825</v>
      </c>
      <c r="M151">
        <f>12/(J148*(J148+1))*M150-3*(J148+1)</f>
        <v>6.7028017241379274</v>
      </c>
      <c r="O151" t="s">
        <v>826</v>
      </c>
      <c r="P151">
        <f>1- (5*(2^3-2))/(28^3-28)</f>
        <v>0.99863163656267107</v>
      </c>
    </row>
    <row r="152" spans="1:17" x14ac:dyDescent="0.25">
      <c r="A152" s="3" t="s">
        <v>155</v>
      </c>
      <c r="B152" s="20">
        <v>3</v>
      </c>
      <c r="C152" s="21">
        <v>0.55000000000000004</v>
      </c>
    </row>
    <row r="153" spans="1:17" x14ac:dyDescent="0.25">
      <c r="A153" s="3" t="s">
        <v>379</v>
      </c>
      <c r="B153" s="20">
        <v>5</v>
      </c>
      <c r="C153" s="21">
        <v>2.21</v>
      </c>
      <c r="L153" t="s">
        <v>842</v>
      </c>
      <c r="M153" s="25">
        <f>1/P151*((12)/(28*29) * SUM(M149:Q149) - 3*29)</f>
        <v>6.7119861605919393</v>
      </c>
    </row>
    <row r="154" spans="1:17" x14ac:dyDescent="0.25">
      <c r="A154" s="3" t="s">
        <v>263</v>
      </c>
      <c r="B154" s="20">
        <v>1</v>
      </c>
      <c r="C154" s="21">
        <v>1.39</v>
      </c>
      <c r="L154" t="s">
        <v>828</v>
      </c>
      <c r="M154">
        <f>CHIINV(0.05,4)</f>
        <v>9.4877290367811575</v>
      </c>
      <c r="O154" s="24" t="s">
        <v>843</v>
      </c>
    </row>
    <row r="155" spans="1:17" x14ac:dyDescent="0.25">
      <c r="A155" s="3" t="s">
        <v>240</v>
      </c>
      <c r="B155" s="20">
        <v>5</v>
      </c>
      <c r="C155" s="21">
        <v>4.05</v>
      </c>
    </row>
    <row r="156" spans="1:17" x14ac:dyDescent="0.25">
      <c r="A156" s="3" t="s">
        <v>361</v>
      </c>
      <c r="B156" s="20">
        <v>2</v>
      </c>
      <c r="C156" s="21">
        <v>1.54</v>
      </c>
    </row>
    <row r="157" spans="1:17" x14ac:dyDescent="0.25">
      <c r="A157" s="3" t="s">
        <v>14</v>
      </c>
      <c r="B157" s="20">
        <v>2</v>
      </c>
      <c r="C157" s="21">
        <v>0.81</v>
      </c>
    </row>
    <row r="158" spans="1:17" x14ac:dyDescent="0.25">
      <c r="A158" s="3" t="s">
        <v>619</v>
      </c>
      <c r="B158" s="20">
        <v>2</v>
      </c>
      <c r="C158" s="21">
        <v>0.55000000000000004</v>
      </c>
    </row>
    <row r="159" spans="1:17" x14ac:dyDescent="0.25">
      <c r="A159" s="3" t="s">
        <v>65</v>
      </c>
      <c r="B159" s="20">
        <v>5</v>
      </c>
      <c r="C159" s="21">
        <v>0.69</v>
      </c>
    </row>
    <row r="160" spans="1:17" x14ac:dyDescent="0.25">
      <c r="A160" s="3" t="s">
        <v>388</v>
      </c>
      <c r="B160" s="20">
        <v>3</v>
      </c>
      <c r="C160" s="21">
        <v>0.72</v>
      </c>
    </row>
    <row r="161" spans="1:3" x14ac:dyDescent="0.25">
      <c r="A161" s="3" t="s">
        <v>503</v>
      </c>
      <c r="B161" s="20">
        <v>5</v>
      </c>
      <c r="C161" s="21">
        <v>0.91</v>
      </c>
    </row>
    <row r="162" spans="1:3" x14ac:dyDescent="0.25">
      <c r="A162" s="3" t="s">
        <v>334</v>
      </c>
      <c r="B162" s="20">
        <v>3</v>
      </c>
      <c r="C162" s="21">
        <v>0.62</v>
      </c>
    </row>
    <row r="163" spans="1:3" x14ac:dyDescent="0.25">
      <c r="A163" s="3" t="s">
        <v>63</v>
      </c>
      <c r="B163" s="20">
        <v>2</v>
      </c>
      <c r="C163" s="21">
        <v>1.1100000000000001</v>
      </c>
    </row>
  </sheetData>
  <conditionalFormatting sqref="M19:Q28">
    <cfRule type="duplicateValues" dxfId="7" priority="3"/>
    <cfRule type="duplicateValues" dxfId="6" priority="8"/>
  </conditionalFormatting>
  <conditionalFormatting sqref="M57:Q66">
    <cfRule type="duplicateValues" dxfId="5" priority="4"/>
    <cfRule type="duplicateValues" dxfId="4" priority="7"/>
  </conditionalFormatting>
  <conditionalFormatting sqref="M93:Q102">
    <cfRule type="duplicateValues" dxfId="3" priority="5"/>
    <cfRule type="duplicateValues" dxfId="2" priority="6"/>
  </conditionalFormatting>
  <conditionalFormatting sqref="M137:Q146">
    <cfRule type="duplicateValues" dxfId="1" priority="1"/>
    <cfRule type="duplicateValues" dxfId="0" priority="2"/>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2F6AC-659C-4524-BD6F-8ABE3ACBFA75}">
  <sheetPr>
    <tabColor theme="8" tint="-0.249977111117893"/>
  </sheetPr>
  <dimension ref="A1:Z182"/>
  <sheetViews>
    <sheetView zoomScaleNormal="100" workbookViewId="0">
      <selection activeCell="Q48" sqref="Q48"/>
    </sheetView>
  </sheetViews>
  <sheetFormatPr defaultRowHeight="15" x14ac:dyDescent="0.25"/>
  <cols>
    <col min="1" max="2" width="13" customWidth="1"/>
    <col min="3" max="6" width="19.140625" customWidth="1"/>
    <col min="9" max="9" width="12.5703125" bestFit="1" customWidth="1"/>
    <col min="10" max="10" width="13.7109375" bestFit="1" customWidth="1"/>
    <col min="11" max="11" width="14.5703125" customWidth="1"/>
    <col min="12" max="12" width="15.28515625" customWidth="1"/>
    <col min="13" max="13" width="14.140625" customWidth="1"/>
    <col min="15" max="15" width="13" customWidth="1"/>
    <col min="16" max="16" width="14.140625" customWidth="1"/>
    <col min="17" max="17" width="13.5703125" customWidth="1"/>
    <col min="18" max="18" width="12.5703125" bestFit="1" customWidth="1"/>
    <col min="19" max="19" width="13.28515625" customWidth="1"/>
    <col min="21" max="21" width="13.7109375" customWidth="1"/>
    <col min="22" max="23" width="15.5703125" customWidth="1"/>
    <col min="24" max="25" width="14.7109375" customWidth="1"/>
  </cols>
  <sheetData>
    <row r="1" spans="1:11" ht="86.25" customHeight="1" x14ac:dyDescent="0.25">
      <c r="A1" s="112" t="s">
        <v>653</v>
      </c>
      <c r="B1" s="129" t="s">
        <v>774</v>
      </c>
      <c r="C1" s="113" t="s">
        <v>699</v>
      </c>
      <c r="D1" s="113" t="s">
        <v>679</v>
      </c>
      <c r="E1" s="113" t="s">
        <v>681</v>
      </c>
      <c r="F1" s="113" t="s">
        <v>700</v>
      </c>
    </row>
    <row r="2" spans="1:11" x14ac:dyDescent="0.25">
      <c r="A2" s="4" t="s">
        <v>263</v>
      </c>
      <c r="B2" s="20">
        <v>1</v>
      </c>
      <c r="C2" s="21">
        <v>5.67</v>
      </c>
      <c r="D2">
        <v>0.11003183364868199</v>
      </c>
      <c r="E2">
        <v>194.04309569043096</v>
      </c>
      <c r="F2">
        <v>0.700406724896945</v>
      </c>
    </row>
    <row r="3" spans="1:11" x14ac:dyDescent="0.25">
      <c r="A3" s="3" t="s">
        <v>169</v>
      </c>
      <c r="B3" s="20">
        <v>2</v>
      </c>
      <c r="C3" s="21">
        <v>11.80107975</v>
      </c>
      <c r="D3">
        <v>0.14550841331481901</v>
      </c>
      <c r="E3">
        <v>235.89972412116612</v>
      </c>
      <c r="F3">
        <v>0.76465339190691706</v>
      </c>
    </row>
    <row r="4" spans="1:11" x14ac:dyDescent="0.25">
      <c r="A4" s="3" t="s">
        <v>401</v>
      </c>
      <c r="B4" s="20">
        <v>2</v>
      </c>
      <c r="C4" s="21">
        <v>9.43</v>
      </c>
      <c r="D4">
        <v>0.12736209869384799</v>
      </c>
      <c r="E4">
        <v>35.846672689336337</v>
      </c>
      <c r="F4">
        <v>1.8147966516278899</v>
      </c>
    </row>
    <row r="5" spans="1:11" x14ac:dyDescent="0.25">
      <c r="A5" s="3" t="s">
        <v>274</v>
      </c>
      <c r="B5" s="20">
        <v>2</v>
      </c>
      <c r="C5" s="21">
        <v>10.82</v>
      </c>
      <c r="D5">
        <v>0.11888381004333499</v>
      </c>
      <c r="E5">
        <v>44.512870912845095</v>
      </c>
      <c r="F5">
        <v>1.4189603714329999</v>
      </c>
    </row>
    <row r="6" spans="1:11" x14ac:dyDescent="0.25">
      <c r="A6" s="3" t="s">
        <v>47</v>
      </c>
      <c r="B6" s="20">
        <v>2</v>
      </c>
      <c r="C6" s="21">
        <v>10.25</v>
      </c>
      <c r="D6">
        <v>0.10231122016906699</v>
      </c>
      <c r="E6">
        <v>70.131530006134255</v>
      </c>
      <c r="F6">
        <v>1.7216829026165299</v>
      </c>
    </row>
    <row r="7" spans="1:11" x14ac:dyDescent="0.25">
      <c r="A7" s="3" t="s">
        <v>337</v>
      </c>
      <c r="B7" s="20">
        <v>2</v>
      </c>
      <c r="C7" s="21">
        <v>12.307872769999999</v>
      </c>
      <c r="D7">
        <v>8.875411033630369E-2</v>
      </c>
      <c r="E7">
        <v>103.60469429450643</v>
      </c>
      <c r="F7">
        <v>1.9387234180687101</v>
      </c>
    </row>
    <row r="8" spans="1:11" x14ac:dyDescent="0.25">
      <c r="A8" s="3" t="s">
        <v>25</v>
      </c>
      <c r="B8" s="20">
        <v>2</v>
      </c>
      <c r="C8" s="21">
        <v>9.73</v>
      </c>
      <c r="D8">
        <v>0.15406312942504902</v>
      </c>
      <c r="E8">
        <v>302.53409212928165</v>
      </c>
      <c r="F8">
        <v>1E-3</v>
      </c>
    </row>
    <row r="9" spans="1:11" x14ac:dyDescent="0.25">
      <c r="A9" s="3" t="s">
        <v>361</v>
      </c>
      <c r="B9" s="20">
        <v>2</v>
      </c>
      <c r="C9" s="21">
        <v>10.58</v>
      </c>
      <c r="D9">
        <v>0.12658941268920901</v>
      </c>
      <c r="E9">
        <v>295.44718206643319</v>
      </c>
      <c r="F9">
        <v>0.49920686499012495</v>
      </c>
    </row>
    <row r="10" spans="1:11" x14ac:dyDescent="0.25">
      <c r="A10" s="3" t="s">
        <v>14</v>
      </c>
      <c r="B10" s="20">
        <v>2</v>
      </c>
      <c r="C10" s="21">
        <v>11.29</v>
      </c>
      <c r="D10">
        <v>0.11019962310791</v>
      </c>
      <c r="E10">
        <v>129.46981710648762</v>
      </c>
      <c r="F10">
        <v>1.5832811384634797</v>
      </c>
    </row>
    <row r="11" spans="1:11" x14ac:dyDescent="0.25">
      <c r="A11" s="3" t="s">
        <v>619</v>
      </c>
      <c r="B11" s="20">
        <v>2</v>
      </c>
      <c r="C11" s="21">
        <v>10.08</v>
      </c>
      <c r="D11">
        <v>0.102669334411621</v>
      </c>
      <c r="E11">
        <v>84.406987752204003</v>
      </c>
      <c r="F11">
        <v>1.6376655408969301</v>
      </c>
    </row>
    <row r="12" spans="1:11" x14ac:dyDescent="0.25">
      <c r="A12" s="3" t="s">
        <v>63</v>
      </c>
      <c r="B12" s="20">
        <v>2</v>
      </c>
      <c r="C12" s="21">
        <v>11.25</v>
      </c>
      <c r="D12">
        <v>0.13531939506530802</v>
      </c>
      <c r="E12">
        <v>153.00776867014963</v>
      </c>
      <c r="F12">
        <v>1.30746311852624</v>
      </c>
    </row>
    <row r="13" spans="1:11" x14ac:dyDescent="0.25">
      <c r="A13" s="3" t="s">
        <v>54</v>
      </c>
      <c r="B13" s="20">
        <v>3</v>
      </c>
      <c r="C13" s="21">
        <v>12.1</v>
      </c>
      <c r="D13">
        <v>8.8113784790039104E-2</v>
      </c>
      <c r="E13">
        <v>456.564613958981</v>
      </c>
      <c r="F13">
        <v>0.77260715738691399</v>
      </c>
    </row>
    <row r="14" spans="1:11" ht="15.75" thickBot="1" x14ac:dyDescent="0.3">
      <c r="A14" s="3" t="s">
        <v>587</v>
      </c>
      <c r="B14" s="20">
        <v>3</v>
      </c>
      <c r="C14" s="21">
        <v>11.04290771</v>
      </c>
      <c r="D14">
        <v>0.113196802139282</v>
      </c>
      <c r="E14">
        <v>362.93192027235858</v>
      </c>
      <c r="F14">
        <v>1.17973708133594</v>
      </c>
    </row>
    <row r="15" spans="1:11" ht="15.75" thickBot="1" x14ac:dyDescent="0.3">
      <c r="A15" s="3" t="s">
        <v>311</v>
      </c>
      <c r="B15" s="20">
        <v>3</v>
      </c>
      <c r="C15" s="21">
        <v>9.4887867000000004</v>
      </c>
      <c r="D15">
        <v>0.108769035339355</v>
      </c>
      <c r="E15">
        <v>211.36000286318796</v>
      </c>
      <c r="F15">
        <v>1.3580638321417899</v>
      </c>
      <c r="I15" s="139" t="s">
        <v>699</v>
      </c>
      <c r="J15" s="140"/>
      <c r="K15" s="141"/>
    </row>
    <row r="16" spans="1:11" x14ac:dyDescent="0.25">
      <c r="A16" s="3" t="s">
        <v>436</v>
      </c>
      <c r="B16" s="20">
        <v>3</v>
      </c>
      <c r="C16" s="21">
        <v>12.934129710000001</v>
      </c>
      <c r="D16">
        <v>9.0661725997924811E-2</v>
      </c>
      <c r="E16">
        <v>388.39451061623362</v>
      </c>
      <c r="F16">
        <v>1.3900550095965298</v>
      </c>
    </row>
    <row r="17" spans="1:21" x14ac:dyDescent="0.25">
      <c r="A17" s="3" t="s">
        <v>72</v>
      </c>
      <c r="B17" s="20">
        <v>3</v>
      </c>
      <c r="C17" s="21">
        <v>10.740038869999999</v>
      </c>
      <c r="D17">
        <v>9.1786003112793002E-2</v>
      </c>
      <c r="E17">
        <v>249.20388341488072</v>
      </c>
      <c r="F17">
        <v>1.4660338438573299</v>
      </c>
      <c r="I17">
        <f>COUNT(I19:I28)</f>
        <v>1</v>
      </c>
      <c r="J17">
        <f t="shared" ref="J17:M17" si="0">COUNT(J19:J28)</f>
        <v>10</v>
      </c>
      <c r="K17">
        <f t="shared" si="0"/>
        <v>8</v>
      </c>
      <c r="L17">
        <f t="shared" si="0"/>
        <v>1</v>
      </c>
      <c r="M17">
        <f t="shared" si="0"/>
        <v>8</v>
      </c>
    </row>
    <row r="18" spans="1:21" x14ac:dyDescent="0.25">
      <c r="A18" s="3" t="s">
        <v>155</v>
      </c>
      <c r="B18" s="20">
        <v>3</v>
      </c>
      <c r="C18" s="21">
        <v>9.3800000000000008</v>
      </c>
      <c r="D18">
        <v>7.437161922454831E-2</v>
      </c>
      <c r="E18">
        <v>346.2151439091557</v>
      </c>
      <c r="F18">
        <v>1.6790923384615599</v>
      </c>
      <c r="I18" s="122" t="s">
        <v>845</v>
      </c>
      <c r="J18" s="123" t="s">
        <v>846</v>
      </c>
      <c r="K18" s="124" t="s">
        <v>847</v>
      </c>
      <c r="L18" s="125" t="s">
        <v>848</v>
      </c>
      <c r="M18" s="126" t="s">
        <v>849</v>
      </c>
    </row>
    <row r="19" spans="1:21" x14ac:dyDescent="0.25">
      <c r="A19" s="3" t="s">
        <v>388</v>
      </c>
      <c r="B19" s="20">
        <v>3</v>
      </c>
      <c r="C19" s="21">
        <v>11.14</v>
      </c>
      <c r="D19">
        <v>9.7091884613037097E-2</v>
      </c>
      <c r="E19">
        <v>366.86566302808836</v>
      </c>
      <c r="F19">
        <v>1.3543893401962401</v>
      </c>
      <c r="I19" s="116">
        <f>C2</f>
        <v>5.67</v>
      </c>
      <c r="J19" s="117">
        <f>C3</f>
        <v>11.80107975</v>
      </c>
      <c r="K19" s="119">
        <f>C13</f>
        <v>12.1</v>
      </c>
      <c r="L19" s="121">
        <f>C21</f>
        <v>9.1729879400000005</v>
      </c>
      <c r="M19" s="127">
        <f>C22</f>
        <v>8.56</v>
      </c>
    </row>
    <row r="20" spans="1:21" x14ac:dyDescent="0.25">
      <c r="A20" s="3" t="s">
        <v>334</v>
      </c>
      <c r="B20" s="20">
        <v>3</v>
      </c>
      <c r="C20" s="21">
        <v>9.48</v>
      </c>
      <c r="D20">
        <v>0.11501742362976101</v>
      </c>
      <c r="E20">
        <v>305.39652451354999</v>
      </c>
      <c r="F20">
        <v>1.1879860151950101</v>
      </c>
      <c r="I20" s="115"/>
      <c r="J20" s="117">
        <f t="shared" ref="J20:J28" si="1">C4</f>
        <v>9.43</v>
      </c>
      <c r="K20" s="119">
        <f t="shared" ref="K20:K26" si="2">C14</f>
        <v>11.04290771</v>
      </c>
      <c r="L20" s="120"/>
      <c r="M20" s="127">
        <f t="shared" ref="M20:M25" si="3">C23</f>
        <v>7.4905729299999999</v>
      </c>
    </row>
    <row r="21" spans="1:21" x14ac:dyDescent="0.25">
      <c r="A21" s="3" t="s">
        <v>631</v>
      </c>
      <c r="B21" s="20">
        <v>4</v>
      </c>
      <c r="C21" s="21">
        <v>9.1729879400000005</v>
      </c>
      <c r="D21">
        <v>7.1118955612182594E-2</v>
      </c>
      <c r="E21">
        <v>116.90564864516325</v>
      </c>
      <c r="F21">
        <v>3.6920744951686402</v>
      </c>
      <c r="I21" s="115"/>
      <c r="J21" s="117">
        <f t="shared" si="1"/>
        <v>10.82</v>
      </c>
      <c r="K21" s="119">
        <f t="shared" si="2"/>
        <v>9.4887867000000004</v>
      </c>
      <c r="L21" s="120"/>
      <c r="M21" s="127">
        <f t="shared" si="3"/>
        <v>8.1</v>
      </c>
    </row>
    <row r="22" spans="1:21" x14ac:dyDescent="0.25">
      <c r="A22" s="3" t="s">
        <v>556</v>
      </c>
      <c r="B22" s="20">
        <v>5</v>
      </c>
      <c r="C22" s="21">
        <v>8.56</v>
      </c>
      <c r="D22">
        <v>0.10561671257019001</v>
      </c>
      <c r="E22">
        <v>110.63222339072571</v>
      </c>
      <c r="F22">
        <v>1.50812345474607</v>
      </c>
      <c r="I22" s="115"/>
      <c r="J22" s="117">
        <f t="shared" si="1"/>
        <v>10.25</v>
      </c>
      <c r="K22" s="119">
        <f t="shared" si="2"/>
        <v>12.934129710000001</v>
      </c>
      <c r="L22" s="120"/>
      <c r="M22" s="127">
        <f t="shared" si="3"/>
        <v>7.38</v>
      </c>
    </row>
    <row r="23" spans="1:21" x14ac:dyDescent="0.25">
      <c r="A23" s="3" t="s">
        <v>468</v>
      </c>
      <c r="B23" s="20">
        <v>5</v>
      </c>
      <c r="C23" s="21">
        <v>7.4905729299999999</v>
      </c>
      <c r="D23">
        <v>0.14251974105835</v>
      </c>
      <c r="E23">
        <v>133.06464943362997</v>
      </c>
      <c r="F23">
        <v>2.0866657905942798</v>
      </c>
      <c r="I23" s="115"/>
      <c r="J23" s="117">
        <f t="shared" si="1"/>
        <v>12.307872769999999</v>
      </c>
      <c r="K23" s="119">
        <f t="shared" si="2"/>
        <v>10.740038869999999</v>
      </c>
      <c r="L23" s="120"/>
      <c r="M23" s="127">
        <f t="shared" si="3"/>
        <v>7.82</v>
      </c>
    </row>
    <row r="24" spans="1:21" x14ac:dyDescent="0.25">
      <c r="A24" s="3" t="s">
        <v>473</v>
      </c>
      <c r="B24" s="20">
        <v>5</v>
      </c>
      <c r="C24" s="21">
        <v>8.1</v>
      </c>
      <c r="D24">
        <v>0.10720606803894001</v>
      </c>
      <c r="E24">
        <v>307.24564002762583</v>
      </c>
      <c r="F24">
        <v>2.1674905163411697</v>
      </c>
      <c r="I24" s="115"/>
      <c r="J24" s="117">
        <f t="shared" si="1"/>
        <v>9.73</v>
      </c>
      <c r="K24" s="119">
        <f t="shared" si="2"/>
        <v>9.3800000000000008</v>
      </c>
      <c r="L24" s="120"/>
      <c r="M24" s="127">
        <f t="shared" si="3"/>
        <v>9.0399999999999991</v>
      </c>
    </row>
    <row r="25" spans="1:21" x14ac:dyDescent="0.25">
      <c r="A25" s="3" t="s">
        <v>46</v>
      </c>
      <c r="B25" s="20">
        <v>5</v>
      </c>
      <c r="C25" s="21">
        <v>7.38</v>
      </c>
      <c r="D25">
        <v>0.103632917404175</v>
      </c>
      <c r="E25">
        <v>191.54694939417959</v>
      </c>
      <c r="F25">
        <v>1.52573720690762</v>
      </c>
      <c r="I25" s="115"/>
      <c r="J25" s="117">
        <f t="shared" si="1"/>
        <v>10.58</v>
      </c>
      <c r="K25" s="119">
        <f t="shared" si="2"/>
        <v>11.14</v>
      </c>
      <c r="L25" s="120"/>
      <c r="M25" s="127">
        <f t="shared" si="3"/>
        <v>6.44</v>
      </c>
    </row>
    <row r="26" spans="1:21" x14ac:dyDescent="0.25">
      <c r="A26" s="3" t="s">
        <v>379</v>
      </c>
      <c r="B26" s="20">
        <v>5</v>
      </c>
      <c r="C26" s="21">
        <v>7.82</v>
      </c>
      <c r="D26">
        <v>0.127444953918457</v>
      </c>
      <c r="E26">
        <v>113.60881507291208</v>
      </c>
      <c r="F26">
        <v>2.52262366538611</v>
      </c>
      <c r="I26" s="115"/>
      <c r="J26" s="117">
        <f t="shared" si="1"/>
        <v>11.29</v>
      </c>
      <c r="K26" s="119">
        <f t="shared" si="2"/>
        <v>9.48</v>
      </c>
      <c r="L26" s="120"/>
      <c r="M26" s="127">
        <f>C29</f>
        <v>6.48</v>
      </c>
    </row>
    <row r="27" spans="1:21" x14ac:dyDescent="0.25">
      <c r="A27" s="3" t="s">
        <v>240</v>
      </c>
      <c r="B27" s="20">
        <v>5</v>
      </c>
      <c r="C27" s="21">
        <v>9.0399999999999991</v>
      </c>
      <c r="D27">
        <v>0.126531772613525</v>
      </c>
      <c r="E27">
        <v>212.41821394647889</v>
      </c>
      <c r="F27">
        <v>2.0498651345644303</v>
      </c>
      <c r="I27" s="115"/>
      <c r="J27" s="117">
        <f>C11</f>
        <v>10.08</v>
      </c>
      <c r="K27" s="118"/>
      <c r="L27" s="120"/>
      <c r="M27" s="128"/>
    </row>
    <row r="28" spans="1:21" x14ac:dyDescent="0.25">
      <c r="A28" s="3" t="s">
        <v>65</v>
      </c>
      <c r="B28" s="20">
        <v>5</v>
      </c>
      <c r="C28" s="21">
        <v>6.44</v>
      </c>
      <c r="D28">
        <v>0.111692733764648</v>
      </c>
      <c r="E28">
        <v>69.97884130192277</v>
      </c>
      <c r="F28">
        <v>2.38851188830618</v>
      </c>
      <c r="I28" s="122"/>
      <c r="J28" s="130">
        <f t="shared" si="1"/>
        <v>11.25</v>
      </c>
      <c r="K28" s="124"/>
      <c r="L28" s="125"/>
      <c r="M28" s="126"/>
    </row>
    <row r="29" spans="1:21" x14ac:dyDescent="0.25">
      <c r="A29" s="3" t="s">
        <v>503</v>
      </c>
      <c r="B29" s="20">
        <v>5</v>
      </c>
      <c r="C29" s="21">
        <v>6.48</v>
      </c>
      <c r="D29">
        <v>8.1443548202514593E-2</v>
      </c>
      <c r="E29">
        <v>173.79404592361107</v>
      </c>
      <c r="F29">
        <v>1.7305450659253301</v>
      </c>
      <c r="I29">
        <f>AVERAGE(I19:I28)</f>
        <v>5.67</v>
      </c>
      <c r="J29" s="12">
        <f t="shared" ref="J29" si="4">AVERAGE(J19:J28)</f>
        <v>10.753895252</v>
      </c>
      <c r="K29" s="12">
        <f>AVERAGE(K19:K26)</f>
        <v>10.788232873750001</v>
      </c>
      <c r="L29" s="12">
        <f>AVERAGE(L19)</f>
        <v>9.1729879400000005</v>
      </c>
      <c r="M29" s="12">
        <f>AVERAGE(M19:M26)</f>
        <v>7.663821616249999</v>
      </c>
    </row>
    <row r="30" spans="1:21" x14ac:dyDescent="0.25">
      <c r="I30" s="12">
        <f>AVERAGE(I19:M28)</f>
        <v>9.6427991564285698</v>
      </c>
    </row>
    <row r="31" spans="1:21" x14ac:dyDescent="0.25">
      <c r="I31">
        <f>COUNT(I34:I43)</f>
        <v>1</v>
      </c>
      <c r="J31">
        <f t="shared" ref="J31:M31" si="5">COUNT(J34:J43)</f>
        <v>10</v>
      </c>
      <c r="K31">
        <f t="shared" si="5"/>
        <v>8</v>
      </c>
      <c r="L31">
        <f t="shared" si="5"/>
        <v>1</v>
      </c>
      <c r="M31">
        <f t="shared" si="5"/>
        <v>8</v>
      </c>
      <c r="O31">
        <f>COUNT(O34:O43)</f>
        <v>1</v>
      </c>
      <c r="P31">
        <f t="shared" ref="P31:S31" si="6">COUNT(P34:P43)</f>
        <v>10</v>
      </c>
      <c r="Q31">
        <f t="shared" si="6"/>
        <v>8</v>
      </c>
      <c r="R31">
        <f t="shared" si="6"/>
        <v>1</v>
      </c>
      <c r="S31">
        <f t="shared" si="6"/>
        <v>8</v>
      </c>
    </row>
    <row r="32" spans="1:21" x14ac:dyDescent="0.25">
      <c r="I32" s="24" t="s">
        <v>171</v>
      </c>
      <c r="O32" s="24" t="s">
        <v>850</v>
      </c>
      <c r="U32" s="24" t="s">
        <v>853</v>
      </c>
    </row>
    <row r="33" spans="9:25" x14ac:dyDescent="0.25">
      <c r="I33" s="122" t="s">
        <v>845</v>
      </c>
      <c r="J33" s="123" t="s">
        <v>846</v>
      </c>
      <c r="K33" s="124" t="s">
        <v>847</v>
      </c>
      <c r="L33" s="125" t="s">
        <v>848</v>
      </c>
      <c r="M33" s="126" t="s">
        <v>849</v>
      </c>
      <c r="O33" s="122" t="s">
        <v>845</v>
      </c>
      <c r="P33" s="123" t="s">
        <v>846</v>
      </c>
      <c r="Q33" s="124" t="s">
        <v>847</v>
      </c>
      <c r="R33" s="125" t="s">
        <v>848</v>
      </c>
      <c r="S33" s="126" t="s">
        <v>849</v>
      </c>
      <c r="U33" s="122" t="s">
        <v>845</v>
      </c>
      <c r="V33" s="123" t="s">
        <v>846</v>
      </c>
      <c r="W33" s="124" t="s">
        <v>847</v>
      </c>
      <c r="X33" s="125" t="s">
        <v>848</v>
      </c>
      <c r="Y33" s="126" t="s">
        <v>849</v>
      </c>
    </row>
    <row r="34" spans="9:25" x14ac:dyDescent="0.25">
      <c r="I34" s="116">
        <f>(I19-$I$30)^2</f>
        <v>15.783133137319556</v>
      </c>
      <c r="J34" s="117">
        <f t="shared" ref="J34:M34" si="7">(J19-$I$30)^2</f>
        <v>4.6581751205870434</v>
      </c>
      <c r="K34" s="119">
        <f t="shared" si="7"/>
        <v>6.0378359856481465</v>
      </c>
      <c r="L34" s="121">
        <f t="shared" si="7"/>
        <v>0.22072257908209195</v>
      </c>
      <c r="M34" s="127">
        <f t="shared" si="7"/>
        <v>1.1724540131624213</v>
      </c>
      <c r="O34" s="116">
        <f>(I19-I$29)^2</f>
        <v>0</v>
      </c>
      <c r="P34" s="117">
        <f t="shared" ref="P34:S34" si="8">(J19-J$29)^2</f>
        <v>1.0965953728515121</v>
      </c>
      <c r="Q34" s="119">
        <f t="shared" si="8"/>
        <v>1.7207329935101798</v>
      </c>
      <c r="R34" s="121">
        <f t="shared" si="8"/>
        <v>0</v>
      </c>
      <c r="S34" s="127">
        <f t="shared" si="8"/>
        <v>0.80313569550076491</v>
      </c>
      <c r="U34" s="131">
        <f>(I29-$I$30)^2*1</f>
        <v>15.783133137319556</v>
      </c>
      <c r="V34" s="132">
        <f>(J29-$I$30)^2*10</f>
        <v>12.345345335940758</v>
      </c>
      <c r="W34" s="133">
        <f>(K29-$I$30)^2*8</f>
        <v>10.49614720621434</v>
      </c>
      <c r="X34" s="134">
        <f>(L29-$I$30)^2*1</f>
        <v>0.22072257908209195</v>
      </c>
      <c r="Y34" s="135">
        <f>(M29-$I$30)^2*8</f>
        <v>31.330816836249813</v>
      </c>
    </row>
    <row r="35" spans="9:25" x14ac:dyDescent="0.25">
      <c r="I35" s="115"/>
      <c r="J35" s="117">
        <f t="shared" ref="J35:M35" si="9">(J20-$I$30)^2</f>
        <v>4.5283480976711032E-2</v>
      </c>
      <c r="K35" s="119">
        <f t="shared" si="9"/>
        <v>1.9603039617838818</v>
      </c>
      <c r="L35" s="120"/>
      <c r="M35" s="127">
        <f t="shared" si="9"/>
        <v>4.6320777297269613</v>
      </c>
      <c r="O35" s="115"/>
      <c r="P35" s="117">
        <f t="shared" ref="P35:P43" si="10">(J20-J$29)^2</f>
        <v>1.7526986382681429</v>
      </c>
      <c r="Q35" s="119">
        <f t="shared" ref="Q35:Q41" si="11">(K20-K$29)^2</f>
        <v>6.4859272218963621E-2</v>
      </c>
      <c r="R35" s="120"/>
      <c r="S35" s="127">
        <f t="shared" ref="S35:S41" si="12">(M20-M$29)^2</f>
        <v>3.0015107287350632E-2</v>
      </c>
      <c r="X35" s="24" t="s">
        <v>853</v>
      </c>
      <c r="Y35" s="136">
        <f>SUM(U34:Y34)</f>
        <v>70.176165094806564</v>
      </c>
    </row>
    <row r="36" spans="9:25" x14ac:dyDescent="0.25">
      <c r="I36" s="115"/>
      <c r="J36" s="117">
        <f t="shared" ref="J36:M36" si="13">(J21-$I$30)^2</f>
        <v>1.3858018261052876</v>
      </c>
      <c r="K36" s="119">
        <f t="shared" si="13"/>
        <v>2.3719836735161995E-2</v>
      </c>
      <c r="L36" s="120"/>
      <c r="M36" s="127">
        <f t="shared" si="13"/>
        <v>2.3802292370767075</v>
      </c>
      <c r="O36" s="115"/>
      <c r="P36" s="117">
        <f t="shared" si="10"/>
        <v>4.3698377081436059E-3</v>
      </c>
      <c r="Q36" s="119">
        <f t="shared" si="11"/>
        <v>1.6885603584735169</v>
      </c>
      <c r="R36" s="120"/>
      <c r="S36" s="127">
        <f t="shared" si="12"/>
        <v>0.19025158245076282</v>
      </c>
      <c r="X36" s="24" t="s">
        <v>851</v>
      </c>
      <c r="Y36" s="24">
        <f>5-1</f>
        <v>4</v>
      </c>
    </row>
    <row r="37" spans="9:25" x14ac:dyDescent="0.25">
      <c r="I37" s="115"/>
      <c r="J37" s="117">
        <f t="shared" ref="J37:M37" si="14">(J22-$I$30)^2</f>
        <v>0.36869286443385646</v>
      </c>
      <c r="K37" s="119">
        <f t="shared" si="14"/>
        <v>10.832856812872821</v>
      </c>
      <c r="L37" s="120"/>
      <c r="M37" s="127">
        <f t="shared" si="14"/>
        <v>5.1202600223338477</v>
      </c>
      <c r="O37" s="115"/>
      <c r="P37" s="117">
        <f t="shared" si="10"/>
        <v>0.25391042498814304</v>
      </c>
      <c r="Q37" s="119">
        <f t="shared" si="11"/>
        <v>4.6048732318277574</v>
      </c>
      <c r="R37" s="120"/>
      <c r="S37" s="127">
        <f t="shared" si="12"/>
        <v>8.0554709850761769E-2</v>
      </c>
    </row>
    <row r="38" spans="9:25" x14ac:dyDescent="0.25">
      <c r="I38" s="115"/>
      <c r="J38" s="117">
        <f t="shared" ref="J38:M38" si="15">(J23-$I$30)^2</f>
        <v>7.1026173657546785</v>
      </c>
      <c r="K38" s="119">
        <f t="shared" si="15"/>
        <v>1.2039349890383129</v>
      </c>
      <c r="L38" s="120"/>
      <c r="M38" s="127">
        <f t="shared" si="15"/>
        <v>3.3225967646767045</v>
      </c>
      <c r="O38" s="115"/>
      <c r="P38" s="117">
        <f t="shared" si="10"/>
        <v>2.4148461264494401</v>
      </c>
      <c r="Q38" s="119">
        <f t="shared" si="11"/>
        <v>2.322661997455179E-3</v>
      </c>
      <c r="R38" s="120"/>
      <c r="S38" s="127">
        <f t="shared" si="12"/>
        <v>2.4391687550762656E-2</v>
      </c>
    </row>
    <row r="39" spans="9:25" x14ac:dyDescent="0.25">
      <c r="I39" s="115"/>
      <c r="J39" s="117">
        <f t="shared" ref="J39:M39" si="16">(J24-$I$30)^2</f>
        <v>7.6039871195691189E-3</v>
      </c>
      <c r="K39" s="119">
        <f t="shared" si="16"/>
        <v>6.906339661956748E-2</v>
      </c>
      <c r="L39" s="120"/>
      <c r="M39" s="127">
        <f t="shared" si="16"/>
        <v>0.36336682299099637</v>
      </c>
      <c r="O39" s="115"/>
      <c r="P39" s="117">
        <f t="shared" si="10"/>
        <v>1.0483614870681417</v>
      </c>
      <c r="Q39" s="119">
        <f t="shared" si="11"/>
        <v>1.9831198267101842</v>
      </c>
      <c r="R39" s="120"/>
      <c r="S39" s="127">
        <f t="shared" si="12"/>
        <v>1.8938669439007627</v>
      </c>
    </row>
    <row r="40" spans="9:25" x14ac:dyDescent="0.25">
      <c r="I40" s="115"/>
      <c r="J40" s="117">
        <f t="shared" ref="J40:M40" si="17">(J25-$I$30)^2</f>
        <v>0.87834542119100056</v>
      </c>
      <c r="K40" s="119">
        <f t="shared" si="17"/>
        <v>2.2416103659910038</v>
      </c>
      <c r="L40" s="120"/>
      <c r="M40" s="127">
        <f t="shared" si="17"/>
        <v>10.257922436419555</v>
      </c>
      <c r="O40" s="115"/>
      <c r="P40" s="117">
        <f t="shared" si="10"/>
        <v>3.0239558668143311E-2</v>
      </c>
      <c r="Q40" s="119">
        <f t="shared" si="11"/>
        <v>0.1237401111101831</v>
      </c>
      <c r="R40" s="120"/>
      <c r="S40" s="127">
        <f t="shared" si="12"/>
        <v>1.4977393484007588</v>
      </c>
    </row>
    <row r="41" spans="9:25" x14ac:dyDescent="0.25">
      <c r="I41" s="115"/>
      <c r="J41" s="117">
        <f t="shared" ref="J41:M41" si="18">(J26-$I$30)^2</f>
        <v>2.7132706190624285</v>
      </c>
      <c r="K41" s="119">
        <f t="shared" si="18"/>
        <v>2.6503565333853792E-2</v>
      </c>
      <c r="L41" s="120"/>
      <c r="M41" s="127">
        <f t="shared" si="18"/>
        <v>10.00329850390527</v>
      </c>
      <c r="O41" s="115"/>
      <c r="P41" s="117">
        <f t="shared" si="10"/>
        <v>0.28740830082814312</v>
      </c>
      <c r="Q41" s="119">
        <f t="shared" si="11"/>
        <v>1.7114732519601852</v>
      </c>
      <c r="R41" s="120"/>
      <c r="S41" s="127">
        <f t="shared" si="12"/>
        <v>1.401433619100759</v>
      </c>
    </row>
    <row r="42" spans="9:25" x14ac:dyDescent="0.25">
      <c r="I42" s="115"/>
      <c r="J42" s="117">
        <f t="shared" ref="J42:J43" si="19">(J27-$I$30)^2</f>
        <v>0.19114457761957027</v>
      </c>
      <c r="K42" s="118"/>
      <c r="L42" s="120"/>
      <c r="M42" s="128"/>
      <c r="O42" s="115"/>
      <c r="P42" s="117">
        <f t="shared" si="10"/>
        <v>0.45413481066814276</v>
      </c>
      <c r="Q42" s="118"/>
      <c r="R42" s="120"/>
      <c r="S42" s="128"/>
    </row>
    <row r="43" spans="9:25" x14ac:dyDescent="0.25">
      <c r="I43" s="122"/>
      <c r="J43" s="130">
        <f t="shared" si="19"/>
        <v>2.5830945515767167</v>
      </c>
      <c r="K43" s="124"/>
      <c r="L43" s="125"/>
      <c r="M43" s="126"/>
      <c r="O43" s="122"/>
      <c r="P43" s="130">
        <f t="shared" si="10"/>
        <v>0.24611992098814398</v>
      </c>
      <c r="Q43" s="124"/>
      <c r="R43" s="125"/>
      <c r="S43" s="126"/>
    </row>
    <row r="44" spans="9:25" x14ac:dyDescent="0.25">
      <c r="L44" s="24" t="s">
        <v>171</v>
      </c>
      <c r="M44" s="136">
        <f>SUM(I34:M43)</f>
        <v>95.585919975143725</v>
      </c>
      <c r="R44" s="24" t="s">
        <v>850</v>
      </c>
      <c r="S44" s="136">
        <f>SUM(O34:S43)</f>
        <v>25.409754880337211</v>
      </c>
    </row>
    <row r="45" spans="9:25" x14ac:dyDescent="0.25">
      <c r="R45" s="24" t="s">
        <v>851</v>
      </c>
      <c r="S45" s="24">
        <f>S46-S47</f>
        <v>23</v>
      </c>
    </row>
    <row r="46" spans="9:25" x14ac:dyDescent="0.25">
      <c r="R46" s="24" t="s">
        <v>821</v>
      </c>
      <c r="S46" s="24">
        <f>COUNT(C2:C29)</f>
        <v>28</v>
      </c>
    </row>
    <row r="47" spans="9:25" x14ac:dyDescent="0.25">
      <c r="R47" s="24" t="s">
        <v>852</v>
      </c>
      <c r="S47" s="24">
        <v>5</v>
      </c>
    </row>
    <row r="50" spans="9:17" ht="45" x14ac:dyDescent="0.25">
      <c r="I50" s="26" t="s">
        <v>854</v>
      </c>
      <c r="J50" s="26" t="s">
        <v>855</v>
      </c>
      <c r="K50" s="26" t="s">
        <v>856</v>
      </c>
      <c r="L50" s="26" t="s">
        <v>857</v>
      </c>
      <c r="M50" s="26" t="s">
        <v>858</v>
      </c>
    </row>
    <row r="51" spans="9:17" ht="30" x14ac:dyDescent="0.25">
      <c r="I51" s="26" t="s">
        <v>859</v>
      </c>
      <c r="J51" s="26" t="s">
        <v>853</v>
      </c>
      <c r="K51" s="26" t="s">
        <v>860</v>
      </c>
      <c r="L51" s="26" t="s">
        <v>861</v>
      </c>
      <c r="M51" s="26" t="s">
        <v>862</v>
      </c>
    </row>
    <row r="52" spans="9:17" x14ac:dyDescent="0.25">
      <c r="I52" s="26" t="s">
        <v>863</v>
      </c>
      <c r="J52" s="26" t="s">
        <v>850</v>
      </c>
      <c r="K52" s="26" t="s">
        <v>864</v>
      </c>
      <c r="L52" s="26" t="s">
        <v>865</v>
      </c>
      <c r="M52" s="26"/>
    </row>
    <row r="53" spans="9:17" x14ac:dyDescent="0.25">
      <c r="I53" s="26" t="s">
        <v>866</v>
      </c>
      <c r="J53" s="26" t="s">
        <v>867</v>
      </c>
      <c r="K53" s="26" t="s">
        <v>868</v>
      </c>
      <c r="L53" s="26"/>
      <c r="M53" s="26"/>
    </row>
    <row r="55" spans="9:17" ht="45" x14ac:dyDescent="0.25">
      <c r="I55" s="26" t="s">
        <v>854</v>
      </c>
      <c r="J55" s="26" t="s">
        <v>855</v>
      </c>
      <c r="K55" s="26" t="s">
        <v>856</v>
      </c>
      <c r="L55" s="26" t="s">
        <v>857</v>
      </c>
      <c r="M55" s="26" t="s">
        <v>858</v>
      </c>
    </row>
    <row r="56" spans="9:17" ht="30" x14ac:dyDescent="0.25">
      <c r="I56" s="26" t="s">
        <v>859</v>
      </c>
      <c r="J56" s="29">
        <f>Y35</f>
        <v>70.176165094806564</v>
      </c>
      <c r="K56" s="26">
        <f>S47-1</f>
        <v>4</v>
      </c>
      <c r="L56" s="26">
        <f>Y35/Y36</f>
        <v>17.544041273701641</v>
      </c>
      <c r="M56" s="26">
        <f>L56/L57</f>
        <v>15.880237774642508</v>
      </c>
      <c r="O56" s="24" t="s">
        <v>869</v>
      </c>
      <c r="P56" s="24">
        <f>M56</f>
        <v>15.880237774642508</v>
      </c>
      <c r="Q56" s="138" t="s">
        <v>930</v>
      </c>
    </row>
    <row r="57" spans="9:17" x14ac:dyDescent="0.25">
      <c r="I57" s="26" t="s">
        <v>863</v>
      </c>
      <c r="J57" s="27">
        <f>S44</f>
        <v>25.409754880337211</v>
      </c>
      <c r="K57" s="27">
        <f>S46-S47</f>
        <v>23</v>
      </c>
      <c r="L57" s="28">
        <f>S44/S45</f>
        <v>1.1047719513190091</v>
      </c>
      <c r="M57" s="26"/>
      <c r="O57" s="24" t="s">
        <v>870</v>
      </c>
      <c r="P57" s="137">
        <f>FINV(0.05,Y36,S45)</f>
        <v>2.7955387373613885</v>
      </c>
    </row>
    <row r="58" spans="9:17" x14ac:dyDescent="0.25">
      <c r="I58" s="26" t="s">
        <v>866</v>
      </c>
      <c r="J58" s="27">
        <f>M44</f>
        <v>95.585919975143725</v>
      </c>
      <c r="K58" s="27">
        <f>S46-1</f>
        <v>27</v>
      </c>
      <c r="L58" s="26"/>
      <c r="M58" s="26"/>
      <c r="P58" s="32"/>
    </row>
    <row r="59" spans="9:17" x14ac:dyDescent="0.25">
      <c r="J59" s="31">
        <f>J58-J57-J56</f>
        <v>0</v>
      </c>
    </row>
    <row r="60" spans="9:17" x14ac:dyDescent="0.25">
      <c r="J60" s="31"/>
    </row>
    <row r="62" spans="9:17" s="70" customFormat="1" x14ac:dyDescent="0.25"/>
    <row r="63" spans="9:17" ht="15.75" thickBot="1" x14ac:dyDescent="0.3"/>
    <row r="64" spans="9:17" ht="15.75" thickBot="1" x14ac:dyDescent="0.3">
      <c r="I64" s="142" t="s">
        <v>679</v>
      </c>
      <c r="J64" s="140"/>
      <c r="K64" s="140"/>
      <c r="L64" s="141"/>
    </row>
    <row r="65" spans="9:26" x14ac:dyDescent="0.25">
      <c r="I65" s="10"/>
    </row>
    <row r="66" spans="9:26" x14ac:dyDescent="0.25">
      <c r="I66" s="145">
        <f>COUNT(I68:I77)</f>
        <v>1</v>
      </c>
      <c r="J66" s="145">
        <f t="shared" ref="J66:M66" si="20">COUNT(J68:J77)</f>
        <v>10</v>
      </c>
      <c r="K66" s="145">
        <f t="shared" si="20"/>
        <v>8</v>
      </c>
      <c r="L66" s="145">
        <f t="shared" si="20"/>
        <v>1</v>
      </c>
      <c r="M66" s="145">
        <f t="shared" si="20"/>
        <v>8</v>
      </c>
      <c r="N66" s="145"/>
      <c r="O66" s="145"/>
      <c r="P66" s="145"/>
      <c r="Q66" s="145"/>
      <c r="R66" s="145"/>
      <c r="S66" s="145"/>
      <c r="T66" s="145"/>
      <c r="U66" s="145"/>
      <c r="V66" s="145"/>
      <c r="W66" s="145"/>
      <c r="X66" s="145"/>
      <c r="Y66" s="145"/>
      <c r="Z66" s="145"/>
    </row>
    <row r="67" spans="9:26" x14ac:dyDescent="0.25">
      <c r="I67" s="146" t="s">
        <v>845</v>
      </c>
      <c r="J67" s="147" t="s">
        <v>846</v>
      </c>
      <c r="K67" s="148" t="s">
        <v>847</v>
      </c>
      <c r="L67" s="149" t="s">
        <v>848</v>
      </c>
      <c r="M67" s="150" t="s">
        <v>849</v>
      </c>
      <c r="N67" s="145"/>
      <c r="O67" s="145"/>
      <c r="P67" s="145"/>
      <c r="Q67" s="145"/>
      <c r="R67" s="145"/>
      <c r="S67" s="145"/>
      <c r="T67" s="145"/>
      <c r="U67" s="145"/>
      <c r="V67" s="145"/>
      <c r="W67" s="145"/>
      <c r="X67" s="145"/>
      <c r="Y67" s="145"/>
      <c r="Z67" s="145"/>
    </row>
    <row r="68" spans="9:26" x14ac:dyDescent="0.25">
      <c r="I68" s="151">
        <f>D2</f>
        <v>0.11003183364868199</v>
      </c>
      <c r="J68" s="152">
        <f t="shared" ref="J68:J77" si="21">D3</f>
        <v>0.14550841331481901</v>
      </c>
      <c r="K68" s="153">
        <f t="shared" ref="K68:K75" si="22">D13</f>
        <v>8.8113784790039104E-2</v>
      </c>
      <c r="L68" s="154">
        <f>D21</f>
        <v>7.1118955612182594E-2</v>
      </c>
      <c r="M68" s="155">
        <f t="shared" ref="M68:M75" si="23">D22</f>
        <v>0.10561671257019001</v>
      </c>
      <c r="N68" s="145"/>
      <c r="O68" s="145"/>
      <c r="P68" s="145"/>
      <c r="Q68" s="145"/>
      <c r="R68" s="145"/>
      <c r="S68" s="145"/>
      <c r="T68" s="145"/>
      <c r="U68" s="145"/>
      <c r="V68" s="145"/>
      <c r="W68" s="145"/>
      <c r="X68" s="145"/>
      <c r="Y68" s="145"/>
      <c r="Z68" s="145"/>
    </row>
    <row r="69" spans="9:26" x14ac:dyDescent="0.25">
      <c r="I69" s="156"/>
      <c r="J69" s="152">
        <f t="shared" si="21"/>
        <v>0.12736209869384799</v>
      </c>
      <c r="K69" s="153">
        <f t="shared" si="22"/>
        <v>0.113196802139282</v>
      </c>
      <c r="L69" s="157"/>
      <c r="M69" s="155">
        <f t="shared" si="23"/>
        <v>0.14251974105835</v>
      </c>
      <c r="N69" s="145"/>
      <c r="O69" s="145"/>
      <c r="P69" s="145"/>
      <c r="Q69" s="145"/>
      <c r="R69" s="145"/>
      <c r="S69" s="145"/>
      <c r="T69" s="145"/>
      <c r="U69" s="145"/>
      <c r="V69" s="145"/>
      <c r="W69" s="145"/>
      <c r="X69" s="145"/>
      <c r="Y69" s="145"/>
      <c r="Z69" s="145"/>
    </row>
    <row r="70" spans="9:26" x14ac:dyDescent="0.25">
      <c r="I70" s="156"/>
      <c r="J70" s="152">
        <f t="shared" si="21"/>
        <v>0.11888381004333499</v>
      </c>
      <c r="K70" s="153">
        <f t="shared" si="22"/>
        <v>0.108769035339355</v>
      </c>
      <c r="L70" s="157"/>
      <c r="M70" s="155">
        <f t="shared" si="23"/>
        <v>0.10720606803894001</v>
      </c>
      <c r="N70" s="145"/>
      <c r="O70" s="145"/>
      <c r="P70" s="145"/>
      <c r="Q70" s="145"/>
      <c r="R70" s="145"/>
      <c r="S70" s="145"/>
      <c r="T70" s="145"/>
      <c r="U70" s="145"/>
      <c r="V70" s="145"/>
      <c r="W70" s="145"/>
      <c r="X70" s="145"/>
      <c r="Y70" s="145"/>
      <c r="Z70" s="145"/>
    </row>
    <row r="71" spans="9:26" x14ac:dyDescent="0.25">
      <c r="I71" s="156"/>
      <c r="J71" s="152">
        <f t="shared" si="21"/>
        <v>0.10231122016906699</v>
      </c>
      <c r="K71" s="153">
        <f t="shared" si="22"/>
        <v>9.0661725997924811E-2</v>
      </c>
      <c r="L71" s="157"/>
      <c r="M71" s="155">
        <f t="shared" si="23"/>
        <v>0.103632917404175</v>
      </c>
      <c r="N71" s="145"/>
      <c r="O71" s="145"/>
      <c r="P71" s="145"/>
      <c r="Q71" s="145"/>
      <c r="R71" s="145"/>
      <c r="S71" s="145"/>
      <c r="T71" s="145"/>
      <c r="U71" s="145"/>
      <c r="V71" s="145"/>
      <c r="W71" s="145"/>
      <c r="X71" s="145"/>
      <c r="Y71" s="145"/>
      <c r="Z71" s="145"/>
    </row>
    <row r="72" spans="9:26" x14ac:dyDescent="0.25">
      <c r="I72" s="156"/>
      <c r="J72" s="152">
        <f t="shared" si="21"/>
        <v>8.875411033630369E-2</v>
      </c>
      <c r="K72" s="153">
        <f t="shared" si="22"/>
        <v>9.1786003112793002E-2</v>
      </c>
      <c r="L72" s="157"/>
      <c r="M72" s="155">
        <f t="shared" si="23"/>
        <v>0.127444953918457</v>
      </c>
      <c r="N72" s="145"/>
      <c r="O72" s="145"/>
      <c r="P72" s="145"/>
      <c r="Q72" s="145"/>
      <c r="R72" s="145"/>
      <c r="S72" s="145"/>
      <c r="T72" s="145"/>
      <c r="U72" s="145"/>
      <c r="V72" s="145"/>
      <c r="W72" s="145"/>
      <c r="X72" s="145"/>
      <c r="Y72" s="145"/>
      <c r="Z72" s="145"/>
    </row>
    <row r="73" spans="9:26" x14ac:dyDescent="0.25">
      <c r="I73" s="156"/>
      <c r="J73" s="152">
        <f t="shared" si="21"/>
        <v>0.15406312942504902</v>
      </c>
      <c r="K73" s="153">
        <f t="shared" si="22"/>
        <v>7.437161922454831E-2</v>
      </c>
      <c r="L73" s="157"/>
      <c r="M73" s="155">
        <f t="shared" si="23"/>
        <v>0.126531772613525</v>
      </c>
      <c r="N73" s="145"/>
      <c r="O73" s="145"/>
      <c r="P73" s="145"/>
      <c r="Q73" s="145"/>
      <c r="R73" s="145"/>
      <c r="S73" s="145"/>
      <c r="T73" s="145"/>
      <c r="U73" s="145"/>
      <c r="V73" s="145"/>
      <c r="W73" s="145"/>
      <c r="X73" s="145"/>
      <c r="Y73" s="145"/>
      <c r="Z73" s="145"/>
    </row>
    <row r="74" spans="9:26" x14ac:dyDescent="0.25">
      <c r="I74" s="156"/>
      <c r="J74" s="152">
        <f t="shared" si="21"/>
        <v>0.12658941268920901</v>
      </c>
      <c r="K74" s="153">
        <f t="shared" si="22"/>
        <v>9.7091884613037097E-2</v>
      </c>
      <c r="L74" s="157"/>
      <c r="M74" s="155">
        <f t="shared" si="23"/>
        <v>0.111692733764648</v>
      </c>
      <c r="N74" s="145"/>
      <c r="O74" s="145"/>
      <c r="P74" s="145"/>
      <c r="Q74" s="145"/>
      <c r="R74" s="145"/>
      <c r="S74" s="145"/>
      <c r="T74" s="145"/>
      <c r="U74" s="145"/>
      <c r="V74" s="145"/>
      <c r="W74" s="145"/>
      <c r="X74" s="145"/>
      <c r="Y74" s="145"/>
      <c r="Z74" s="145"/>
    </row>
    <row r="75" spans="9:26" x14ac:dyDescent="0.25">
      <c r="I75" s="156"/>
      <c r="J75" s="152">
        <f t="shared" si="21"/>
        <v>0.11019962310791</v>
      </c>
      <c r="K75" s="153">
        <f t="shared" si="22"/>
        <v>0.11501742362976101</v>
      </c>
      <c r="L75" s="157"/>
      <c r="M75" s="155">
        <f t="shared" si="23"/>
        <v>8.1443548202514593E-2</v>
      </c>
      <c r="N75" s="145"/>
      <c r="O75" s="145"/>
      <c r="P75" s="145"/>
      <c r="Q75" s="145"/>
      <c r="R75" s="145"/>
      <c r="S75" s="145"/>
      <c r="T75" s="145"/>
      <c r="U75" s="145"/>
      <c r="V75" s="145"/>
      <c r="W75" s="145"/>
      <c r="X75" s="145"/>
      <c r="Y75" s="145"/>
      <c r="Z75" s="145"/>
    </row>
    <row r="76" spans="9:26" x14ac:dyDescent="0.25">
      <c r="I76" s="156"/>
      <c r="J76" s="152">
        <f t="shared" si="21"/>
        <v>0.102669334411621</v>
      </c>
      <c r="K76" s="158"/>
      <c r="L76" s="157"/>
      <c r="M76" s="159"/>
      <c r="N76" s="145"/>
      <c r="O76" s="145"/>
      <c r="P76" s="145"/>
      <c r="Q76" s="145"/>
      <c r="R76" s="145"/>
      <c r="S76" s="145"/>
      <c r="T76" s="145"/>
      <c r="U76" s="145"/>
      <c r="V76" s="145"/>
      <c r="W76" s="145"/>
      <c r="X76" s="145"/>
      <c r="Y76" s="145"/>
      <c r="Z76" s="145"/>
    </row>
    <row r="77" spans="9:26" x14ac:dyDescent="0.25">
      <c r="I77" s="146"/>
      <c r="J77" s="160">
        <f t="shared" si="21"/>
        <v>0.13531939506530802</v>
      </c>
      <c r="K77" s="148"/>
      <c r="L77" s="149"/>
      <c r="M77" s="150"/>
      <c r="N77" s="145"/>
      <c r="O77" s="145"/>
      <c r="P77" s="145"/>
      <c r="Q77" s="145"/>
      <c r="R77" s="145"/>
      <c r="S77" s="145"/>
      <c r="T77" s="145"/>
      <c r="U77" s="145"/>
      <c r="V77" s="145"/>
      <c r="W77" s="145"/>
      <c r="X77" s="145"/>
      <c r="Y77" s="145"/>
      <c r="Z77" s="145"/>
    </row>
    <row r="78" spans="9:26" x14ac:dyDescent="0.25">
      <c r="I78" s="145">
        <f>AVERAGE(I68:I77)</f>
        <v>0.11003183364868199</v>
      </c>
      <c r="J78" s="145">
        <f t="shared" ref="J78" si="24">AVERAGE(J68:J77)</f>
        <v>0.12116605472564694</v>
      </c>
      <c r="K78" s="145">
        <f>AVERAGE(K68:K75)</f>
        <v>9.7376034855842536E-2</v>
      </c>
      <c r="L78" s="145">
        <f>AVERAGE(L68)</f>
        <v>7.1118955612182594E-2</v>
      </c>
      <c r="M78" s="145">
        <f>AVERAGE(M68:M75)</f>
        <v>0.11326105594634997</v>
      </c>
      <c r="N78" s="145"/>
      <c r="O78" s="145"/>
      <c r="P78" s="145"/>
      <c r="Q78" s="145"/>
      <c r="R78" s="145"/>
      <c r="S78" s="145"/>
      <c r="T78" s="145"/>
      <c r="U78" s="145"/>
      <c r="V78" s="145"/>
      <c r="W78" s="145"/>
      <c r="X78" s="145"/>
      <c r="Y78" s="145"/>
      <c r="Z78" s="145"/>
    </row>
    <row r="79" spans="9:26" x14ac:dyDescent="0.25">
      <c r="I79" s="145">
        <f>AVERAGE(I68:M77)</f>
        <v>0.10992528796195979</v>
      </c>
      <c r="J79" s="145"/>
      <c r="K79" s="145"/>
      <c r="L79" s="145"/>
      <c r="M79" s="145"/>
      <c r="N79" s="145"/>
      <c r="O79" s="145"/>
      <c r="P79" s="145"/>
      <c r="Q79" s="145"/>
      <c r="R79" s="145"/>
      <c r="S79" s="145"/>
      <c r="T79" s="145"/>
      <c r="U79" s="145"/>
      <c r="V79" s="145"/>
      <c r="W79" s="145"/>
      <c r="X79" s="145"/>
      <c r="Y79" s="145"/>
      <c r="Z79" s="145"/>
    </row>
    <row r="80" spans="9:26" x14ac:dyDescent="0.25">
      <c r="I80" s="145">
        <f>COUNT(I83:I92)</f>
        <v>1</v>
      </c>
      <c r="J80" s="145">
        <f t="shared" ref="J80:M80" si="25">COUNT(J83:J92)</f>
        <v>10</v>
      </c>
      <c r="K80" s="145">
        <f t="shared" si="25"/>
        <v>8</v>
      </c>
      <c r="L80" s="145">
        <f t="shared" si="25"/>
        <v>1</v>
      </c>
      <c r="M80" s="145">
        <f t="shared" si="25"/>
        <v>8</v>
      </c>
      <c r="N80" s="145"/>
      <c r="O80" s="145">
        <f>COUNT(O83:O92)</f>
        <v>1</v>
      </c>
      <c r="P80" s="145">
        <f t="shared" ref="P80:S80" si="26">COUNT(P83:P92)</f>
        <v>10</v>
      </c>
      <c r="Q80" s="145">
        <f t="shared" si="26"/>
        <v>8</v>
      </c>
      <c r="R80" s="145">
        <f t="shared" si="26"/>
        <v>1</v>
      </c>
      <c r="S80" s="145">
        <f t="shared" si="26"/>
        <v>8</v>
      </c>
      <c r="T80" s="145"/>
      <c r="U80" s="145"/>
      <c r="V80" s="145"/>
      <c r="W80" s="145"/>
      <c r="X80" s="145"/>
      <c r="Y80" s="145"/>
      <c r="Z80" s="145"/>
    </row>
    <row r="81" spans="9:26" x14ac:dyDescent="0.25">
      <c r="I81" s="161" t="s">
        <v>171</v>
      </c>
      <c r="J81" s="145"/>
      <c r="K81" s="145"/>
      <c r="L81" s="145"/>
      <c r="M81" s="145"/>
      <c r="N81" s="145"/>
      <c r="O81" s="161" t="s">
        <v>850</v>
      </c>
      <c r="P81" s="145"/>
      <c r="Q81" s="145"/>
      <c r="R81" s="145"/>
      <c r="S81" s="145"/>
      <c r="T81" s="145"/>
      <c r="U81" s="145" t="s">
        <v>853</v>
      </c>
      <c r="V81" s="145"/>
      <c r="W81" s="145"/>
      <c r="X81" s="145"/>
      <c r="Y81" s="145"/>
      <c r="Z81" s="145"/>
    </row>
    <row r="82" spans="9:26" x14ac:dyDescent="0.25">
      <c r="I82" s="146" t="s">
        <v>845</v>
      </c>
      <c r="J82" s="147" t="s">
        <v>846</v>
      </c>
      <c r="K82" s="148" t="s">
        <v>847</v>
      </c>
      <c r="L82" s="149" t="s">
        <v>848</v>
      </c>
      <c r="M82" s="150" t="s">
        <v>849</v>
      </c>
      <c r="N82" s="145"/>
      <c r="O82" s="146" t="s">
        <v>845</v>
      </c>
      <c r="P82" s="147" t="s">
        <v>846</v>
      </c>
      <c r="Q82" s="148" t="s">
        <v>847</v>
      </c>
      <c r="R82" s="149" t="s">
        <v>848</v>
      </c>
      <c r="S82" s="150" t="s">
        <v>849</v>
      </c>
      <c r="T82" s="145"/>
      <c r="U82" s="146" t="s">
        <v>845</v>
      </c>
      <c r="V82" s="147" t="s">
        <v>846</v>
      </c>
      <c r="W82" s="148" t="s">
        <v>847</v>
      </c>
      <c r="X82" s="149" t="s">
        <v>848</v>
      </c>
      <c r="Y82" s="150" t="s">
        <v>849</v>
      </c>
      <c r="Z82" s="145"/>
    </row>
    <row r="83" spans="9:26" x14ac:dyDescent="0.25">
      <c r="I83" s="151">
        <f>(I68-$I$79)^2</f>
        <v>1.1351983359106557E-8</v>
      </c>
      <c r="J83" s="152">
        <f t="shared" ref="J83:M83" si="27">(J68-$I$79)^2</f>
        <v>1.2661588098772927E-3</v>
      </c>
      <c r="K83" s="153">
        <f t="shared" si="27"/>
        <v>4.7574167061870598E-4</v>
      </c>
      <c r="L83" s="154">
        <f t="shared" si="27"/>
        <v>1.5059314304413638E-3</v>
      </c>
      <c r="M83" s="155">
        <f t="shared" si="27"/>
        <v>1.8563821906564097E-5</v>
      </c>
      <c r="N83" s="145"/>
      <c r="O83" s="151">
        <f>(I68-I$78)^2</f>
        <v>0</v>
      </c>
      <c r="P83" s="152">
        <f t="shared" ref="P83:S92" si="28">(J68-J$78)^2</f>
        <v>5.9255042168383906E-4</v>
      </c>
      <c r="Q83" s="153">
        <f t="shared" si="28"/>
        <v>8.5789276281475672E-5</v>
      </c>
      <c r="R83" s="154">
        <f t="shared" si="28"/>
        <v>0</v>
      </c>
      <c r="S83" s="155">
        <f t="shared" si="28"/>
        <v>5.8435985652640688E-5</v>
      </c>
      <c r="T83" s="145"/>
      <c r="U83" s="151">
        <f>(I78-$I$79)^2*1</f>
        <v>1.1351983359106557E-8</v>
      </c>
      <c r="V83" s="152">
        <f>(J78-$I$79)^2*10</f>
        <v>1.2635483743561379E-3</v>
      </c>
      <c r="W83" s="153">
        <f>(K78-$I$79)^2*8</f>
        <v>1.2598700281711477E-3</v>
      </c>
      <c r="X83" s="154">
        <f>(L78-$I$79)^2*1</f>
        <v>1.5059314304413638E-3</v>
      </c>
      <c r="Y83" s="155">
        <f>(M78-$I$79)^2*8</f>
        <v>8.9018784365460393E-5</v>
      </c>
      <c r="Z83" s="145"/>
    </row>
    <row r="84" spans="9:26" x14ac:dyDescent="0.25">
      <c r="I84" s="156"/>
      <c r="J84" s="152">
        <f t="shared" ref="J84:K84" si="29">(J69-$I$79)^2</f>
        <v>3.0404236849969151E-4</v>
      </c>
      <c r="K84" s="153">
        <f t="shared" si="29"/>
        <v>1.0702805012420253E-5</v>
      </c>
      <c r="L84" s="157"/>
      <c r="M84" s="155">
        <f t="shared" ref="M84" si="30">(M69-$I$79)^2</f>
        <v>1.0623983726527815E-3</v>
      </c>
      <c r="N84" s="145"/>
      <c r="O84" s="156"/>
      <c r="P84" s="152">
        <f t="shared" si="28"/>
        <v>3.8390960855880555E-5</v>
      </c>
      <c r="Q84" s="153">
        <f t="shared" si="28"/>
        <v>2.5029667743674857E-4</v>
      </c>
      <c r="R84" s="157"/>
      <c r="S84" s="155">
        <f t="shared" si="28"/>
        <v>8.5607065448317198E-4</v>
      </c>
      <c r="T84" s="145"/>
      <c r="U84" s="145"/>
      <c r="V84" s="145"/>
      <c r="W84" s="145"/>
      <c r="X84" s="161" t="s">
        <v>853</v>
      </c>
      <c r="Y84" s="161">
        <f>SUM(U83:Y83)</f>
        <v>4.1183799693174693E-3</v>
      </c>
      <c r="Z84" s="145"/>
    </row>
    <row r="85" spans="9:26" x14ac:dyDescent="0.25">
      <c r="I85" s="156"/>
      <c r="J85" s="152">
        <f t="shared" ref="J85:K85" si="31">(J70-$I$79)^2</f>
        <v>8.0255117882487202E-5</v>
      </c>
      <c r="K85" s="153">
        <f t="shared" si="31"/>
        <v>1.3369201272804402E-6</v>
      </c>
      <c r="L85" s="157"/>
      <c r="M85" s="155">
        <f t="shared" ref="M85" si="32">(M70-$I$79)^2</f>
        <v>7.3941569897477014E-6</v>
      </c>
      <c r="N85" s="145"/>
      <c r="O85" s="156"/>
      <c r="P85" s="152">
        <f t="shared" si="28"/>
        <v>5.2086407899411544E-6</v>
      </c>
      <c r="Q85" s="153">
        <f t="shared" si="28"/>
        <v>1.2980046001731529E-4</v>
      </c>
      <c r="R85" s="157"/>
      <c r="S85" s="155">
        <f t="shared" si="28"/>
        <v>3.6662878558880901E-5</v>
      </c>
      <c r="T85" s="145"/>
      <c r="U85" s="145"/>
      <c r="V85" s="145"/>
      <c r="W85" s="145"/>
      <c r="X85" s="161" t="s">
        <v>851</v>
      </c>
      <c r="Y85" s="161">
        <f>5-1</f>
        <v>4</v>
      </c>
      <c r="Z85" s="145"/>
    </row>
    <row r="86" spans="9:26" x14ac:dyDescent="0.25">
      <c r="I86" s="156"/>
      <c r="J86" s="152">
        <f t="shared" ref="J86:K86" si="33">(J71-$I$79)^2</f>
        <v>5.7974028354767364E-5</v>
      </c>
      <c r="K86" s="153">
        <f t="shared" si="33"/>
        <v>3.7108481954221506E-4</v>
      </c>
      <c r="L86" s="157"/>
      <c r="M86" s="155">
        <f t="shared" ref="M86" si="34">(M71-$I$79)^2</f>
        <v>3.9593927236476773E-5</v>
      </c>
      <c r="N86" s="145"/>
      <c r="O86" s="156"/>
      <c r="P86" s="152">
        <f t="shared" si="28"/>
        <v>3.5550478615600144E-4</v>
      </c>
      <c r="Q86" s="153">
        <f t="shared" si="28"/>
        <v>4.5081943439512424E-5</v>
      </c>
      <c r="R86" s="157"/>
      <c r="S86" s="155">
        <f t="shared" si="28"/>
        <v>9.2701051787315083E-5</v>
      </c>
      <c r="T86" s="145"/>
      <c r="U86" s="145"/>
      <c r="V86" s="145"/>
      <c r="W86" s="145"/>
      <c r="X86" s="145"/>
      <c r="Y86" s="145"/>
      <c r="Z86" s="145"/>
    </row>
    <row r="87" spans="9:26" x14ac:dyDescent="0.25">
      <c r="I87" s="156"/>
      <c r="J87" s="152">
        <f t="shared" ref="J87:K87" si="35">(J72-$I$79)^2</f>
        <v>4.4821876205708129E-4</v>
      </c>
      <c r="K87" s="153">
        <f t="shared" si="35"/>
        <v>3.2903365483921162E-4</v>
      </c>
      <c r="L87" s="157"/>
      <c r="M87" s="155">
        <f t="shared" ref="M87" si="36">(M72-$I$79)^2</f>
        <v>3.0693869522724761E-4</v>
      </c>
      <c r="N87" s="145"/>
      <c r="O87" s="156"/>
      <c r="P87" s="152">
        <f t="shared" si="28"/>
        <v>1.0505341390978794E-3</v>
      </c>
      <c r="Q87" s="153">
        <f t="shared" si="28"/>
        <v>3.1248454888301407E-5</v>
      </c>
      <c r="R87" s="157"/>
      <c r="S87" s="155">
        <f t="shared" si="28"/>
        <v>2.0118296168314205E-4</v>
      </c>
      <c r="T87" s="145"/>
      <c r="U87" s="145"/>
      <c r="V87" s="145"/>
      <c r="W87" s="145"/>
      <c r="X87" s="145">
        <f>M93-S93-Y84</f>
        <v>0</v>
      </c>
      <c r="Y87" s="145"/>
      <c r="Z87" s="145"/>
    </row>
    <row r="88" spans="9:26" x14ac:dyDescent="0.25">
      <c r="I88" s="156"/>
      <c r="J88" s="152">
        <f t="shared" ref="J88:K88" si="37">(J73-$I$79)^2</f>
        <v>1.9481490490207989E-3</v>
      </c>
      <c r="K88" s="153">
        <f t="shared" si="37"/>
        <v>1.2640633606895901E-3</v>
      </c>
      <c r="L88" s="157"/>
      <c r="M88" s="155">
        <f t="shared" ref="M88" si="38">(M73-$I$79)^2</f>
        <v>2.7577533248267087E-4</v>
      </c>
      <c r="N88" s="145"/>
      <c r="O88" s="156"/>
      <c r="P88" s="152">
        <f t="shared" si="28"/>
        <v>1.0822175237780402E-3</v>
      </c>
      <c r="Q88" s="153">
        <f t="shared" si="28"/>
        <v>5.2920313853733407E-4</v>
      </c>
      <c r="R88" s="157"/>
      <c r="S88" s="155">
        <f t="shared" si="28"/>
        <v>1.7611192086043701E-4</v>
      </c>
      <c r="T88" s="145"/>
      <c r="U88" s="145"/>
      <c r="V88" s="145"/>
      <c r="W88" s="145"/>
      <c r="X88" s="145"/>
      <c r="Y88" s="145"/>
      <c r="Z88" s="145"/>
    </row>
    <row r="89" spans="9:26" x14ac:dyDescent="0.25">
      <c r="I89" s="156"/>
      <c r="J89" s="152">
        <f t="shared" ref="J89:K89" si="39">(J74-$I$79)^2</f>
        <v>2.7769305292531894E-4</v>
      </c>
      <c r="K89" s="153">
        <f t="shared" si="39"/>
        <v>1.646962415161401E-4</v>
      </c>
      <c r="L89" s="157"/>
      <c r="M89" s="155">
        <f t="shared" ref="M89" si="40">(M74-$I$79)^2</f>
        <v>3.1238646654401847E-6</v>
      </c>
      <c r="N89" s="145"/>
      <c r="O89" s="156"/>
      <c r="P89" s="152">
        <f t="shared" si="28"/>
        <v>2.9412811600932092E-5</v>
      </c>
      <c r="Q89" s="153">
        <f t="shared" si="28"/>
        <v>8.0741360486390118E-8</v>
      </c>
      <c r="R89" s="157"/>
      <c r="S89" s="155">
        <f t="shared" si="28"/>
        <v>2.4596344656184269E-6</v>
      </c>
      <c r="T89" s="145"/>
      <c r="U89" s="145"/>
      <c r="V89" s="145"/>
      <c r="W89" s="145"/>
      <c r="X89" s="145"/>
      <c r="Y89" s="145"/>
      <c r="Z89" s="145"/>
    </row>
    <row r="90" spans="9:26" x14ac:dyDescent="0.25">
      <c r="I90" s="156"/>
      <c r="J90" s="152">
        <f t="shared" ref="J90:K92" si="41">(J75-$I$79)^2</f>
        <v>7.5259772303523464E-8</v>
      </c>
      <c r="K90" s="153">
        <f t="shared" si="41"/>
        <v>2.5929845659293465E-5</v>
      </c>
      <c r="L90" s="157"/>
      <c r="M90" s="155">
        <f t="shared" ref="M90" si="42">(M75-$I$79)^2</f>
        <v>8.1120949972476116E-4</v>
      </c>
      <c r="N90" s="145"/>
      <c r="O90" s="156"/>
      <c r="P90" s="152">
        <f t="shared" si="28"/>
        <v>1.2026262242650051E-4</v>
      </c>
      <c r="Q90" s="153">
        <f t="shared" si="28"/>
        <v>3.1121859787253695E-4</v>
      </c>
      <c r="R90" s="157"/>
      <c r="S90" s="155">
        <f t="shared" si="28"/>
        <v>1.0123537990290243E-3</v>
      </c>
      <c r="T90" s="145"/>
      <c r="U90" s="145"/>
      <c r="V90" s="145"/>
      <c r="W90" s="145"/>
      <c r="X90" s="145"/>
      <c r="Y90" s="145"/>
      <c r="Z90" s="145"/>
    </row>
    <row r="91" spans="9:26" x14ac:dyDescent="0.25">
      <c r="I91" s="156"/>
      <c r="J91" s="152">
        <f t="shared" si="41"/>
        <v>5.2648861924674003E-5</v>
      </c>
      <c r="K91" s="158"/>
      <c r="L91" s="157"/>
      <c r="M91" s="159"/>
      <c r="N91" s="145"/>
      <c r="O91" s="156"/>
      <c r="P91" s="152">
        <f t="shared" si="28"/>
        <v>3.4212866237529982E-4</v>
      </c>
      <c r="Q91" s="158"/>
      <c r="R91" s="157"/>
      <c r="S91" s="159"/>
      <c r="T91" s="145"/>
      <c r="U91" s="145"/>
      <c r="V91" s="145"/>
      <c r="W91" s="145"/>
      <c r="X91" s="145"/>
      <c r="Y91" s="145"/>
      <c r="Z91" s="145"/>
    </row>
    <row r="92" spans="9:26" x14ac:dyDescent="0.25">
      <c r="I92" s="146"/>
      <c r="J92" s="160">
        <f t="shared" si="41"/>
        <v>6.4486067557632115E-4</v>
      </c>
      <c r="K92" s="148"/>
      <c r="L92" s="149"/>
      <c r="M92" s="150"/>
      <c r="N92" s="145"/>
      <c r="O92" s="146"/>
      <c r="P92" s="160">
        <f t="shared" si="28"/>
        <v>2.0031704277027754E-4</v>
      </c>
      <c r="Q92" s="148"/>
      <c r="R92" s="149"/>
      <c r="S92" s="150"/>
      <c r="T92" s="145"/>
      <c r="U92" s="145"/>
      <c r="V92" s="145"/>
      <c r="W92" s="145"/>
      <c r="X92" s="145"/>
      <c r="Y92" s="145"/>
      <c r="Z92" s="145"/>
    </row>
    <row r="93" spans="9:26" x14ac:dyDescent="0.25">
      <c r="L93" s="24" t="s">
        <v>171</v>
      </c>
      <c r="M93" s="143">
        <f>SUM(I83:M92)</f>
        <v>1.1753605757206007E-2</v>
      </c>
      <c r="R93" s="24" t="s">
        <v>850</v>
      </c>
      <c r="S93" s="144">
        <f>SUM(O83:S92)</f>
        <v>7.6352257878885329E-3</v>
      </c>
    </row>
    <row r="94" spans="9:26" x14ac:dyDescent="0.25">
      <c r="R94" s="24" t="s">
        <v>851</v>
      </c>
      <c r="S94" s="24">
        <f>S95-S96</f>
        <v>23</v>
      </c>
    </row>
    <row r="95" spans="9:26" x14ac:dyDescent="0.25">
      <c r="R95" s="24" t="s">
        <v>821</v>
      </c>
      <c r="S95" s="24">
        <f>COUNT(D2:D29)</f>
        <v>28</v>
      </c>
    </row>
    <row r="96" spans="9:26" x14ac:dyDescent="0.25">
      <c r="R96" s="24" t="s">
        <v>852</v>
      </c>
      <c r="S96" s="24">
        <v>5</v>
      </c>
    </row>
    <row r="98" spans="9:17" ht="45" x14ac:dyDescent="0.25">
      <c r="I98" s="26" t="s">
        <v>854</v>
      </c>
      <c r="J98" s="26" t="s">
        <v>855</v>
      </c>
      <c r="K98" s="26" t="s">
        <v>856</v>
      </c>
      <c r="L98" s="26" t="s">
        <v>857</v>
      </c>
      <c r="M98" s="26" t="s">
        <v>858</v>
      </c>
    </row>
    <row r="99" spans="9:17" ht="30" x14ac:dyDescent="0.25">
      <c r="I99" s="26" t="s">
        <v>859</v>
      </c>
      <c r="J99" s="33">
        <f>Y84</f>
        <v>4.1183799693174693E-3</v>
      </c>
      <c r="K99" s="26">
        <f>Y85</f>
        <v>4</v>
      </c>
      <c r="L99" s="26">
        <f>Y84/Y85</f>
        <v>1.0295949923293673E-3</v>
      </c>
      <c r="M99" s="26">
        <f>L99/L100</f>
        <v>3.1015041966590187</v>
      </c>
      <c r="O99" s="24" t="s">
        <v>869</v>
      </c>
      <c r="P99" s="24">
        <f>M99</f>
        <v>3.1015041966590187</v>
      </c>
      <c r="Q99" s="138" t="s">
        <v>931</v>
      </c>
    </row>
    <row r="100" spans="9:17" x14ac:dyDescent="0.25">
      <c r="I100" s="26" t="s">
        <v>863</v>
      </c>
      <c r="J100" s="33">
        <f>S93</f>
        <v>7.6352257878885329E-3</v>
      </c>
      <c r="K100" s="27">
        <f>S95-S96</f>
        <v>23</v>
      </c>
      <c r="L100" s="35">
        <f>S93/S94</f>
        <v>3.3196633860384928E-4</v>
      </c>
      <c r="M100" s="26"/>
      <c r="O100" s="24" t="s">
        <v>870</v>
      </c>
      <c r="P100" s="137">
        <f>FINV(0.05,Y85,S94)</f>
        <v>2.7955387373613885</v>
      </c>
    </row>
    <row r="101" spans="9:17" x14ac:dyDescent="0.25">
      <c r="I101" s="26" t="s">
        <v>866</v>
      </c>
      <c r="J101" s="33">
        <f>M93</f>
        <v>1.1753605757206007E-2</v>
      </c>
      <c r="K101" s="27">
        <f>S95-1</f>
        <v>27</v>
      </c>
      <c r="L101" s="26"/>
      <c r="M101" s="26"/>
    </row>
    <row r="102" spans="9:17" x14ac:dyDescent="0.25">
      <c r="J102" s="34">
        <f>J101-J100-J99</f>
        <v>0</v>
      </c>
    </row>
    <row r="103" spans="9:17" s="70" customFormat="1" x14ac:dyDescent="0.25"/>
    <row r="104" spans="9:17" ht="15.75" thickBot="1" x14ac:dyDescent="0.3"/>
    <row r="105" spans="9:17" ht="15.75" thickBot="1" x14ac:dyDescent="0.3">
      <c r="I105" s="142" t="s">
        <v>681</v>
      </c>
      <c r="J105" s="140"/>
      <c r="K105" s="140"/>
      <c r="L105" s="141"/>
    </row>
    <row r="106" spans="9:17" x14ac:dyDescent="0.25">
      <c r="I106">
        <f>COUNT(I108:I117)</f>
        <v>1</v>
      </c>
      <c r="J106">
        <f>COUNT(J108:J117)</f>
        <v>10</v>
      </c>
      <c r="K106">
        <f>COUNT(K108:K117)</f>
        <v>8</v>
      </c>
      <c r="L106">
        <f>COUNT(L108:L117)</f>
        <v>1</v>
      </c>
      <c r="M106">
        <f>COUNT(M108:M117)</f>
        <v>8</v>
      </c>
    </row>
    <row r="107" spans="9:17" x14ac:dyDescent="0.25">
      <c r="I107" s="146" t="s">
        <v>845</v>
      </c>
      <c r="J107" s="147" t="s">
        <v>846</v>
      </c>
      <c r="K107" s="148" t="s">
        <v>847</v>
      </c>
      <c r="L107" s="149" t="s">
        <v>848</v>
      </c>
      <c r="M107" s="150" t="s">
        <v>849</v>
      </c>
    </row>
    <row r="108" spans="9:17" x14ac:dyDescent="0.25">
      <c r="I108" s="151">
        <f>E2</f>
        <v>194.04309569043096</v>
      </c>
      <c r="J108" s="152">
        <f t="shared" ref="J108:J117" si="43">E3</f>
        <v>235.89972412116612</v>
      </c>
      <c r="K108" s="153">
        <f t="shared" ref="K108:K115" si="44">E13</f>
        <v>456.564613958981</v>
      </c>
      <c r="L108" s="154">
        <f>E21</f>
        <v>116.90564864516325</v>
      </c>
      <c r="M108" s="155">
        <f t="shared" ref="M108:M115" si="45">E22</f>
        <v>110.63222339072571</v>
      </c>
    </row>
    <row r="109" spans="9:17" x14ac:dyDescent="0.25">
      <c r="I109" s="156"/>
      <c r="J109" s="152">
        <f t="shared" si="43"/>
        <v>35.846672689336337</v>
      </c>
      <c r="K109" s="153">
        <f t="shared" si="44"/>
        <v>362.93192027235858</v>
      </c>
      <c r="L109" s="157"/>
      <c r="M109" s="155">
        <f t="shared" si="45"/>
        <v>133.06464943362997</v>
      </c>
    </row>
    <row r="110" spans="9:17" x14ac:dyDescent="0.25">
      <c r="I110" s="156"/>
      <c r="J110" s="152">
        <f t="shared" si="43"/>
        <v>44.512870912845095</v>
      </c>
      <c r="K110" s="153">
        <f t="shared" si="44"/>
        <v>211.36000286318796</v>
      </c>
      <c r="L110" s="157"/>
      <c r="M110" s="155">
        <f t="shared" si="45"/>
        <v>307.24564002762583</v>
      </c>
    </row>
    <row r="111" spans="9:17" x14ac:dyDescent="0.25">
      <c r="I111" s="156"/>
      <c r="J111" s="152">
        <f t="shared" si="43"/>
        <v>70.131530006134255</v>
      </c>
      <c r="K111" s="153">
        <f t="shared" si="44"/>
        <v>388.39451061623362</v>
      </c>
      <c r="L111" s="157"/>
      <c r="M111" s="155">
        <f t="shared" si="45"/>
        <v>191.54694939417959</v>
      </c>
    </row>
    <row r="112" spans="9:17" x14ac:dyDescent="0.25">
      <c r="I112" s="156"/>
      <c r="J112" s="152">
        <f t="shared" si="43"/>
        <v>103.60469429450643</v>
      </c>
      <c r="K112" s="153">
        <f t="shared" si="44"/>
        <v>249.20388341488072</v>
      </c>
      <c r="L112" s="157"/>
      <c r="M112" s="155">
        <f t="shared" si="45"/>
        <v>113.60881507291208</v>
      </c>
    </row>
    <row r="113" spans="9:25" x14ac:dyDescent="0.25">
      <c r="I113" s="156"/>
      <c r="J113" s="152">
        <f t="shared" si="43"/>
        <v>302.53409212928165</v>
      </c>
      <c r="K113" s="153">
        <f t="shared" si="44"/>
        <v>346.2151439091557</v>
      </c>
      <c r="L113" s="157"/>
      <c r="M113" s="155">
        <f t="shared" si="45"/>
        <v>212.41821394647889</v>
      </c>
    </row>
    <row r="114" spans="9:25" x14ac:dyDescent="0.25">
      <c r="I114" s="156"/>
      <c r="J114" s="152">
        <f t="shared" si="43"/>
        <v>295.44718206643319</v>
      </c>
      <c r="K114" s="153">
        <f t="shared" si="44"/>
        <v>366.86566302808836</v>
      </c>
      <c r="L114" s="157"/>
      <c r="M114" s="155">
        <f t="shared" si="45"/>
        <v>69.97884130192277</v>
      </c>
    </row>
    <row r="115" spans="9:25" x14ac:dyDescent="0.25">
      <c r="I115" s="156"/>
      <c r="J115" s="152">
        <f t="shared" si="43"/>
        <v>129.46981710648762</v>
      </c>
      <c r="K115" s="153">
        <f t="shared" si="44"/>
        <v>305.39652451354999</v>
      </c>
      <c r="L115" s="157"/>
      <c r="M115" s="155">
        <f t="shared" si="45"/>
        <v>173.79404592361107</v>
      </c>
    </row>
    <row r="116" spans="9:25" x14ac:dyDescent="0.25">
      <c r="I116" s="156"/>
      <c r="J116" s="152">
        <f t="shared" si="43"/>
        <v>84.406987752204003</v>
      </c>
      <c r="K116" s="158"/>
      <c r="L116" s="157"/>
      <c r="M116" s="159"/>
    </row>
    <row r="117" spans="9:25" x14ac:dyDescent="0.25">
      <c r="I117" s="146"/>
      <c r="J117" s="160">
        <f t="shared" si="43"/>
        <v>153.00776867014963</v>
      </c>
      <c r="K117" s="148"/>
      <c r="L117" s="149"/>
      <c r="M117" s="150"/>
    </row>
    <row r="118" spans="9:25" x14ac:dyDescent="0.25">
      <c r="I118">
        <f>AVERAGE(I108:I117)</f>
        <v>194.04309569043096</v>
      </c>
      <c r="J118" s="12">
        <f t="shared" ref="J118" si="46">AVERAGE(J108:J117)</f>
        <v>145.48613397485443</v>
      </c>
      <c r="K118" s="12">
        <f>AVERAGE(K108:K115)</f>
        <v>335.86653282205452</v>
      </c>
      <c r="L118" s="12">
        <f>AVERAGE(L108)</f>
        <v>116.90564864516325</v>
      </c>
      <c r="M118" s="12">
        <f>AVERAGE(M108:M115)</f>
        <v>164.03617231138574</v>
      </c>
    </row>
    <row r="119" spans="9:25" x14ac:dyDescent="0.25">
      <c r="I119" s="12">
        <f>AVERAGE(I108:M117)</f>
        <v>205.89399018398785</v>
      </c>
    </row>
    <row r="120" spans="9:25" x14ac:dyDescent="0.25">
      <c r="I120">
        <f>COUNT(I123:I132)</f>
        <v>1</v>
      </c>
      <c r="J120">
        <f t="shared" ref="J120:M120" si="47">COUNT(J123:J132)</f>
        <v>10</v>
      </c>
      <c r="K120">
        <f t="shared" si="47"/>
        <v>8</v>
      </c>
      <c r="L120">
        <f t="shared" si="47"/>
        <v>1</v>
      </c>
      <c r="M120">
        <f t="shared" si="47"/>
        <v>8</v>
      </c>
      <c r="O120">
        <f>COUNT(O123:O132)</f>
        <v>1</v>
      </c>
      <c r="P120">
        <f t="shared" ref="P120:S120" si="48">COUNT(P123:P132)</f>
        <v>10</v>
      </c>
      <c r="Q120">
        <f t="shared" si="48"/>
        <v>8</v>
      </c>
      <c r="R120">
        <f t="shared" si="48"/>
        <v>1</v>
      </c>
      <c r="S120">
        <f t="shared" si="48"/>
        <v>8</v>
      </c>
    </row>
    <row r="121" spans="9:25" x14ac:dyDescent="0.25">
      <c r="I121" s="24" t="s">
        <v>171</v>
      </c>
      <c r="O121" s="24" t="s">
        <v>850</v>
      </c>
      <c r="U121" s="24" t="s">
        <v>853</v>
      </c>
    </row>
    <row r="122" spans="9:25" x14ac:dyDescent="0.25">
      <c r="I122" s="146" t="s">
        <v>845</v>
      </c>
      <c r="J122" s="147" t="s">
        <v>846</v>
      </c>
      <c r="K122" s="148" t="s">
        <v>847</v>
      </c>
      <c r="L122" s="149" t="s">
        <v>848</v>
      </c>
      <c r="M122" s="150" t="s">
        <v>849</v>
      </c>
      <c r="O122" s="146" t="s">
        <v>845</v>
      </c>
      <c r="P122" s="147" t="s">
        <v>846</v>
      </c>
      <c r="Q122" s="148" t="s">
        <v>847</v>
      </c>
      <c r="R122" s="149" t="s">
        <v>848</v>
      </c>
      <c r="S122" s="150" t="s">
        <v>849</v>
      </c>
      <c r="U122" s="146" t="s">
        <v>845</v>
      </c>
      <c r="V122" s="147" t="s">
        <v>846</v>
      </c>
      <c r="W122" s="148" t="s">
        <v>847</v>
      </c>
      <c r="X122" s="149" t="s">
        <v>848</v>
      </c>
      <c r="Y122" s="150" t="s">
        <v>849</v>
      </c>
    </row>
    <row r="123" spans="9:25" x14ac:dyDescent="0.25">
      <c r="I123" s="151">
        <f>(I108-$I$119)^2</f>
        <v>140.44370029741711</v>
      </c>
      <c r="J123" s="152">
        <f t="shared" ref="J123:M123" si="49">(J108-$I$119)^2</f>
        <v>900.34406910873133</v>
      </c>
      <c r="K123" s="153">
        <f t="shared" si="49"/>
        <v>62835.761623744162</v>
      </c>
      <c r="L123" s="154">
        <f t="shared" si="49"/>
        <v>7918.9249298304958</v>
      </c>
      <c r="M123" s="155">
        <f t="shared" si="49"/>
        <v>9074.8042125738612</v>
      </c>
      <c r="O123" s="151">
        <f>(I108-I$118)^2</f>
        <v>0</v>
      </c>
      <c r="P123" s="152">
        <f t="shared" ref="P123:S132" si="50">(J108-J$118)^2</f>
        <v>8174.6172831452304</v>
      </c>
      <c r="Q123" s="153">
        <f t="shared" si="50"/>
        <v>14568.026790136088</v>
      </c>
      <c r="R123" s="154">
        <f t="shared" si="50"/>
        <v>0</v>
      </c>
      <c r="S123" s="155">
        <f t="shared" si="50"/>
        <v>2851.9817603204656</v>
      </c>
      <c r="U123" s="151">
        <f>(I118-$I$119)^2*1</f>
        <v>140.44370029741711</v>
      </c>
      <c r="V123" s="152">
        <f>(J118-$I$119)^2*10</f>
        <v>36491.090917833397</v>
      </c>
      <c r="W123" s="153">
        <f>(K118-$I$119)^2*8</f>
        <v>135142.89471843248</v>
      </c>
      <c r="X123" s="154">
        <f>(L118-$I$119)^2*1</f>
        <v>7918.9249298304958</v>
      </c>
      <c r="Y123" s="155">
        <f>(M118-$I$119)^2*8</f>
        <v>14016.61533644743</v>
      </c>
    </row>
    <row r="124" spans="9:25" x14ac:dyDescent="0.25">
      <c r="I124" s="156"/>
      <c r="J124" s="152">
        <f t="shared" ref="J124:K124" si="51">(J109-$I$119)^2</f>
        <v>28916.090187126814</v>
      </c>
      <c r="K124" s="153">
        <f t="shared" si="51"/>
        <v>24660.911486440014</v>
      </c>
      <c r="L124" s="157"/>
      <c r="M124" s="155">
        <f t="shared" ref="M124" si="52">(M109-$I$119)^2</f>
        <v>5304.1128741317398</v>
      </c>
      <c r="O124" s="156"/>
      <c r="P124" s="152">
        <f t="shared" si="50"/>
        <v>12020.811470978619</v>
      </c>
      <c r="Q124" s="153">
        <f t="shared" si="50"/>
        <v>732.53519783507636</v>
      </c>
      <c r="R124" s="157"/>
      <c r="S124" s="155">
        <f t="shared" si="50"/>
        <v>959.23522936734935</v>
      </c>
      <c r="X124" s="24" t="s">
        <v>853</v>
      </c>
      <c r="Y124" s="162">
        <f>SUM(U123:Y123)</f>
        <v>193709.96960284121</v>
      </c>
    </row>
    <row r="125" spans="9:25" x14ac:dyDescent="0.25">
      <c r="I125" s="156"/>
      <c r="J125" s="152">
        <f t="shared" ref="J125:K125" si="53">(J110-$I$119)^2</f>
        <v>26043.865657206803</v>
      </c>
      <c r="K125" s="153">
        <f t="shared" si="53"/>
        <v>29.87729460917631</v>
      </c>
      <c r="L125" s="157"/>
      <c r="M125" s="155">
        <f t="shared" ref="M125" si="54">(M110-$I$119)^2</f>
        <v>10272.156926027401</v>
      </c>
      <c r="O125" s="156"/>
      <c r="P125" s="152">
        <f t="shared" si="50"/>
        <v>10195.599853389736</v>
      </c>
      <c r="Q125" s="153">
        <f t="shared" si="50"/>
        <v>15501.876002398138</v>
      </c>
      <c r="R125" s="157"/>
      <c r="S125" s="155">
        <f t="shared" si="50"/>
        <v>20508.951643568809</v>
      </c>
      <c r="X125" s="24" t="s">
        <v>851</v>
      </c>
      <c r="Y125" s="24">
        <f>5-1</f>
        <v>4</v>
      </c>
    </row>
    <row r="126" spans="9:25" x14ac:dyDescent="0.25">
      <c r="I126" s="156"/>
      <c r="J126" s="152">
        <f t="shared" ref="J126:K126" si="55">(J111-$I$119)^2</f>
        <v>18431.445593543285</v>
      </c>
      <c r="K126" s="153">
        <f t="shared" si="55"/>
        <v>33306.439958040552</v>
      </c>
      <c r="L126" s="157"/>
      <c r="M126" s="155">
        <f t="shared" ref="M126" si="56">(M111-$I$119)^2</f>
        <v>205.83757942442205</v>
      </c>
      <c r="O126" s="156"/>
      <c r="P126" s="152">
        <f t="shared" si="50"/>
        <v>5678.3163392826573</v>
      </c>
      <c r="Q126" s="153">
        <f t="shared" si="50"/>
        <v>2759.188451145772</v>
      </c>
      <c r="R126" s="157"/>
      <c r="S126" s="155">
        <f t="shared" si="50"/>
        <v>756.8428556991754</v>
      </c>
    </row>
    <row r="127" spans="9:25" x14ac:dyDescent="0.25">
      <c r="I127" s="156"/>
      <c r="J127" s="152">
        <f t="shared" ref="J127:K127" si="57">(J112-$I$119)^2</f>
        <v>10463.10005356588</v>
      </c>
      <c r="K127" s="153">
        <f t="shared" si="57"/>
        <v>1875.74685167134</v>
      </c>
      <c r="L127" s="157"/>
      <c r="M127" s="155">
        <f t="shared" ref="M127" si="58">(M112-$I$119)^2</f>
        <v>8516.5535452819186</v>
      </c>
      <c r="O127" s="156"/>
      <c r="P127" s="152">
        <f t="shared" si="50"/>
        <v>1754.0549896986277</v>
      </c>
      <c r="Q127" s="153">
        <f t="shared" si="50"/>
        <v>7510.4148022707213</v>
      </c>
      <c r="R127" s="157"/>
      <c r="S127" s="155">
        <f t="shared" si="50"/>
        <v>2542.9183580566419</v>
      </c>
      <c r="X127" s="36">
        <f>M133-S133-Y124</f>
        <v>0</v>
      </c>
    </row>
    <row r="128" spans="9:25" x14ac:dyDescent="0.25">
      <c r="I128" s="156"/>
      <c r="J128" s="152">
        <f t="shared" ref="J128:K128" si="59">(J113-$I$119)^2</f>
        <v>9339.3093039967771</v>
      </c>
      <c r="K128" s="153">
        <f t="shared" si="59"/>
        <v>19690.026182762187</v>
      </c>
      <c r="L128" s="157"/>
      <c r="M128" s="155">
        <f t="shared" ref="M128" si="60">(M113-$I$119)^2</f>
        <v>42.565495703052655</v>
      </c>
      <c r="O128" s="156"/>
      <c r="P128" s="152">
        <f t="shared" si="50"/>
        <v>24664.061160474725</v>
      </c>
      <c r="Q128" s="153">
        <f t="shared" si="50"/>
        <v>107.09375143207339</v>
      </c>
      <c r="R128" s="157"/>
      <c r="S128" s="155">
        <f t="shared" si="50"/>
        <v>2340.8219527798865</v>
      </c>
    </row>
    <row r="129" spans="9:25" x14ac:dyDescent="0.25">
      <c r="I129" s="156"/>
      <c r="J129" s="152">
        <f t="shared" ref="J129:K129" si="61">(J114-$I$119)^2</f>
        <v>8019.7741763340728</v>
      </c>
      <c r="K129" s="153">
        <f t="shared" si="61"/>
        <v>25911.879458228126</v>
      </c>
      <c r="L129" s="157"/>
      <c r="M129" s="155">
        <f t="shared" ref="M129" si="62">(M114-$I$119)^2</f>
        <v>18472.927695633913</v>
      </c>
      <c r="O129" s="156"/>
      <c r="P129" s="152">
        <f t="shared" si="50"/>
        <v>22488.315944724796</v>
      </c>
      <c r="Q129" s="153">
        <f t="shared" si="50"/>
        <v>960.94607353063964</v>
      </c>
      <c r="R129" s="157"/>
      <c r="S129" s="155">
        <f t="shared" si="50"/>
        <v>8846.7815166236851</v>
      </c>
    </row>
    <row r="130" spans="9:25" x14ac:dyDescent="0.25">
      <c r="I130" s="156"/>
      <c r="J130" s="152">
        <f t="shared" ref="J130:K130" si="63">(J115-$I$119)^2</f>
        <v>5840.6542305797111</v>
      </c>
      <c r="K130" s="153">
        <f t="shared" si="63"/>
        <v>9900.7543380056923</v>
      </c>
      <c r="L130" s="157"/>
      <c r="M130" s="155">
        <f t="shared" ref="M130" si="64">(M115-$I$119)^2</f>
        <v>1030.4064215192966</v>
      </c>
      <c r="O130" s="156"/>
      <c r="P130" s="152">
        <f t="shared" si="50"/>
        <v>256.52240602793091</v>
      </c>
      <c r="Q130" s="153">
        <f t="shared" si="50"/>
        <v>928.42140632033522</v>
      </c>
      <c r="R130" s="157"/>
      <c r="S130" s="155">
        <f t="shared" si="50"/>
        <v>95.216097432163309</v>
      </c>
    </row>
    <row r="131" spans="9:25" x14ac:dyDescent="0.25">
      <c r="I131" s="156"/>
      <c r="J131" s="152">
        <f t="shared" ref="J131" si="65">(J116-$I$119)^2</f>
        <v>14759.091759860255</v>
      </c>
      <c r="K131" s="158"/>
      <c r="L131" s="157"/>
      <c r="M131" s="159"/>
      <c r="O131" s="156"/>
      <c r="P131" s="152">
        <f t="shared" si="50"/>
        <v>3730.6621032879111</v>
      </c>
      <c r="Q131" s="158"/>
      <c r="R131" s="157"/>
      <c r="S131" s="159"/>
      <c r="Y131" s="30"/>
    </row>
    <row r="132" spans="9:25" x14ac:dyDescent="0.25">
      <c r="I132" s="146"/>
      <c r="J132" s="160">
        <f t="shared" ref="J132" si="66">(J117-$I$119)^2</f>
        <v>2796.9524260107651</v>
      </c>
      <c r="K132" s="148"/>
      <c r="L132" s="149"/>
      <c r="M132" s="150"/>
      <c r="O132" s="146"/>
      <c r="P132" s="160">
        <f t="shared" si="50"/>
        <v>56.574988489468595</v>
      </c>
      <c r="Q132" s="148"/>
      <c r="R132" s="149"/>
      <c r="S132" s="150"/>
    </row>
    <row r="133" spans="9:25" x14ac:dyDescent="0.25">
      <c r="L133" s="24" t="s">
        <v>171</v>
      </c>
      <c r="M133" s="136">
        <f>SUM(I123:M132)</f>
        <v>364700.75803125789</v>
      </c>
      <c r="R133" s="24" t="s">
        <v>850</v>
      </c>
      <c r="S133" s="144">
        <f>SUM(O123:S132)</f>
        <v>170990.78842841674</v>
      </c>
    </row>
    <row r="134" spans="9:25" x14ac:dyDescent="0.25">
      <c r="R134" s="24" t="s">
        <v>851</v>
      </c>
      <c r="S134" s="24">
        <f>S94</f>
        <v>23</v>
      </c>
    </row>
    <row r="135" spans="9:25" x14ac:dyDescent="0.25">
      <c r="R135" s="24" t="s">
        <v>821</v>
      </c>
      <c r="S135" s="24">
        <f>S95</f>
        <v>28</v>
      </c>
    </row>
    <row r="136" spans="9:25" x14ac:dyDescent="0.25">
      <c r="R136" s="24" t="s">
        <v>852</v>
      </c>
      <c r="S136" s="24">
        <v>5</v>
      </c>
    </row>
    <row r="138" spans="9:25" ht="45" x14ac:dyDescent="0.25">
      <c r="I138" s="26" t="s">
        <v>854</v>
      </c>
      <c r="J138" s="26" t="s">
        <v>855</v>
      </c>
      <c r="K138" s="26" t="s">
        <v>856</v>
      </c>
      <c r="L138" s="26" t="s">
        <v>857</v>
      </c>
      <c r="M138" s="26" t="s">
        <v>858</v>
      </c>
    </row>
    <row r="139" spans="9:25" ht="30" x14ac:dyDescent="0.25">
      <c r="I139" s="26" t="s">
        <v>859</v>
      </c>
      <c r="J139" s="33">
        <f>Y124</f>
        <v>193709.96960284121</v>
      </c>
      <c r="K139" s="26">
        <f>Y125</f>
        <v>4</v>
      </c>
      <c r="L139" s="26">
        <f>Y124/Y125</f>
        <v>48427.492400710304</v>
      </c>
      <c r="M139" s="26">
        <f>L139/L140</f>
        <v>6.5139902298457999</v>
      </c>
      <c r="O139" s="24" t="s">
        <v>869</v>
      </c>
      <c r="P139" s="24">
        <f>M139</f>
        <v>6.5139902298457999</v>
      </c>
      <c r="Q139" s="138" t="s">
        <v>931</v>
      </c>
    </row>
    <row r="140" spans="9:25" x14ac:dyDescent="0.25">
      <c r="I140" s="26" t="s">
        <v>863</v>
      </c>
      <c r="J140" s="33">
        <f>S133</f>
        <v>170990.78842841674</v>
      </c>
      <c r="K140" s="27">
        <f>S135-S136</f>
        <v>23</v>
      </c>
      <c r="L140" s="35">
        <f>S133/S134</f>
        <v>7434.3821055833369</v>
      </c>
      <c r="M140" s="26"/>
      <c r="O140" s="24" t="s">
        <v>870</v>
      </c>
      <c r="P140" s="137">
        <f>FINV(0.05,Y125,S134)</f>
        <v>2.7955387373613885</v>
      </c>
    </row>
    <row r="141" spans="9:25" x14ac:dyDescent="0.25">
      <c r="I141" s="26" t="s">
        <v>866</v>
      </c>
      <c r="J141" s="33">
        <f>M133</f>
        <v>364700.75803125789</v>
      </c>
      <c r="K141" s="27">
        <f>S135-1</f>
        <v>27</v>
      </c>
      <c r="L141" s="26"/>
      <c r="M141" s="26"/>
    </row>
    <row r="142" spans="9:25" x14ac:dyDescent="0.25">
      <c r="J142" s="34">
        <f>J141-J140-J139</f>
        <v>0</v>
      </c>
    </row>
    <row r="143" spans="9:25" s="70" customFormat="1" x14ac:dyDescent="0.25"/>
    <row r="144" spans="9:25" ht="15.75" thickBot="1" x14ac:dyDescent="0.3"/>
    <row r="145" spans="9:19" ht="15.75" thickBot="1" x14ac:dyDescent="0.3">
      <c r="I145" s="142" t="s">
        <v>700</v>
      </c>
      <c r="J145" s="140"/>
      <c r="K145" s="141"/>
    </row>
    <row r="146" spans="9:19" x14ac:dyDescent="0.25">
      <c r="I146">
        <f>COUNT(I148:I157)</f>
        <v>1</v>
      </c>
      <c r="J146">
        <f>COUNT(J148:J157)</f>
        <v>10</v>
      </c>
      <c r="K146">
        <f>COUNT(K148:K157)</f>
        <v>8</v>
      </c>
      <c r="L146">
        <f>COUNT(L148:L157)</f>
        <v>1</v>
      </c>
      <c r="M146">
        <f>COUNT(M148:M157)</f>
        <v>8</v>
      </c>
    </row>
    <row r="147" spans="9:19" x14ac:dyDescent="0.25">
      <c r="I147" s="146" t="s">
        <v>845</v>
      </c>
      <c r="J147" s="147" t="s">
        <v>846</v>
      </c>
      <c r="K147" s="148" t="s">
        <v>847</v>
      </c>
      <c r="L147" s="149" t="s">
        <v>848</v>
      </c>
      <c r="M147" s="150" t="s">
        <v>849</v>
      </c>
    </row>
    <row r="148" spans="9:19" x14ac:dyDescent="0.25">
      <c r="I148" s="151">
        <f>F2</f>
        <v>0.700406724896945</v>
      </c>
      <c r="J148" s="152">
        <f t="shared" ref="J148:J157" si="67">F3</f>
        <v>0.76465339190691706</v>
      </c>
      <c r="K148" s="153">
        <f t="shared" ref="K148:K155" si="68">F13</f>
        <v>0.77260715738691399</v>
      </c>
      <c r="L148" s="154">
        <f>F21</f>
        <v>3.6920744951686402</v>
      </c>
      <c r="M148" s="155">
        <f t="shared" ref="M148:M155" si="69">F22</f>
        <v>1.50812345474607</v>
      </c>
    </row>
    <row r="149" spans="9:19" x14ac:dyDescent="0.25">
      <c r="I149" s="156"/>
      <c r="J149" s="152">
        <f t="shared" si="67"/>
        <v>1.8147966516278899</v>
      </c>
      <c r="K149" s="153">
        <f t="shared" si="68"/>
        <v>1.17973708133594</v>
      </c>
      <c r="L149" s="157"/>
      <c r="M149" s="155">
        <f t="shared" si="69"/>
        <v>2.0866657905942798</v>
      </c>
    </row>
    <row r="150" spans="9:19" x14ac:dyDescent="0.25">
      <c r="I150" s="156"/>
      <c r="J150" s="152">
        <f t="shared" si="67"/>
        <v>1.4189603714329999</v>
      </c>
      <c r="K150" s="153">
        <f t="shared" si="68"/>
        <v>1.3580638321417899</v>
      </c>
      <c r="L150" s="157"/>
      <c r="M150" s="155">
        <f t="shared" si="69"/>
        <v>2.1674905163411697</v>
      </c>
    </row>
    <row r="151" spans="9:19" x14ac:dyDescent="0.25">
      <c r="I151" s="156"/>
      <c r="J151" s="152">
        <f t="shared" si="67"/>
        <v>1.7216829026165299</v>
      </c>
      <c r="K151" s="153">
        <f t="shared" si="68"/>
        <v>1.3900550095965298</v>
      </c>
      <c r="L151" s="157"/>
      <c r="M151" s="155">
        <f t="shared" si="69"/>
        <v>1.52573720690762</v>
      </c>
    </row>
    <row r="152" spans="9:19" x14ac:dyDescent="0.25">
      <c r="I152" s="156"/>
      <c r="J152" s="152">
        <f t="shared" si="67"/>
        <v>1.9387234180687101</v>
      </c>
      <c r="K152" s="153">
        <f t="shared" si="68"/>
        <v>1.4660338438573299</v>
      </c>
      <c r="L152" s="157"/>
      <c r="M152" s="155">
        <f t="shared" si="69"/>
        <v>2.52262366538611</v>
      </c>
    </row>
    <row r="153" spans="9:19" x14ac:dyDescent="0.25">
      <c r="I153" s="156"/>
      <c r="J153" s="152">
        <f t="shared" si="67"/>
        <v>1E-3</v>
      </c>
      <c r="K153" s="153">
        <f t="shared" si="68"/>
        <v>1.6790923384615599</v>
      </c>
      <c r="L153" s="157"/>
      <c r="M153" s="155">
        <f t="shared" si="69"/>
        <v>2.0498651345644303</v>
      </c>
    </row>
    <row r="154" spans="9:19" x14ac:dyDescent="0.25">
      <c r="I154" s="156"/>
      <c r="J154" s="152">
        <f t="shared" si="67"/>
        <v>0.49920686499012495</v>
      </c>
      <c r="K154" s="153">
        <f t="shared" si="68"/>
        <v>1.3543893401962401</v>
      </c>
      <c r="L154" s="157"/>
      <c r="M154" s="155">
        <f t="shared" si="69"/>
        <v>2.38851188830618</v>
      </c>
    </row>
    <row r="155" spans="9:19" x14ac:dyDescent="0.25">
      <c r="I155" s="156"/>
      <c r="J155" s="152">
        <f t="shared" si="67"/>
        <v>1.5832811384634797</v>
      </c>
      <c r="K155" s="153">
        <f t="shared" si="68"/>
        <v>1.1879860151950101</v>
      </c>
      <c r="L155" s="157"/>
      <c r="M155" s="155">
        <f t="shared" si="69"/>
        <v>1.7305450659253301</v>
      </c>
    </row>
    <row r="156" spans="9:19" x14ac:dyDescent="0.25">
      <c r="I156" s="156"/>
      <c r="J156" s="152">
        <f t="shared" si="67"/>
        <v>1.6376655408969301</v>
      </c>
      <c r="K156" s="158"/>
      <c r="L156" s="157"/>
      <c r="M156" s="159"/>
    </row>
    <row r="157" spans="9:19" x14ac:dyDescent="0.25">
      <c r="I157" s="146"/>
      <c r="J157" s="160">
        <f t="shared" si="67"/>
        <v>1.30746311852624</v>
      </c>
      <c r="K157" s="148"/>
      <c r="L157" s="149"/>
      <c r="M157" s="150"/>
    </row>
    <row r="158" spans="9:19" x14ac:dyDescent="0.25">
      <c r="I158">
        <f>AVERAGE(I148:I157)</f>
        <v>0.700406724896945</v>
      </c>
      <c r="J158" s="12">
        <f t="shared" ref="J158" si="70">AVERAGE(J148:J157)</f>
        <v>1.2687433398529824</v>
      </c>
      <c r="K158" s="12">
        <f>AVERAGE(K148:K155)</f>
        <v>1.2984955772714142</v>
      </c>
      <c r="L158" s="12">
        <f>AVERAGE(L148)</f>
        <v>3.6920744951686402</v>
      </c>
      <c r="M158" s="12">
        <f>AVERAGE(M148:M155)</f>
        <v>1.997445340346399</v>
      </c>
    </row>
    <row r="159" spans="9:19" x14ac:dyDescent="0.25">
      <c r="I159" s="12">
        <f>AVERAGE(I148:M157)</f>
        <v>1.5516943556977825</v>
      </c>
    </row>
    <row r="160" spans="9:19" x14ac:dyDescent="0.25">
      <c r="I160">
        <f>COUNT(I163:I172)</f>
        <v>1</v>
      </c>
      <c r="J160">
        <f t="shared" ref="J160:M160" si="71">COUNT(J163:J172)</f>
        <v>10</v>
      </c>
      <c r="K160">
        <f t="shared" si="71"/>
        <v>8</v>
      </c>
      <c r="L160">
        <f t="shared" si="71"/>
        <v>1</v>
      </c>
      <c r="M160">
        <f t="shared" si="71"/>
        <v>8</v>
      </c>
      <c r="O160">
        <f>COUNT(O163:O172)</f>
        <v>1</v>
      </c>
      <c r="P160">
        <f t="shared" ref="P160:S160" si="72">COUNT(P163:P172)</f>
        <v>10</v>
      </c>
      <c r="Q160">
        <f t="shared" si="72"/>
        <v>8</v>
      </c>
      <c r="R160">
        <f t="shared" si="72"/>
        <v>1</v>
      </c>
      <c r="S160">
        <f t="shared" si="72"/>
        <v>8</v>
      </c>
    </row>
    <row r="161" spans="9:25" x14ac:dyDescent="0.25">
      <c r="I161" s="24" t="s">
        <v>171</v>
      </c>
      <c r="O161" s="24" t="s">
        <v>850</v>
      </c>
      <c r="U161" s="24" t="s">
        <v>853</v>
      </c>
    </row>
    <row r="162" spans="9:25" x14ac:dyDescent="0.25">
      <c r="I162" s="146" t="s">
        <v>845</v>
      </c>
      <c r="J162" s="147" t="s">
        <v>846</v>
      </c>
      <c r="K162" s="148" t="s">
        <v>847</v>
      </c>
      <c r="L162" s="149" t="s">
        <v>848</v>
      </c>
      <c r="M162" s="150" t="s">
        <v>849</v>
      </c>
      <c r="O162" s="146" t="s">
        <v>845</v>
      </c>
      <c r="P162" s="147" t="s">
        <v>846</v>
      </c>
      <c r="Q162" s="148" t="s">
        <v>847</v>
      </c>
      <c r="R162" s="149" t="s">
        <v>848</v>
      </c>
      <c r="S162" s="150" t="s">
        <v>849</v>
      </c>
      <c r="U162" s="146" t="s">
        <v>845</v>
      </c>
      <c r="V162" s="147" t="s">
        <v>846</v>
      </c>
      <c r="W162" s="148" t="s">
        <v>847</v>
      </c>
      <c r="X162" s="149" t="s">
        <v>848</v>
      </c>
      <c r="Y162" s="150" t="s">
        <v>849</v>
      </c>
    </row>
    <row r="163" spans="9:25" x14ac:dyDescent="0.25">
      <c r="I163" s="151">
        <f>(I148-$I$159)^2</f>
        <v>0.72469063035450298</v>
      </c>
      <c r="J163" s="152">
        <f t="shared" ref="J163:M163" si="73">(J148-$I$159)^2</f>
        <v>0.61943347868485432</v>
      </c>
      <c r="K163" s="153">
        <f t="shared" si="73"/>
        <v>0.60697686257187855</v>
      </c>
      <c r="L163" s="154">
        <f t="shared" si="73"/>
        <v>4.5812271414412873</v>
      </c>
      <c r="M163" s="155">
        <f t="shared" si="73"/>
        <v>1.8984234097439373E-3</v>
      </c>
      <c r="O163" s="151">
        <f>(I148-I$158)^2</f>
        <v>0</v>
      </c>
      <c r="P163" s="152">
        <f t="shared" ref="P163:S172" si="74">(J148-J$158)^2</f>
        <v>0.25410667562026684</v>
      </c>
      <c r="Q163" s="153">
        <f t="shared" si="74"/>
        <v>0.27655863016861637</v>
      </c>
      <c r="R163" s="154">
        <f t="shared" si="74"/>
        <v>0</v>
      </c>
      <c r="S163" s="155">
        <f t="shared" si="74"/>
        <v>0.23943590772746143</v>
      </c>
      <c r="U163" s="151">
        <f>(I158-$I$159)^2*1</f>
        <v>0.72469063035450298</v>
      </c>
      <c r="V163" s="152">
        <f>(J158-$I$159)^2*10</f>
        <v>0.80061277367604311</v>
      </c>
      <c r="W163" s="153">
        <f>(K158-$I$159)^2*8</f>
        <v>0.51287697117284115</v>
      </c>
      <c r="X163" s="154">
        <f>(L158-$I$159)^2*1</f>
        <v>4.5812271414412873</v>
      </c>
      <c r="Y163" s="155">
        <f>(M158-$I$159)^2*8</f>
        <v>1.5895515225216892</v>
      </c>
    </row>
    <row r="164" spans="9:25" x14ac:dyDescent="0.25">
      <c r="I164" s="156"/>
      <c r="J164" s="152">
        <f t="shared" ref="J164:K164" si="75">(J149-$I$159)^2</f>
        <v>6.9222818123693852E-2</v>
      </c>
      <c r="K164" s="153">
        <f t="shared" si="75"/>
        <v>0.13835221395069094</v>
      </c>
      <c r="L164" s="157"/>
      <c r="M164" s="155">
        <f t="shared" ref="M164" si="76">(M149-$I$159)^2</f>
        <v>0.28619443615521728</v>
      </c>
      <c r="O164" s="156"/>
      <c r="P164" s="152">
        <f t="shared" si="74"/>
        <v>0.29817421930034443</v>
      </c>
      <c r="Q164" s="153">
        <f t="shared" si="74"/>
        <v>1.4103580356856034E-2</v>
      </c>
      <c r="R164" s="157"/>
      <c r="S164" s="155">
        <f t="shared" si="74"/>
        <v>7.9602887424345785E-3</v>
      </c>
      <c r="X164" s="24" t="s">
        <v>853</v>
      </c>
      <c r="Y164" s="162">
        <f>SUM(U163:Y163)</f>
        <v>8.2089590391663627</v>
      </c>
    </row>
    <row r="165" spans="9:25" x14ac:dyDescent="0.25">
      <c r="I165" s="156"/>
      <c r="J165" s="152">
        <f t="shared" ref="J165:K165" si="77">(J150-$I$159)^2</f>
        <v>1.7618310578803545E-2</v>
      </c>
      <c r="K165" s="153">
        <f t="shared" si="77"/>
        <v>3.7492779652567775E-2</v>
      </c>
      <c r="L165" s="157"/>
      <c r="M165" s="155">
        <f t="shared" ref="M165" si="78">(M150-$I$159)^2</f>
        <v>0.3792049114631364</v>
      </c>
      <c r="O165" s="156"/>
      <c r="P165" s="152">
        <f t="shared" si="74"/>
        <v>2.2565156576711987E-2</v>
      </c>
      <c r="Q165" s="153">
        <f t="shared" si="74"/>
        <v>3.5483769883020455E-3</v>
      </c>
      <c r="R165" s="157"/>
      <c r="S165" s="155">
        <f t="shared" si="74"/>
        <v>2.8915361879092563E-2</v>
      </c>
      <c r="X165" s="24" t="s">
        <v>851</v>
      </c>
      <c r="Y165" s="24">
        <f>5-1</f>
        <v>4</v>
      </c>
    </row>
    <row r="166" spans="9:25" x14ac:dyDescent="0.25">
      <c r="I166" s="156"/>
      <c r="J166" s="152">
        <f t="shared" ref="J166:K166" si="79">(J151-$I$159)^2</f>
        <v>2.8896106083547195E-2</v>
      </c>
      <c r="K166" s="153">
        <f t="shared" si="79"/>
        <v>2.6127278208040536E-2</v>
      </c>
      <c r="L166" s="157"/>
      <c r="M166" s="155">
        <f t="shared" ref="M166" si="80">(M151-$I$159)^2</f>
        <v>6.7377357331463049E-4</v>
      </c>
      <c r="O166" s="156"/>
      <c r="P166" s="152">
        <f t="shared" si="74"/>
        <v>0.2051542475164336</v>
      </c>
      <c r="Q166" s="153">
        <f t="shared" si="74"/>
        <v>8.3831296476974335E-3</v>
      </c>
      <c r="R166" s="157"/>
      <c r="S166" s="155">
        <f t="shared" si="74"/>
        <v>0.22250856315229686</v>
      </c>
      <c r="X166" s="24"/>
      <c r="Y166" s="24"/>
    </row>
    <row r="167" spans="9:25" x14ac:dyDescent="0.25">
      <c r="I167" s="156"/>
      <c r="J167" s="152">
        <f t="shared" ref="J167:K167" si="81">(J152-$I$159)^2</f>
        <v>0.14979149511971937</v>
      </c>
      <c r="K167" s="153">
        <f t="shared" si="81"/>
        <v>7.3377232887683087E-3</v>
      </c>
      <c r="L167" s="157"/>
      <c r="M167" s="155">
        <f t="shared" ref="M167" si="82">(M152-$I$159)^2</f>
        <v>0.94270372441185235</v>
      </c>
      <c r="O167" s="156"/>
      <c r="P167" s="152">
        <f t="shared" si="74"/>
        <v>0.44887330520595259</v>
      </c>
      <c r="Q167" s="153">
        <f t="shared" si="74"/>
        <v>2.8069070770613373E-2</v>
      </c>
      <c r="R167" s="157"/>
      <c r="S167" s="155">
        <f t="shared" si="74"/>
        <v>0.2758122730915164</v>
      </c>
      <c r="X167" s="36">
        <f>M173-S173-Y164</f>
        <v>0</v>
      </c>
    </row>
    <row r="168" spans="9:25" x14ac:dyDescent="0.25">
      <c r="I168" s="156"/>
      <c r="J168" s="152">
        <f t="shared" ref="J168:K168" si="83">(J153-$I$159)^2</f>
        <v>2.404652984792961</v>
      </c>
      <c r="K168" s="153">
        <f t="shared" si="83"/>
        <v>1.6230246012279737E-2</v>
      </c>
      <c r="L168" s="157"/>
      <c r="M168" s="155">
        <f t="shared" ref="M168" si="84">(M153-$I$159)^2</f>
        <v>0.24817412491660254</v>
      </c>
      <c r="O168" s="156"/>
      <c r="P168" s="152">
        <f t="shared" si="74"/>
        <v>1.6071731757415946</v>
      </c>
      <c r="Q168" s="153">
        <f t="shared" si="74"/>
        <v>0.14485389462842882</v>
      </c>
      <c r="R168" s="157"/>
      <c r="S168" s="155">
        <f t="shared" si="74"/>
        <v>2.7478348258607515E-3</v>
      </c>
    </row>
    <row r="169" spans="9:25" x14ac:dyDescent="0.25">
      <c r="I169" s="156"/>
      <c r="J169" s="152">
        <f t="shared" ref="J169:K169" si="85">(J154-$I$159)^2</f>
        <v>1.1077299180961016</v>
      </c>
      <c r="K169" s="153">
        <f t="shared" si="85"/>
        <v>3.8929269142063863E-2</v>
      </c>
      <c r="L169" s="157"/>
      <c r="M169" s="155">
        <f t="shared" ref="M169" si="86">(M154-$I$159)^2</f>
        <v>0.70026358288080648</v>
      </c>
      <c r="O169" s="156"/>
      <c r="P169" s="152">
        <f t="shared" si="74"/>
        <v>0.59218638614435326</v>
      </c>
      <c r="Q169" s="153">
        <f t="shared" si="74"/>
        <v>3.1241127338966479E-3</v>
      </c>
      <c r="R169" s="157"/>
      <c r="S169" s="155">
        <f t="shared" si="74"/>
        <v>0.15293304493317972</v>
      </c>
    </row>
    <row r="170" spans="9:25" x14ac:dyDescent="0.25">
      <c r="I170" s="156"/>
      <c r="J170" s="152">
        <f t="shared" ref="J170:K170" si="87">(J155-$I$159)^2</f>
        <v>9.9772484548734958E-4</v>
      </c>
      <c r="K170" s="153">
        <f t="shared" si="87"/>
        <v>0.13228375695128058</v>
      </c>
      <c r="L170" s="157"/>
      <c r="M170" s="155">
        <f t="shared" ref="M170" si="88">(M155-$I$159)^2</f>
        <v>3.1987576548898208E-2</v>
      </c>
      <c r="O170" s="156"/>
      <c r="P170" s="152">
        <f t="shared" si="74"/>
        <v>9.8934026754737794E-2</v>
      </c>
      <c r="Q170" s="153">
        <f t="shared" si="74"/>
        <v>1.2212363310318601E-2</v>
      </c>
      <c r="R170" s="157"/>
      <c r="S170" s="155">
        <f t="shared" si="74"/>
        <v>7.1235756486041885E-2</v>
      </c>
    </row>
    <row r="171" spans="9:25" x14ac:dyDescent="0.25">
      <c r="I171" s="156"/>
      <c r="J171" s="152">
        <f t="shared" ref="J171" si="89">(J156-$I$159)^2</f>
        <v>7.3910446845461344E-3</v>
      </c>
      <c r="K171" s="158"/>
      <c r="L171" s="157"/>
      <c r="M171" s="159"/>
      <c r="O171" s="156"/>
      <c r="P171" s="152">
        <f t="shared" si="74"/>
        <v>0.13610359042311096</v>
      </c>
      <c r="Q171" s="158"/>
      <c r="R171" s="157"/>
      <c r="S171" s="159"/>
      <c r="Y171" s="30"/>
    </row>
    <row r="172" spans="9:25" x14ac:dyDescent="0.25">
      <c r="I172" s="146"/>
      <c r="J172" s="160">
        <f t="shared" ref="J172" si="90">(J157-$I$159)^2</f>
        <v>5.9648897210342236E-2</v>
      </c>
      <c r="K172" s="148"/>
      <c r="L172" s="149"/>
      <c r="M172" s="150"/>
      <c r="O172" s="146"/>
      <c r="P172" s="160">
        <f t="shared" si="74"/>
        <v>1.499221260506054E-3</v>
      </c>
      <c r="Q172" s="148"/>
      <c r="R172" s="149"/>
      <c r="S172" s="150"/>
    </row>
    <row r="173" spans="9:25" x14ac:dyDescent="0.25">
      <c r="L173" s="24" t="s">
        <v>171</v>
      </c>
      <c r="M173" s="136">
        <f>SUM(I163:M172)</f>
        <v>13.366131233152988</v>
      </c>
      <c r="R173" s="24" t="s">
        <v>850</v>
      </c>
      <c r="S173" s="144">
        <f>SUM(O163:S172)</f>
        <v>5.1571721939866251</v>
      </c>
    </row>
    <row r="174" spans="9:25" x14ac:dyDescent="0.25">
      <c r="R174" s="24" t="s">
        <v>851</v>
      </c>
      <c r="S174" s="24">
        <f>S134</f>
        <v>23</v>
      </c>
    </row>
    <row r="175" spans="9:25" x14ac:dyDescent="0.25">
      <c r="R175" s="24" t="s">
        <v>821</v>
      </c>
      <c r="S175" s="24">
        <f>S135</f>
        <v>28</v>
      </c>
    </row>
    <row r="176" spans="9:25" x14ac:dyDescent="0.25">
      <c r="R176" s="24" t="s">
        <v>852</v>
      </c>
      <c r="S176" s="24">
        <v>5</v>
      </c>
    </row>
    <row r="178" spans="9:17" ht="45" x14ac:dyDescent="0.25">
      <c r="I178" s="26" t="s">
        <v>854</v>
      </c>
      <c r="J178" s="26" t="s">
        <v>855</v>
      </c>
      <c r="K178" s="26" t="s">
        <v>856</v>
      </c>
      <c r="L178" s="26" t="s">
        <v>857</v>
      </c>
      <c r="M178" s="26" t="s">
        <v>858</v>
      </c>
    </row>
    <row r="179" spans="9:17" ht="30" x14ac:dyDescent="0.25">
      <c r="I179" s="26" t="s">
        <v>859</v>
      </c>
      <c r="J179" s="33">
        <f>Y164</f>
        <v>8.2089590391663627</v>
      </c>
      <c r="K179" s="26">
        <f>Y165</f>
        <v>4</v>
      </c>
      <c r="L179" s="26">
        <f>Y164/Y165</f>
        <v>2.0522397597915907</v>
      </c>
      <c r="M179" s="26">
        <f>L179/L180</f>
        <v>9.1525961708714281</v>
      </c>
      <c r="O179" s="24" t="s">
        <v>869</v>
      </c>
      <c r="P179" s="24">
        <f>M179</f>
        <v>9.1525961708714281</v>
      </c>
      <c r="Q179" s="138" t="s">
        <v>931</v>
      </c>
    </row>
    <row r="180" spans="9:17" x14ac:dyDescent="0.25">
      <c r="I180" s="26" t="s">
        <v>863</v>
      </c>
      <c r="J180" s="33">
        <f>S173</f>
        <v>5.1571721939866251</v>
      </c>
      <c r="K180" s="27">
        <f>S175-S176</f>
        <v>23</v>
      </c>
      <c r="L180" s="35">
        <f>S173/S174</f>
        <v>0.22422487799941848</v>
      </c>
      <c r="M180" s="26"/>
      <c r="O180" s="24" t="s">
        <v>870</v>
      </c>
      <c r="P180" s="137">
        <f>FINV(0.05,Y165,S174)</f>
        <v>2.7955387373613885</v>
      </c>
    </row>
    <row r="181" spans="9:17" x14ac:dyDescent="0.25">
      <c r="I181" s="26" t="s">
        <v>866</v>
      </c>
      <c r="J181" s="33">
        <f>M173</f>
        <v>13.366131233152988</v>
      </c>
      <c r="K181" s="27">
        <f>S175-1</f>
        <v>27</v>
      </c>
      <c r="L181" s="26"/>
      <c r="M181" s="26"/>
    </row>
    <row r="182" spans="9:17" x14ac:dyDescent="0.25">
      <c r="J182" s="34">
        <f>J181-J180-J179</f>
        <v>0</v>
      </c>
    </row>
  </sheetData>
  <autoFilter ref="A1:F29" xr:uid="{0592F6AC-659C-4524-BD6F-8ABE3ACBFA75}">
    <sortState xmlns:xlrd2="http://schemas.microsoft.com/office/spreadsheetml/2017/richdata2" ref="A2:F29">
      <sortCondition ref="B1:B29"/>
    </sortState>
  </autoFilter>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75759-999A-4C90-A02F-B8E58455FE0B}">
  <dimension ref="A1:E266"/>
  <sheetViews>
    <sheetView workbookViewId="0"/>
  </sheetViews>
  <sheetFormatPr defaultRowHeight="15" x14ac:dyDescent="0.25"/>
  <cols>
    <col min="1" max="5" width="17.5703125" customWidth="1"/>
  </cols>
  <sheetData>
    <row r="1" spans="1:5" x14ac:dyDescent="0.25">
      <c r="A1" t="s">
        <v>438</v>
      </c>
      <c r="B1" t="s">
        <v>579</v>
      </c>
      <c r="C1" t="s">
        <v>620</v>
      </c>
      <c r="D1" t="s">
        <v>610</v>
      </c>
      <c r="E1" t="s">
        <v>291</v>
      </c>
    </row>
    <row r="2" spans="1:5" x14ac:dyDescent="0.25">
      <c r="A2" t="s">
        <v>12</v>
      </c>
      <c r="B2" t="s">
        <v>551</v>
      </c>
      <c r="C2" t="s">
        <v>310</v>
      </c>
      <c r="E2" t="s">
        <v>480</v>
      </c>
    </row>
    <row r="3" spans="1:5" x14ac:dyDescent="0.25">
      <c r="A3" t="s">
        <v>463</v>
      </c>
      <c r="D3" t="s">
        <v>427</v>
      </c>
      <c r="E3" t="s">
        <v>493</v>
      </c>
    </row>
    <row r="4" spans="1:5" ht="409.5" x14ac:dyDescent="0.25">
      <c r="A4" t="s">
        <v>576</v>
      </c>
      <c r="B4" t="s">
        <v>80</v>
      </c>
      <c r="C4" t="s">
        <v>593</v>
      </c>
      <c r="D4" s="1" t="s">
        <v>637</v>
      </c>
      <c r="E4" t="s">
        <v>295</v>
      </c>
    </row>
    <row r="5" spans="1:5" x14ac:dyDescent="0.25">
      <c r="A5" t="s">
        <v>157</v>
      </c>
      <c r="D5" t="s">
        <v>232</v>
      </c>
      <c r="E5" t="s">
        <v>642</v>
      </c>
    </row>
    <row r="6" spans="1:5" x14ac:dyDescent="0.25">
      <c r="A6" t="s">
        <v>17</v>
      </c>
      <c r="B6" t="s">
        <v>275</v>
      </c>
      <c r="C6" t="s">
        <v>330</v>
      </c>
      <c r="D6" t="s">
        <v>30</v>
      </c>
      <c r="E6" t="s">
        <v>287</v>
      </c>
    </row>
    <row r="7" spans="1:5" x14ac:dyDescent="0.25">
      <c r="A7" t="s">
        <v>414</v>
      </c>
      <c r="B7" t="s">
        <v>355</v>
      </c>
      <c r="C7" t="s">
        <v>148</v>
      </c>
      <c r="E7" t="s">
        <v>180</v>
      </c>
    </row>
    <row r="8" spans="1:5" x14ac:dyDescent="0.25">
      <c r="A8" t="s">
        <v>668</v>
      </c>
      <c r="B8" t="s">
        <v>355</v>
      </c>
      <c r="C8" t="s">
        <v>310</v>
      </c>
      <c r="E8" t="s">
        <v>309</v>
      </c>
    </row>
    <row r="9" spans="1:5" x14ac:dyDescent="0.25">
      <c r="A9" t="s">
        <v>565</v>
      </c>
      <c r="D9" t="s">
        <v>307</v>
      </c>
      <c r="E9" t="s">
        <v>103</v>
      </c>
    </row>
    <row r="10" spans="1:5" x14ac:dyDescent="0.25">
      <c r="A10" t="s">
        <v>187</v>
      </c>
      <c r="B10" t="s">
        <v>122</v>
      </c>
      <c r="C10" t="s">
        <v>310</v>
      </c>
      <c r="E10" t="s">
        <v>39</v>
      </c>
    </row>
    <row r="11" spans="1:5" x14ac:dyDescent="0.25">
      <c r="A11" t="s">
        <v>452</v>
      </c>
      <c r="B11" t="s">
        <v>551</v>
      </c>
      <c r="C11" t="s">
        <v>148</v>
      </c>
      <c r="D11" t="s">
        <v>75</v>
      </c>
      <c r="E11" t="s">
        <v>280</v>
      </c>
    </row>
    <row r="12" spans="1:5" x14ac:dyDescent="0.25">
      <c r="A12" t="s">
        <v>254</v>
      </c>
      <c r="B12" t="s">
        <v>355</v>
      </c>
      <c r="C12" t="s">
        <v>148</v>
      </c>
      <c r="E12" t="s">
        <v>79</v>
      </c>
    </row>
    <row r="13" spans="1:5" x14ac:dyDescent="0.25">
      <c r="A13" t="s">
        <v>317</v>
      </c>
      <c r="B13" t="s">
        <v>441</v>
      </c>
      <c r="C13" t="s">
        <v>310</v>
      </c>
      <c r="E13" t="s">
        <v>100</v>
      </c>
    </row>
    <row r="14" spans="1:5" x14ac:dyDescent="0.25">
      <c r="A14" t="s">
        <v>451</v>
      </c>
      <c r="B14" t="s">
        <v>551</v>
      </c>
      <c r="C14" t="s">
        <v>310</v>
      </c>
      <c r="E14" t="s">
        <v>372</v>
      </c>
    </row>
    <row r="15" spans="1:5" x14ac:dyDescent="0.25">
      <c r="A15" t="s">
        <v>271</v>
      </c>
      <c r="B15" t="s">
        <v>441</v>
      </c>
      <c r="C15" t="s">
        <v>310</v>
      </c>
      <c r="E15" t="s">
        <v>394</v>
      </c>
    </row>
    <row r="16" spans="1:5" x14ac:dyDescent="0.25">
      <c r="A16" t="s">
        <v>318</v>
      </c>
      <c r="B16" t="s">
        <v>355</v>
      </c>
      <c r="C16" t="s">
        <v>310</v>
      </c>
      <c r="D16" t="s">
        <v>594</v>
      </c>
      <c r="E16" t="s">
        <v>54</v>
      </c>
    </row>
    <row r="17" spans="1:5" x14ac:dyDescent="0.25">
      <c r="A17" t="s">
        <v>479</v>
      </c>
      <c r="B17" t="s">
        <v>355</v>
      </c>
      <c r="C17" t="s">
        <v>148</v>
      </c>
      <c r="E17" t="s">
        <v>487</v>
      </c>
    </row>
    <row r="18" spans="1:5" x14ac:dyDescent="0.25">
      <c r="A18" t="s">
        <v>499</v>
      </c>
      <c r="B18" t="s">
        <v>275</v>
      </c>
      <c r="C18" t="s">
        <v>593</v>
      </c>
      <c r="D18" t="s">
        <v>370</v>
      </c>
      <c r="E18" t="s">
        <v>428</v>
      </c>
    </row>
    <row r="19" spans="1:5" x14ac:dyDescent="0.25">
      <c r="A19" t="s">
        <v>41</v>
      </c>
      <c r="B19" t="s">
        <v>355</v>
      </c>
      <c r="C19" t="s">
        <v>310</v>
      </c>
      <c r="D19" t="s">
        <v>425</v>
      </c>
      <c r="E19" t="s">
        <v>587</v>
      </c>
    </row>
    <row r="20" spans="1:5" x14ac:dyDescent="0.25">
      <c r="A20" t="s">
        <v>301</v>
      </c>
      <c r="B20" t="s">
        <v>275</v>
      </c>
      <c r="C20" t="s">
        <v>330</v>
      </c>
      <c r="E20" t="s">
        <v>577</v>
      </c>
    </row>
    <row r="21" spans="1:5" x14ac:dyDescent="0.25">
      <c r="A21" t="s">
        <v>415</v>
      </c>
      <c r="B21" t="s">
        <v>275</v>
      </c>
      <c r="C21" t="s">
        <v>593</v>
      </c>
      <c r="E21" t="s">
        <v>108</v>
      </c>
    </row>
    <row r="22" spans="1:5" x14ac:dyDescent="0.25">
      <c r="A22" t="s">
        <v>137</v>
      </c>
      <c r="B22" t="s">
        <v>80</v>
      </c>
      <c r="C22" t="s">
        <v>330</v>
      </c>
      <c r="D22" t="s">
        <v>239</v>
      </c>
      <c r="E22" t="s">
        <v>33</v>
      </c>
    </row>
    <row r="23" spans="1:5" x14ac:dyDescent="0.25">
      <c r="A23" t="s">
        <v>138</v>
      </c>
      <c r="B23" t="s">
        <v>355</v>
      </c>
      <c r="C23" t="s">
        <v>310</v>
      </c>
      <c r="E23" t="s">
        <v>556</v>
      </c>
    </row>
    <row r="24" spans="1:5" x14ac:dyDescent="0.25">
      <c r="A24" t="s">
        <v>61</v>
      </c>
      <c r="B24" t="s">
        <v>122</v>
      </c>
      <c r="C24" t="s">
        <v>310</v>
      </c>
      <c r="E24" t="s">
        <v>328</v>
      </c>
    </row>
    <row r="25" spans="1:5" x14ac:dyDescent="0.25">
      <c r="A25" t="s">
        <v>264</v>
      </c>
      <c r="B25" t="s">
        <v>551</v>
      </c>
      <c r="C25" t="s">
        <v>310</v>
      </c>
      <c r="E25" t="s">
        <v>151</v>
      </c>
    </row>
    <row r="26" spans="1:5" x14ac:dyDescent="0.25">
      <c r="A26" t="s">
        <v>505</v>
      </c>
      <c r="B26" t="s">
        <v>355</v>
      </c>
      <c r="C26" t="s">
        <v>148</v>
      </c>
      <c r="E26" t="s">
        <v>353</v>
      </c>
    </row>
    <row r="27" spans="1:5" x14ac:dyDescent="0.25">
      <c r="A27" t="s">
        <v>195</v>
      </c>
      <c r="B27" t="s">
        <v>355</v>
      </c>
      <c r="C27" t="s">
        <v>148</v>
      </c>
      <c r="D27" t="s">
        <v>459</v>
      </c>
      <c r="E27" t="s">
        <v>538</v>
      </c>
    </row>
    <row r="28" spans="1:5" x14ac:dyDescent="0.25">
      <c r="A28" t="s">
        <v>261</v>
      </c>
      <c r="B28" t="s">
        <v>551</v>
      </c>
      <c r="C28" t="s">
        <v>148</v>
      </c>
      <c r="E28" t="s">
        <v>284</v>
      </c>
    </row>
    <row r="29" spans="1:5" x14ac:dyDescent="0.25">
      <c r="A29" t="s">
        <v>584</v>
      </c>
      <c r="B29" t="s">
        <v>196</v>
      </c>
      <c r="C29" t="s">
        <v>310</v>
      </c>
      <c r="E29" t="s">
        <v>336</v>
      </c>
    </row>
    <row r="30" spans="1:5" x14ac:dyDescent="0.25">
      <c r="A30" t="s">
        <v>470</v>
      </c>
      <c r="B30" t="s">
        <v>551</v>
      </c>
      <c r="C30" t="s">
        <v>330</v>
      </c>
      <c r="E30" t="s">
        <v>49</v>
      </c>
    </row>
    <row r="31" spans="1:5" x14ac:dyDescent="0.25">
      <c r="A31" t="s">
        <v>299</v>
      </c>
      <c r="B31" t="s">
        <v>551</v>
      </c>
      <c r="C31" t="s">
        <v>148</v>
      </c>
      <c r="E31" t="s">
        <v>541</v>
      </c>
    </row>
    <row r="32" spans="1:5" x14ac:dyDescent="0.25">
      <c r="A32" t="s">
        <v>350</v>
      </c>
      <c r="B32" t="s">
        <v>551</v>
      </c>
      <c r="C32" t="s">
        <v>310</v>
      </c>
      <c r="E32" t="s">
        <v>512</v>
      </c>
    </row>
    <row r="33" spans="1:5" x14ac:dyDescent="0.25">
      <c r="A33" t="s">
        <v>117</v>
      </c>
      <c r="B33" t="s">
        <v>441</v>
      </c>
      <c r="C33" t="s">
        <v>310</v>
      </c>
      <c r="E33" t="s">
        <v>390</v>
      </c>
    </row>
    <row r="34" spans="1:5" x14ac:dyDescent="0.25">
      <c r="A34" t="s">
        <v>111</v>
      </c>
      <c r="B34" t="s">
        <v>80</v>
      </c>
      <c r="C34" t="s">
        <v>330</v>
      </c>
      <c r="E34" t="s">
        <v>522</v>
      </c>
    </row>
    <row r="35" spans="1:5" x14ac:dyDescent="0.25">
      <c r="A35" t="s">
        <v>357</v>
      </c>
      <c r="B35" t="s">
        <v>275</v>
      </c>
      <c r="C35" t="s">
        <v>148</v>
      </c>
      <c r="E35" t="s">
        <v>44</v>
      </c>
    </row>
    <row r="36" spans="1:5" x14ac:dyDescent="0.25">
      <c r="A36" t="s">
        <v>443</v>
      </c>
      <c r="B36" t="s">
        <v>275</v>
      </c>
      <c r="C36" t="s">
        <v>593</v>
      </c>
      <c r="E36" t="s">
        <v>166</v>
      </c>
    </row>
    <row r="37" spans="1:5" x14ac:dyDescent="0.25">
      <c r="A37" t="s">
        <v>513</v>
      </c>
      <c r="B37" t="s">
        <v>196</v>
      </c>
      <c r="C37" t="s">
        <v>310</v>
      </c>
      <c r="D37" t="s">
        <v>380</v>
      </c>
      <c r="E37" t="s">
        <v>177</v>
      </c>
    </row>
    <row r="38" spans="1:5" x14ac:dyDescent="0.25">
      <c r="A38" t="s">
        <v>207</v>
      </c>
      <c r="D38" t="s">
        <v>26</v>
      </c>
      <c r="E38" t="s">
        <v>398</v>
      </c>
    </row>
    <row r="39" spans="1:5" x14ac:dyDescent="0.25">
      <c r="A39" t="s">
        <v>592</v>
      </c>
      <c r="B39" t="s">
        <v>355</v>
      </c>
      <c r="C39" t="s">
        <v>310</v>
      </c>
      <c r="E39" t="s">
        <v>169</v>
      </c>
    </row>
    <row r="40" spans="1:5" x14ac:dyDescent="0.25">
      <c r="A40" t="s">
        <v>281</v>
      </c>
      <c r="B40" t="s">
        <v>355</v>
      </c>
      <c r="C40" t="s">
        <v>310</v>
      </c>
      <c r="E40" t="s">
        <v>351</v>
      </c>
    </row>
    <row r="41" spans="1:5" x14ac:dyDescent="0.25">
      <c r="A41" t="s">
        <v>598</v>
      </c>
      <c r="B41" t="s">
        <v>551</v>
      </c>
      <c r="C41" t="s">
        <v>310</v>
      </c>
      <c r="E41" t="s">
        <v>149</v>
      </c>
    </row>
    <row r="42" spans="1:5" ht="409.5" x14ac:dyDescent="0.25">
      <c r="A42" t="s">
        <v>167</v>
      </c>
      <c r="B42" t="s">
        <v>441</v>
      </c>
      <c r="C42" t="s">
        <v>148</v>
      </c>
      <c r="D42" s="1" t="s">
        <v>162</v>
      </c>
      <c r="E42" t="s">
        <v>458</v>
      </c>
    </row>
    <row r="43" spans="1:5" x14ac:dyDescent="0.25">
      <c r="A43" t="s">
        <v>296</v>
      </c>
      <c r="B43" t="s">
        <v>275</v>
      </c>
      <c r="C43" t="s">
        <v>330</v>
      </c>
      <c r="E43" t="s">
        <v>130</v>
      </c>
    </row>
    <row r="44" spans="1:5" x14ac:dyDescent="0.25">
      <c r="A44" t="s">
        <v>69</v>
      </c>
      <c r="B44" t="s">
        <v>275</v>
      </c>
      <c r="C44" t="s">
        <v>330</v>
      </c>
      <c r="E44" t="s">
        <v>672</v>
      </c>
    </row>
    <row r="45" spans="1:5" x14ac:dyDescent="0.25">
      <c r="A45" t="s">
        <v>199</v>
      </c>
      <c r="B45" t="s">
        <v>275</v>
      </c>
      <c r="C45" t="s">
        <v>593</v>
      </c>
      <c r="D45" t="s">
        <v>566</v>
      </c>
      <c r="E45" t="s">
        <v>450</v>
      </c>
    </row>
    <row r="46" spans="1:5" x14ac:dyDescent="0.25">
      <c r="A46" t="s">
        <v>365</v>
      </c>
      <c r="B46" t="s">
        <v>275</v>
      </c>
      <c r="C46" t="s">
        <v>330</v>
      </c>
      <c r="E46" t="s">
        <v>349</v>
      </c>
    </row>
    <row r="47" spans="1:5" x14ac:dyDescent="0.25">
      <c r="A47" t="s">
        <v>267</v>
      </c>
      <c r="B47" t="s">
        <v>551</v>
      </c>
      <c r="C47" t="s">
        <v>148</v>
      </c>
      <c r="E47" t="s">
        <v>507</v>
      </c>
    </row>
    <row r="48" spans="1:5" x14ac:dyDescent="0.25">
      <c r="A48" t="s">
        <v>315</v>
      </c>
      <c r="B48" t="s">
        <v>275</v>
      </c>
      <c r="C48" t="s">
        <v>330</v>
      </c>
      <c r="E48" t="s">
        <v>319</v>
      </c>
    </row>
    <row r="49" spans="1:5" x14ac:dyDescent="0.25">
      <c r="A49" t="s">
        <v>518</v>
      </c>
      <c r="B49" t="s">
        <v>275</v>
      </c>
      <c r="C49" t="s">
        <v>330</v>
      </c>
      <c r="E49" t="s">
        <v>448</v>
      </c>
    </row>
    <row r="50" spans="1:5" x14ac:dyDescent="0.25">
      <c r="A50" t="s">
        <v>11</v>
      </c>
      <c r="B50" t="s">
        <v>551</v>
      </c>
      <c r="C50" t="s">
        <v>148</v>
      </c>
      <c r="E50" t="s">
        <v>304</v>
      </c>
    </row>
    <row r="51" spans="1:5" x14ac:dyDescent="0.25">
      <c r="A51" t="s">
        <v>262</v>
      </c>
      <c r="D51" t="s">
        <v>346</v>
      </c>
      <c r="E51" t="s">
        <v>305</v>
      </c>
    </row>
    <row r="52" spans="1:5" x14ac:dyDescent="0.25">
      <c r="A52" t="s">
        <v>224</v>
      </c>
      <c r="B52" t="s">
        <v>551</v>
      </c>
      <c r="C52" t="s">
        <v>148</v>
      </c>
      <c r="E52" t="s">
        <v>89</v>
      </c>
    </row>
    <row r="53" spans="1:5" x14ac:dyDescent="0.25">
      <c r="A53" t="s">
        <v>90</v>
      </c>
      <c r="B53" t="s">
        <v>551</v>
      </c>
      <c r="C53" t="s">
        <v>310</v>
      </c>
      <c r="E53" t="s">
        <v>363</v>
      </c>
    </row>
    <row r="54" spans="1:5" x14ac:dyDescent="0.25">
      <c r="A54" t="s">
        <v>595</v>
      </c>
      <c r="B54" t="s">
        <v>551</v>
      </c>
      <c r="C54" t="s">
        <v>310</v>
      </c>
      <c r="E54" t="s">
        <v>433</v>
      </c>
    </row>
    <row r="55" spans="1:5" x14ac:dyDescent="0.25">
      <c r="A55" t="s">
        <v>225</v>
      </c>
      <c r="B55" t="s">
        <v>355</v>
      </c>
      <c r="C55" t="s">
        <v>310</v>
      </c>
      <c r="D55" t="s">
        <v>409</v>
      </c>
      <c r="E55" t="s">
        <v>401</v>
      </c>
    </row>
    <row r="56" spans="1:5" x14ac:dyDescent="0.25">
      <c r="A56" t="s">
        <v>608</v>
      </c>
      <c r="B56" t="s">
        <v>355</v>
      </c>
      <c r="C56" t="s">
        <v>310</v>
      </c>
      <c r="E56" t="s">
        <v>311</v>
      </c>
    </row>
    <row r="57" spans="1:5" x14ac:dyDescent="0.25">
      <c r="A57" t="s">
        <v>439</v>
      </c>
      <c r="B57" t="s">
        <v>355</v>
      </c>
      <c r="C57" t="s">
        <v>310</v>
      </c>
      <c r="D57" t="s">
        <v>389</v>
      </c>
      <c r="E57" t="s">
        <v>436</v>
      </c>
    </row>
    <row r="58" spans="1:5" x14ac:dyDescent="0.25">
      <c r="A58" t="s">
        <v>217</v>
      </c>
      <c r="B58" t="s">
        <v>122</v>
      </c>
      <c r="C58" t="s">
        <v>330</v>
      </c>
      <c r="E58" t="s">
        <v>20</v>
      </c>
    </row>
    <row r="59" spans="1:5" x14ac:dyDescent="0.25">
      <c r="A59" t="s">
        <v>231</v>
      </c>
      <c r="B59" t="s">
        <v>551</v>
      </c>
      <c r="C59" t="s">
        <v>148</v>
      </c>
      <c r="E59" t="s">
        <v>630</v>
      </c>
    </row>
    <row r="60" spans="1:5" x14ac:dyDescent="0.25">
      <c r="A60" t="s">
        <v>481</v>
      </c>
      <c r="B60" t="s">
        <v>355</v>
      </c>
      <c r="C60" t="s">
        <v>310</v>
      </c>
      <c r="E60" t="s">
        <v>274</v>
      </c>
    </row>
    <row r="61" spans="1:5" x14ac:dyDescent="0.25">
      <c r="A61" t="s">
        <v>649</v>
      </c>
      <c r="B61" t="s">
        <v>551</v>
      </c>
      <c r="C61" t="s">
        <v>148</v>
      </c>
      <c r="E61" t="s">
        <v>377</v>
      </c>
    </row>
    <row r="62" spans="1:5" x14ac:dyDescent="0.25">
      <c r="A62" t="s">
        <v>27</v>
      </c>
      <c r="B62" t="s">
        <v>122</v>
      </c>
      <c r="C62" t="s">
        <v>148</v>
      </c>
      <c r="E62" t="s">
        <v>629</v>
      </c>
    </row>
    <row r="63" spans="1:5" x14ac:dyDescent="0.25">
      <c r="A63" t="s">
        <v>209</v>
      </c>
      <c r="E63" t="s">
        <v>183</v>
      </c>
    </row>
    <row r="64" spans="1:5" x14ac:dyDescent="0.25">
      <c r="A64" t="s">
        <v>320</v>
      </c>
      <c r="D64" t="s">
        <v>601</v>
      </c>
      <c r="E64" t="s">
        <v>632</v>
      </c>
    </row>
    <row r="65" spans="1:5" x14ac:dyDescent="0.25">
      <c r="A65" t="s">
        <v>534</v>
      </c>
      <c r="D65" t="s">
        <v>7</v>
      </c>
      <c r="E65" t="s">
        <v>441</v>
      </c>
    </row>
    <row r="66" spans="1:5" x14ac:dyDescent="0.25">
      <c r="A66" t="s">
        <v>289</v>
      </c>
      <c r="E66" t="s">
        <v>242</v>
      </c>
    </row>
    <row r="67" spans="1:5" x14ac:dyDescent="0.25">
      <c r="A67" t="s">
        <v>533</v>
      </c>
      <c r="D67" t="s">
        <v>497</v>
      </c>
      <c r="E67" t="s">
        <v>355</v>
      </c>
    </row>
    <row r="68" spans="1:5" x14ac:dyDescent="0.25">
      <c r="A68" t="s">
        <v>99</v>
      </c>
      <c r="B68" t="s">
        <v>551</v>
      </c>
      <c r="C68" t="s">
        <v>148</v>
      </c>
      <c r="E68" t="s">
        <v>218</v>
      </c>
    </row>
    <row r="69" spans="1:5" ht="409.5" x14ac:dyDescent="0.25">
      <c r="A69" t="s">
        <v>612</v>
      </c>
      <c r="B69" t="s">
        <v>122</v>
      </c>
      <c r="C69" t="s">
        <v>330</v>
      </c>
      <c r="D69" s="1" t="s">
        <v>298</v>
      </c>
      <c r="E69" t="s">
        <v>229</v>
      </c>
    </row>
    <row r="70" spans="1:5" x14ac:dyDescent="0.25">
      <c r="A70" t="s">
        <v>364</v>
      </c>
      <c r="D70" t="s">
        <v>251</v>
      </c>
      <c r="E70" t="s">
        <v>131</v>
      </c>
    </row>
    <row r="71" spans="1:5" x14ac:dyDescent="0.25">
      <c r="A71" t="s">
        <v>153</v>
      </c>
      <c r="B71" t="s">
        <v>275</v>
      </c>
      <c r="C71" t="s">
        <v>593</v>
      </c>
      <c r="D71" t="s">
        <v>429</v>
      </c>
      <c r="E71" t="s">
        <v>658</v>
      </c>
    </row>
    <row r="72" spans="1:5" x14ac:dyDescent="0.25">
      <c r="A72" t="s">
        <v>223</v>
      </c>
      <c r="B72" t="s">
        <v>355</v>
      </c>
      <c r="C72" t="s">
        <v>310</v>
      </c>
      <c r="D72" t="s">
        <v>326</v>
      </c>
      <c r="E72" t="s">
        <v>72</v>
      </c>
    </row>
    <row r="73" spans="1:5" x14ac:dyDescent="0.25">
      <c r="A73" t="s">
        <v>600</v>
      </c>
      <c r="B73" t="s">
        <v>355</v>
      </c>
      <c r="C73" t="s">
        <v>310</v>
      </c>
      <c r="D73" t="s">
        <v>466</v>
      </c>
      <c r="E73" t="s">
        <v>468</v>
      </c>
    </row>
    <row r="74" spans="1:5" x14ac:dyDescent="0.25">
      <c r="A74" t="s">
        <v>92</v>
      </c>
      <c r="B74" t="s">
        <v>275</v>
      </c>
      <c r="C74" t="s">
        <v>593</v>
      </c>
      <c r="D74" t="s">
        <v>341</v>
      </c>
      <c r="E74" t="s">
        <v>142</v>
      </c>
    </row>
    <row r="75" spans="1:5" x14ac:dyDescent="0.25">
      <c r="A75" t="s">
        <v>641</v>
      </c>
      <c r="D75" t="s">
        <v>260</v>
      </c>
      <c r="E75" t="s">
        <v>36</v>
      </c>
    </row>
    <row r="76" spans="1:5" x14ac:dyDescent="0.25">
      <c r="A76" t="s">
        <v>316</v>
      </c>
      <c r="D76" t="s">
        <v>589</v>
      </c>
      <c r="E76" t="s">
        <v>191</v>
      </c>
    </row>
    <row r="77" spans="1:5" x14ac:dyDescent="0.25">
      <c r="A77" t="s">
        <v>24</v>
      </c>
      <c r="B77" t="s">
        <v>355</v>
      </c>
      <c r="C77" t="s">
        <v>310</v>
      </c>
      <c r="D77" t="s">
        <v>220</v>
      </c>
      <c r="E77" t="s">
        <v>47</v>
      </c>
    </row>
    <row r="78" spans="1:5" x14ac:dyDescent="0.25">
      <c r="A78" t="s">
        <v>347</v>
      </c>
      <c r="B78" t="s">
        <v>441</v>
      </c>
      <c r="C78" t="s">
        <v>148</v>
      </c>
      <c r="E78" t="s">
        <v>135</v>
      </c>
    </row>
    <row r="79" spans="1:5" x14ac:dyDescent="0.25">
      <c r="A79" t="s">
        <v>575</v>
      </c>
      <c r="B79" t="s">
        <v>355</v>
      </c>
      <c r="C79" t="s">
        <v>310</v>
      </c>
      <c r="D79" t="s">
        <v>568</v>
      </c>
      <c r="E79" t="s">
        <v>337</v>
      </c>
    </row>
    <row r="80" spans="1:5" x14ac:dyDescent="0.25">
      <c r="A80" t="s">
        <v>424</v>
      </c>
      <c r="B80" t="s">
        <v>355</v>
      </c>
      <c r="C80" t="s">
        <v>310</v>
      </c>
      <c r="E80" t="s">
        <v>303</v>
      </c>
    </row>
    <row r="81" spans="1:5" x14ac:dyDescent="0.25">
      <c r="A81" t="s">
        <v>247</v>
      </c>
      <c r="B81" t="s">
        <v>441</v>
      </c>
      <c r="C81" t="s">
        <v>330</v>
      </c>
      <c r="D81" t="s">
        <v>491</v>
      </c>
      <c r="E81" t="s">
        <v>345</v>
      </c>
    </row>
    <row r="82" spans="1:5" x14ac:dyDescent="0.25">
      <c r="A82" t="s">
        <v>329</v>
      </c>
      <c r="B82" t="s">
        <v>275</v>
      </c>
      <c r="C82" t="s">
        <v>148</v>
      </c>
      <c r="E82" t="s">
        <v>453</v>
      </c>
    </row>
    <row r="83" spans="1:5" x14ac:dyDescent="0.25">
      <c r="A83" t="s">
        <v>535</v>
      </c>
      <c r="B83" t="s">
        <v>355</v>
      </c>
      <c r="C83" t="s">
        <v>310</v>
      </c>
      <c r="E83" t="s">
        <v>609</v>
      </c>
    </row>
    <row r="84" spans="1:5" x14ac:dyDescent="0.25">
      <c r="A84" t="s">
        <v>419</v>
      </c>
      <c r="B84" t="s">
        <v>355</v>
      </c>
      <c r="C84" t="s">
        <v>148</v>
      </c>
      <c r="D84" t="s">
        <v>520</v>
      </c>
      <c r="E84" t="s">
        <v>567</v>
      </c>
    </row>
    <row r="85" spans="1:5" x14ac:dyDescent="0.25">
      <c r="A85" t="s">
        <v>500</v>
      </c>
      <c r="B85" t="s">
        <v>275</v>
      </c>
      <c r="C85" t="s">
        <v>330</v>
      </c>
      <c r="D85" t="s">
        <v>644</v>
      </c>
      <c r="E85" t="s">
        <v>152</v>
      </c>
    </row>
    <row r="86" spans="1:5" x14ac:dyDescent="0.25">
      <c r="A86" t="s">
        <v>623</v>
      </c>
      <c r="B86" t="s">
        <v>355</v>
      </c>
      <c r="C86" t="s">
        <v>310</v>
      </c>
      <c r="D86" t="s">
        <v>434</v>
      </c>
      <c r="E86" t="s">
        <v>121</v>
      </c>
    </row>
    <row r="87" spans="1:5" x14ac:dyDescent="0.25">
      <c r="A87" t="s">
        <v>521</v>
      </c>
      <c r="B87" t="s">
        <v>275</v>
      </c>
      <c r="C87" t="s">
        <v>330</v>
      </c>
      <c r="E87" t="s">
        <v>526</v>
      </c>
    </row>
    <row r="88" spans="1:5" x14ac:dyDescent="0.25">
      <c r="A88" t="s">
        <v>76</v>
      </c>
      <c r="B88" t="s">
        <v>275</v>
      </c>
      <c r="C88" t="s">
        <v>593</v>
      </c>
      <c r="E88" t="s">
        <v>23</v>
      </c>
    </row>
    <row r="89" spans="1:5" x14ac:dyDescent="0.25">
      <c r="A89" t="s">
        <v>145</v>
      </c>
      <c r="B89" t="s">
        <v>275</v>
      </c>
      <c r="C89" t="s">
        <v>593</v>
      </c>
      <c r="E89" t="s">
        <v>531</v>
      </c>
    </row>
    <row r="90" spans="1:5" x14ac:dyDescent="0.25">
      <c r="A90" t="s">
        <v>203</v>
      </c>
      <c r="B90" t="s">
        <v>275</v>
      </c>
      <c r="C90" t="s">
        <v>148</v>
      </c>
      <c r="E90" t="s">
        <v>590</v>
      </c>
    </row>
    <row r="91" spans="1:5" x14ac:dyDescent="0.25">
      <c r="A91" t="s">
        <v>495</v>
      </c>
      <c r="B91" t="s">
        <v>355</v>
      </c>
      <c r="C91" t="s">
        <v>310</v>
      </c>
      <c r="D91" t="s">
        <v>381</v>
      </c>
      <c r="E91" t="s">
        <v>631</v>
      </c>
    </row>
    <row r="92" spans="1:5" x14ac:dyDescent="0.25">
      <c r="A92" t="s">
        <v>547</v>
      </c>
      <c r="B92" t="s">
        <v>551</v>
      </c>
      <c r="C92" t="s">
        <v>148</v>
      </c>
      <c r="E92" t="s">
        <v>66</v>
      </c>
    </row>
    <row r="93" spans="1:5" x14ac:dyDescent="0.25">
      <c r="A93" t="s">
        <v>603</v>
      </c>
      <c r="B93" t="s">
        <v>355</v>
      </c>
      <c r="C93" t="s">
        <v>310</v>
      </c>
      <c r="E93" t="s">
        <v>477</v>
      </c>
    </row>
    <row r="94" spans="1:5" x14ac:dyDescent="0.25">
      <c r="A94" t="s">
        <v>127</v>
      </c>
      <c r="B94" t="s">
        <v>551</v>
      </c>
      <c r="C94" t="s">
        <v>148</v>
      </c>
      <c r="D94" t="s">
        <v>97</v>
      </c>
      <c r="E94" t="s">
        <v>234</v>
      </c>
    </row>
    <row r="95" spans="1:5" x14ac:dyDescent="0.25">
      <c r="A95" t="s">
        <v>35</v>
      </c>
      <c r="B95" t="s">
        <v>441</v>
      </c>
      <c r="C95" t="s">
        <v>310</v>
      </c>
      <c r="E95" t="s">
        <v>665</v>
      </c>
    </row>
    <row r="96" spans="1:5" x14ac:dyDescent="0.25">
      <c r="A96" t="s">
        <v>483</v>
      </c>
      <c r="B96" t="s">
        <v>551</v>
      </c>
      <c r="C96" t="s">
        <v>310</v>
      </c>
      <c r="E96" t="s">
        <v>322</v>
      </c>
    </row>
    <row r="97" spans="1:5" x14ac:dyDescent="0.25">
      <c r="A97" t="s">
        <v>484</v>
      </c>
      <c r="D97" t="s">
        <v>282</v>
      </c>
      <c r="E97" t="s">
        <v>310</v>
      </c>
    </row>
    <row r="98" spans="1:5" x14ac:dyDescent="0.25">
      <c r="A98" t="s">
        <v>300</v>
      </c>
      <c r="B98" t="s">
        <v>441</v>
      </c>
      <c r="C98" t="s">
        <v>310</v>
      </c>
      <c r="D98" t="s">
        <v>663</v>
      </c>
      <c r="E98" t="s">
        <v>238</v>
      </c>
    </row>
    <row r="99" spans="1:5" x14ac:dyDescent="0.25">
      <c r="A99" t="s">
        <v>56</v>
      </c>
      <c r="B99" t="s">
        <v>551</v>
      </c>
      <c r="C99" t="s">
        <v>330</v>
      </c>
      <c r="D99" t="s">
        <v>154</v>
      </c>
      <c r="E99" t="s">
        <v>501</v>
      </c>
    </row>
    <row r="100" spans="1:5" ht="409.5" x14ac:dyDescent="0.25">
      <c r="A100" t="s">
        <v>143</v>
      </c>
      <c r="D100" s="1" t="s">
        <v>32</v>
      </c>
      <c r="E100" t="s">
        <v>624</v>
      </c>
    </row>
    <row r="101" spans="1:5" x14ac:dyDescent="0.25">
      <c r="A101" t="s">
        <v>574</v>
      </c>
      <c r="B101" t="s">
        <v>355</v>
      </c>
      <c r="C101" t="s">
        <v>310</v>
      </c>
      <c r="D101" t="s">
        <v>119</v>
      </c>
      <c r="E101" t="s">
        <v>473</v>
      </c>
    </row>
    <row r="102" spans="1:5" x14ac:dyDescent="0.25">
      <c r="A102" t="s">
        <v>83</v>
      </c>
      <c r="B102" t="s">
        <v>551</v>
      </c>
      <c r="C102" t="s">
        <v>330</v>
      </c>
      <c r="D102" t="s">
        <v>511</v>
      </c>
      <c r="E102" t="s">
        <v>5</v>
      </c>
    </row>
    <row r="103" spans="1:5" x14ac:dyDescent="0.25">
      <c r="A103" t="s">
        <v>583</v>
      </c>
      <c r="B103" t="s">
        <v>355</v>
      </c>
      <c r="C103" t="s">
        <v>310</v>
      </c>
      <c r="E103" t="s">
        <v>46</v>
      </c>
    </row>
    <row r="104" spans="1:5" x14ac:dyDescent="0.25">
      <c r="A104" t="s">
        <v>132</v>
      </c>
      <c r="D104" t="s">
        <v>333</v>
      </c>
      <c r="E104" t="s">
        <v>650</v>
      </c>
    </row>
    <row r="105" spans="1:5" x14ac:dyDescent="0.25">
      <c r="A105" t="s">
        <v>241</v>
      </c>
      <c r="D105" t="s">
        <v>13</v>
      </c>
      <c r="E105" t="s">
        <v>70</v>
      </c>
    </row>
    <row r="106" spans="1:5" x14ac:dyDescent="0.25">
      <c r="A106" t="s">
        <v>498</v>
      </c>
      <c r="D106" t="s">
        <v>221</v>
      </c>
      <c r="E106" t="s">
        <v>667</v>
      </c>
    </row>
    <row r="107" spans="1:5" x14ac:dyDescent="0.25">
      <c r="A107" t="s">
        <v>1</v>
      </c>
      <c r="D107" t="s">
        <v>404</v>
      </c>
      <c r="E107" t="s">
        <v>455</v>
      </c>
    </row>
    <row r="108" spans="1:5" x14ac:dyDescent="0.25">
      <c r="A108" t="s">
        <v>430</v>
      </c>
      <c r="B108" t="s">
        <v>441</v>
      </c>
      <c r="C108" t="s">
        <v>148</v>
      </c>
      <c r="D108" t="s">
        <v>105</v>
      </c>
      <c r="E108" t="s">
        <v>423</v>
      </c>
    </row>
    <row r="109" spans="1:5" x14ac:dyDescent="0.25">
      <c r="A109" t="s">
        <v>615</v>
      </c>
      <c r="D109" t="s">
        <v>211</v>
      </c>
      <c r="E109" t="s">
        <v>662</v>
      </c>
    </row>
    <row r="110" spans="1:5" x14ac:dyDescent="0.25">
      <c r="A110" t="s">
        <v>104</v>
      </c>
      <c r="B110" t="s">
        <v>355</v>
      </c>
      <c r="C110" t="s">
        <v>310</v>
      </c>
      <c r="D110" t="s">
        <v>563</v>
      </c>
      <c r="E110" t="s">
        <v>265</v>
      </c>
    </row>
    <row r="111" spans="1:5" x14ac:dyDescent="0.25">
      <c r="A111" t="s">
        <v>545</v>
      </c>
      <c r="B111" t="s">
        <v>80</v>
      </c>
      <c r="C111" t="s">
        <v>330</v>
      </c>
      <c r="D111" t="s">
        <v>356</v>
      </c>
      <c r="E111" t="s">
        <v>181</v>
      </c>
    </row>
    <row r="112" spans="1:5" x14ac:dyDescent="0.25">
      <c r="A112" t="s">
        <v>50</v>
      </c>
      <c r="B112" t="s">
        <v>355</v>
      </c>
      <c r="C112" t="s">
        <v>310</v>
      </c>
      <c r="D112" t="s">
        <v>82</v>
      </c>
      <c r="E112" t="s">
        <v>95</v>
      </c>
    </row>
    <row r="113" spans="1:5" ht="409.5" x14ac:dyDescent="0.25">
      <c r="A113" t="s">
        <v>161</v>
      </c>
      <c r="B113" t="s">
        <v>122</v>
      </c>
      <c r="C113" t="s">
        <v>148</v>
      </c>
      <c r="D113" s="1" t="s">
        <v>542</v>
      </c>
      <c r="E113" t="s">
        <v>375</v>
      </c>
    </row>
    <row r="114" spans="1:5" x14ac:dyDescent="0.25">
      <c r="A114" t="s">
        <v>490</v>
      </c>
      <c r="B114" t="s">
        <v>122</v>
      </c>
      <c r="C114" t="s">
        <v>148</v>
      </c>
      <c r="E114" t="s">
        <v>0</v>
      </c>
    </row>
    <row r="115" spans="1:5" x14ac:dyDescent="0.25">
      <c r="A115" t="s">
        <v>133</v>
      </c>
      <c r="B115" t="s">
        <v>355</v>
      </c>
      <c r="C115" t="s">
        <v>310</v>
      </c>
      <c r="E115" t="s">
        <v>25</v>
      </c>
    </row>
    <row r="116" spans="1:5" x14ac:dyDescent="0.25">
      <c r="A116" t="s">
        <v>611</v>
      </c>
      <c r="B116" t="s">
        <v>122</v>
      </c>
      <c r="C116" t="s">
        <v>310</v>
      </c>
      <c r="E116" t="s">
        <v>437</v>
      </c>
    </row>
    <row r="117" spans="1:5" x14ac:dyDescent="0.25">
      <c r="A117" t="s">
        <v>515</v>
      </c>
      <c r="B117" t="s">
        <v>355</v>
      </c>
      <c r="C117" t="s">
        <v>310</v>
      </c>
      <c r="D117" t="s">
        <v>34</v>
      </c>
      <c r="E117" t="s">
        <v>155</v>
      </c>
    </row>
    <row r="118" spans="1:5" x14ac:dyDescent="0.25">
      <c r="A118" t="s">
        <v>639</v>
      </c>
      <c r="B118" t="s">
        <v>551</v>
      </c>
      <c r="C118" t="s">
        <v>148</v>
      </c>
      <c r="E118" t="s">
        <v>116</v>
      </c>
    </row>
    <row r="119" spans="1:5" x14ac:dyDescent="0.25">
      <c r="A119" t="s">
        <v>273</v>
      </c>
      <c r="B119" t="s">
        <v>122</v>
      </c>
      <c r="C119" t="s">
        <v>330</v>
      </c>
      <c r="E119" t="s">
        <v>525</v>
      </c>
    </row>
    <row r="120" spans="1:5" x14ac:dyDescent="0.25">
      <c r="A120" t="s">
        <v>516</v>
      </c>
      <c r="B120" t="s">
        <v>441</v>
      </c>
      <c r="C120" t="s">
        <v>310</v>
      </c>
      <c r="D120" t="s">
        <v>380</v>
      </c>
      <c r="E120" t="s">
        <v>664</v>
      </c>
    </row>
    <row r="121" spans="1:5" x14ac:dyDescent="0.25">
      <c r="A121" t="s">
        <v>253</v>
      </c>
      <c r="B121" t="s">
        <v>355</v>
      </c>
      <c r="C121" t="s">
        <v>148</v>
      </c>
      <c r="E121" t="s">
        <v>74</v>
      </c>
    </row>
    <row r="122" spans="1:5" x14ac:dyDescent="0.25">
      <c r="A122" t="s">
        <v>635</v>
      </c>
      <c r="B122" t="s">
        <v>275</v>
      </c>
      <c r="C122" t="s">
        <v>330</v>
      </c>
      <c r="D122" t="s">
        <v>622</v>
      </c>
      <c r="E122" t="s">
        <v>669</v>
      </c>
    </row>
    <row r="123" spans="1:5" x14ac:dyDescent="0.25">
      <c r="A123" t="s">
        <v>378</v>
      </c>
      <c r="B123" t="s">
        <v>355</v>
      </c>
      <c r="C123" t="s">
        <v>330</v>
      </c>
      <c r="E123" t="s">
        <v>421</v>
      </c>
    </row>
    <row r="124" spans="1:5" x14ac:dyDescent="0.25">
      <c r="A124" t="s">
        <v>645</v>
      </c>
      <c r="B124" t="s">
        <v>441</v>
      </c>
      <c r="C124" t="s">
        <v>330</v>
      </c>
      <c r="D124" t="s">
        <v>204</v>
      </c>
      <c r="E124" t="s">
        <v>614</v>
      </c>
    </row>
    <row r="125" spans="1:5" x14ac:dyDescent="0.25">
      <c r="A125" t="s">
        <v>478</v>
      </c>
      <c r="B125" t="s">
        <v>441</v>
      </c>
      <c r="C125" t="s">
        <v>330</v>
      </c>
      <c r="E125" t="s">
        <v>581</v>
      </c>
    </row>
    <row r="126" spans="1:5" x14ac:dyDescent="0.25">
      <c r="A126" t="s">
        <v>348</v>
      </c>
      <c r="B126" t="s">
        <v>551</v>
      </c>
      <c r="C126" t="s">
        <v>310</v>
      </c>
      <c r="E126" t="s">
        <v>150</v>
      </c>
    </row>
    <row r="127" spans="1:5" x14ac:dyDescent="0.25">
      <c r="A127" t="s">
        <v>607</v>
      </c>
      <c r="B127" t="s">
        <v>441</v>
      </c>
      <c r="C127" t="s">
        <v>310</v>
      </c>
      <c r="E127" t="s">
        <v>172</v>
      </c>
    </row>
    <row r="128" spans="1:5" x14ac:dyDescent="0.25">
      <c r="A128" t="s">
        <v>461</v>
      </c>
      <c r="B128" t="s">
        <v>122</v>
      </c>
      <c r="C128" t="s">
        <v>310</v>
      </c>
      <c r="E128" t="s">
        <v>657</v>
      </c>
    </row>
    <row r="129" spans="1:5" x14ac:dyDescent="0.25">
      <c r="A129" t="s">
        <v>474</v>
      </c>
      <c r="E129" t="s">
        <v>248</v>
      </c>
    </row>
    <row r="130" spans="1:5" x14ac:dyDescent="0.25">
      <c r="A130" t="s">
        <v>212</v>
      </c>
      <c r="B130" t="s">
        <v>441</v>
      </c>
      <c r="C130" t="s">
        <v>330</v>
      </c>
      <c r="D130" t="s">
        <v>210</v>
      </c>
      <c r="E130" t="s">
        <v>524</v>
      </c>
    </row>
    <row r="131" spans="1:5" x14ac:dyDescent="0.25">
      <c r="A131" t="s">
        <v>230</v>
      </c>
      <c r="B131" t="s">
        <v>122</v>
      </c>
      <c r="C131" t="s">
        <v>330</v>
      </c>
      <c r="D131" t="s">
        <v>616</v>
      </c>
      <c r="E131" t="s">
        <v>400</v>
      </c>
    </row>
    <row r="132" spans="1:5" x14ac:dyDescent="0.25">
      <c r="A132" t="s">
        <v>602</v>
      </c>
      <c r="B132" t="s">
        <v>275</v>
      </c>
      <c r="C132" t="s">
        <v>593</v>
      </c>
      <c r="D132" t="s">
        <v>179</v>
      </c>
      <c r="E132" t="s">
        <v>215</v>
      </c>
    </row>
    <row r="133" spans="1:5" x14ac:dyDescent="0.25">
      <c r="A133" t="s">
        <v>606</v>
      </c>
      <c r="B133" t="s">
        <v>122</v>
      </c>
      <c r="C133" t="s">
        <v>148</v>
      </c>
      <c r="E133" t="s">
        <v>504</v>
      </c>
    </row>
    <row r="134" spans="1:5" x14ac:dyDescent="0.25">
      <c r="A134" t="s">
        <v>339</v>
      </c>
      <c r="B134" t="s">
        <v>551</v>
      </c>
      <c r="C134" t="s">
        <v>148</v>
      </c>
      <c r="E134" t="s">
        <v>467</v>
      </c>
    </row>
    <row r="135" spans="1:5" x14ac:dyDescent="0.25">
      <c r="A135" t="s">
        <v>158</v>
      </c>
      <c r="E135" t="s">
        <v>551</v>
      </c>
    </row>
    <row r="136" spans="1:5" x14ac:dyDescent="0.25">
      <c r="A136" t="s">
        <v>537</v>
      </c>
      <c r="E136" t="s">
        <v>245</v>
      </c>
    </row>
    <row r="137" spans="1:5" x14ac:dyDescent="0.25">
      <c r="A137" t="s">
        <v>60</v>
      </c>
      <c r="D137" t="s">
        <v>514</v>
      </c>
      <c r="E137" t="s">
        <v>593</v>
      </c>
    </row>
    <row r="138" spans="1:5" x14ac:dyDescent="0.25">
      <c r="A138" t="s">
        <v>313</v>
      </c>
      <c r="B138" t="s">
        <v>355</v>
      </c>
      <c r="C138" t="s">
        <v>310</v>
      </c>
      <c r="E138" t="s">
        <v>562</v>
      </c>
    </row>
    <row r="139" spans="1:5" x14ac:dyDescent="0.25">
      <c r="A139" t="s">
        <v>627</v>
      </c>
      <c r="B139" t="s">
        <v>80</v>
      </c>
      <c r="C139" t="s">
        <v>330</v>
      </c>
      <c r="E139" t="s">
        <v>3</v>
      </c>
    </row>
    <row r="140" spans="1:5" x14ac:dyDescent="0.25">
      <c r="A140" t="s">
        <v>194</v>
      </c>
      <c r="D140" t="s">
        <v>96</v>
      </c>
      <c r="E140" t="s">
        <v>330</v>
      </c>
    </row>
    <row r="141" spans="1:5" x14ac:dyDescent="0.25">
      <c r="A141" t="s">
        <v>268</v>
      </c>
      <c r="D141" t="s">
        <v>573</v>
      </c>
      <c r="E141" t="s">
        <v>290</v>
      </c>
    </row>
    <row r="142" spans="1:5" x14ac:dyDescent="0.25">
      <c r="A142" t="s">
        <v>226</v>
      </c>
      <c r="B142" t="s">
        <v>275</v>
      </c>
      <c r="C142" t="s">
        <v>330</v>
      </c>
      <c r="D142" t="s">
        <v>380</v>
      </c>
      <c r="E142" t="s">
        <v>454</v>
      </c>
    </row>
    <row r="143" spans="1:5" x14ac:dyDescent="0.25">
      <c r="A143" t="s">
        <v>655</v>
      </c>
      <c r="D143" t="s">
        <v>647</v>
      </c>
      <c r="E143" t="s">
        <v>371</v>
      </c>
    </row>
    <row r="144" spans="1:5" x14ac:dyDescent="0.25">
      <c r="A144" t="s">
        <v>102</v>
      </c>
      <c r="B144" t="s">
        <v>355</v>
      </c>
      <c r="C144" t="s">
        <v>310</v>
      </c>
      <c r="D144" t="s">
        <v>286</v>
      </c>
      <c r="E144" t="s">
        <v>379</v>
      </c>
    </row>
    <row r="145" spans="1:5" x14ac:dyDescent="0.25">
      <c r="A145" t="s">
        <v>496</v>
      </c>
      <c r="B145" t="s">
        <v>355</v>
      </c>
      <c r="C145" t="s">
        <v>310</v>
      </c>
      <c r="D145" t="s">
        <v>325</v>
      </c>
      <c r="E145" t="s">
        <v>263</v>
      </c>
    </row>
    <row r="146" spans="1:5" x14ac:dyDescent="0.25">
      <c r="A146" t="s">
        <v>422</v>
      </c>
      <c r="B146" t="s">
        <v>355</v>
      </c>
      <c r="C146" t="s">
        <v>310</v>
      </c>
      <c r="D146" t="s">
        <v>306</v>
      </c>
      <c r="E146" t="s">
        <v>240</v>
      </c>
    </row>
    <row r="147" spans="1:5" x14ac:dyDescent="0.25">
      <c r="A147" t="s">
        <v>269</v>
      </c>
      <c r="B147" t="s">
        <v>441</v>
      </c>
      <c r="C147" t="s">
        <v>310</v>
      </c>
      <c r="D147" t="s">
        <v>64</v>
      </c>
      <c r="E147" t="s">
        <v>529</v>
      </c>
    </row>
    <row r="148" spans="1:5" x14ac:dyDescent="0.25">
      <c r="A148" t="s">
        <v>426</v>
      </c>
      <c r="B148" t="s">
        <v>551</v>
      </c>
      <c r="C148" t="s">
        <v>310</v>
      </c>
      <c r="E148" t="s">
        <v>360</v>
      </c>
    </row>
    <row r="149" spans="1:5" x14ac:dyDescent="0.25">
      <c r="A149" t="s">
        <v>178</v>
      </c>
      <c r="B149" t="s">
        <v>122</v>
      </c>
      <c r="C149" t="s">
        <v>330</v>
      </c>
      <c r="E149" t="s">
        <v>31</v>
      </c>
    </row>
    <row r="150" spans="1:5" x14ac:dyDescent="0.25">
      <c r="A150" t="s">
        <v>6</v>
      </c>
      <c r="B150" t="s">
        <v>355</v>
      </c>
      <c r="C150" t="s">
        <v>310</v>
      </c>
      <c r="E150" t="s">
        <v>368</v>
      </c>
    </row>
    <row r="151" spans="1:5" x14ac:dyDescent="0.25">
      <c r="A151" t="s">
        <v>78</v>
      </c>
      <c r="B151" t="s">
        <v>355</v>
      </c>
      <c r="C151" t="s">
        <v>148</v>
      </c>
      <c r="D151" t="s">
        <v>342</v>
      </c>
      <c r="E151" t="s">
        <v>435</v>
      </c>
    </row>
    <row r="152" spans="1:5" x14ac:dyDescent="0.25">
      <c r="A152" t="s">
        <v>16</v>
      </c>
      <c r="B152" t="s">
        <v>275</v>
      </c>
      <c r="C152" t="s">
        <v>593</v>
      </c>
      <c r="E152" t="s">
        <v>382</v>
      </c>
    </row>
    <row r="153" spans="1:5" x14ac:dyDescent="0.25">
      <c r="A153" t="s">
        <v>86</v>
      </c>
      <c r="B153" t="s">
        <v>80</v>
      </c>
      <c r="C153" t="s">
        <v>148</v>
      </c>
      <c r="E153" t="s">
        <v>197</v>
      </c>
    </row>
    <row r="154" spans="1:5" x14ac:dyDescent="0.25">
      <c r="A154" t="s">
        <v>146</v>
      </c>
      <c r="D154" t="s">
        <v>255</v>
      </c>
      <c r="E154" t="s">
        <v>122</v>
      </c>
    </row>
    <row r="155" spans="1:5" x14ac:dyDescent="0.25">
      <c r="A155" t="s">
        <v>272</v>
      </c>
      <c r="B155" t="s">
        <v>551</v>
      </c>
      <c r="C155" t="s">
        <v>148</v>
      </c>
      <c r="E155" t="s">
        <v>213</v>
      </c>
    </row>
    <row r="156" spans="1:5" x14ac:dyDescent="0.25">
      <c r="A156" t="s">
        <v>585</v>
      </c>
      <c r="B156" t="s">
        <v>441</v>
      </c>
      <c r="C156" t="s">
        <v>148</v>
      </c>
      <c r="D156" t="s">
        <v>244</v>
      </c>
      <c r="E156" t="s">
        <v>643</v>
      </c>
    </row>
    <row r="157" spans="1:5" x14ac:dyDescent="0.25">
      <c r="A157" t="s">
        <v>548</v>
      </c>
      <c r="D157" t="s">
        <v>323</v>
      </c>
      <c r="E157" t="s">
        <v>411</v>
      </c>
    </row>
    <row r="158" spans="1:5" x14ac:dyDescent="0.25">
      <c r="A158" t="s">
        <v>597</v>
      </c>
      <c r="B158" t="s">
        <v>355</v>
      </c>
      <c r="C158" t="s">
        <v>148</v>
      </c>
      <c r="E158" t="s">
        <v>112</v>
      </c>
    </row>
    <row r="159" spans="1:5" x14ac:dyDescent="0.25">
      <c r="A159" t="s">
        <v>559</v>
      </c>
      <c r="B159" t="s">
        <v>275</v>
      </c>
      <c r="C159" t="s">
        <v>593</v>
      </c>
      <c r="E159" t="s">
        <v>314</v>
      </c>
    </row>
    <row r="160" spans="1:5" x14ac:dyDescent="0.25">
      <c r="A160" t="s">
        <v>107</v>
      </c>
      <c r="B160" t="s">
        <v>122</v>
      </c>
      <c r="C160" t="s">
        <v>310</v>
      </c>
      <c r="D160" t="s">
        <v>192</v>
      </c>
      <c r="E160" t="s">
        <v>361</v>
      </c>
    </row>
    <row r="161" spans="1:5" ht="409.5" x14ac:dyDescent="0.25">
      <c r="A161" t="s">
        <v>59</v>
      </c>
      <c r="B161" t="s">
        <v>441</v>
      </c>
      <c r="C161" t="s">
        <v>330</v>
      </c>
      <c r="D161" s="1" t="s">
        <v>21</v>
      </c>
      <c r="E161" t="s">
        <v>387</v>
      </c>
    </row>
    <row r="162" spans="1:5" x14ac:dyDescent="0.25">
      <c r="A162" t="s">
        <v>502</v>
      </c>
      <c r="E162" t="s">
        <v>88</v>
      </c>
    </row>
    <row r="163" spans="1:5" x14ac:dyDescent="0.25">
      <c r="A163" t="s">
        <v>176</v>
      </c>
      <c r="B163" t="s">
        <v>355</v>
      </c>
      <c r="C163" t="s">
        <v>148</v>
      </c>
      <c r="D163" t="s">
        <v>185</v>
      </c>
      <c r="E163" t="s">
        <v>366</v>
      </c>
    </row>
    <row r="164" spans="1:5" x14ac:dyDescent="0.25">
      <c r="A164" t="s">
        <v>432</v>
      </c>
      <c r="B164" t="s">
        <v>441</v>
      </c>
      <c r="C164" t="s">
        <v>148</v>
      </c>
      <c r="D164" t="s">
        <v>67</v>
      </c>
      <c r="E164" t="s">
        <v>359</v>
      </c>
    </row>
    <row r="165" spans="1:5" x14ac:dyDescent="0.25">
      <c r="A165" t="s">
        <v>560</v>
      </c>
      <c r="B165" t="s">
        <v>441</v>
      </c>
      <c r="C165" t="s">
        <v>310</v>
      </c>
      <c r="E165" t="s">
        <v>163</v>
      </c>
    </row>
    <row r="166" spans="1:5" x14ac:dyDescent="0.25">
      <c r="A166" t="s">
        <v>128</v>
      </c>
      <c r="B166" t="s">
        <v>275</v>
      </c>
      <c r="C166" t="s">
        <v>593</v>
      </c>
      <c r="E166" t="s">
        <v>553</v>
      </c>
    </row>
    <row r="167" spans="1:5" x14ac:dyDescent="0.25">
      <c r="A167" t="s">
        <v>374</v>
      </c>
      <c r="B167" t="s">
        <v>275</v>
      </c>
      <c r="C167" t="s">
        <v>330</v>
      </c>
      <c r="D167" t="s">
        <v>485</v>
      </c>
      <c r="E167" t="s">
        <v>51</v>
      </c>
    </row>
    <row r="168" spans="1:5" x14ac:dyDescent="0.25">
      <c r="A168" t="s">
        <v>383</v>
      </c>
      <c r="B168" t="s">
        <v>275</v>
      </c>
      <c r="C168" t="s">
        <v>148</v>
      </c>
      <c r="E168" t="s">
        <v>45</v>
      </c>
    </row>
    <row r="169" spans="1:5" x14ac:dyDescent="0.25">
      <c r="A169" t="s">
        <v>214</v>
      </c>
      <c r="B169" t="s">
        <v>275</v>
      </c>
      <c r="C169" t="s">
        <v>593</v>
      </c>
      <c r="E169" t="s">
        <v>494</v>
      </c>
    </row>
    <row r="170" spans="1:5" x14ac:dyDescent="0.25">
      <c r="A170" t="s">
        <v>536</v>
      </c>
      <c r="B170" t="s">
        <v>441</v>
      </c>
      <c r="C170" t="s">
        <v>148</v>
      </c>
      <c r="E170" t="s">
        <v>405</v>
      </c>
    </row>
    <row r="171" spans="1:5" x14ac:dyDescent="0.25">
      <c r="A171" t="s">
        <v>604</v>
      </c>
      <c r="D171" t="s">
        <v>219</v>
      </c>
      <c r="E171" t="s">
        <v>196</v>
      </c>
    </row>
    <row r="172" spans="1:5" x14ac:dyDescent="0.25">
      <c r="A172" t="s">
        <v>235</v>
      </c>
      <c r="B172" t="s">
        <v>275</v>
      </c>
      <c r="C172" t="s">
        <v>148</v>
      </c>
      <c r="D172" t="s">
        <v>380</v>
      </c>
      <c r="E172" t="s">
        <v>140</v>
      </c>
    </row>
    <row r="173" spans="1:5" x14ac:dyDescent="0.25">
      <c r="A173" t="s">
        <v>173</v>
      </c>
      <c r="B173" t="s">
        <v>441</v>
      </c>
      <c r="C173" t="s">
        <v>310</v>
      </c>
      <c r="E173" t="s">
        <v>656</v>
      </c>
    </row>
    <row r="174" spans="1:5" x14ac:dyDescent="0.25">
      <c r="A174" t="s">
        <v>129</v>
      </c>
      <c r="B174" t="s">
        <v>275</v>
      </c>
      <c r="C174" t="s">
        <v>593</v>
      </c>
      <c r="E174" t="s">
        <v>160</v>
      </c>
    </row>
    <row r="175" spans="1:5" x14ac:dyDescent="0.25">
      <c r="A175" t="s">
        <v>625</v>
      </c>
      <c r="B175" t="s">
        <v>275</v>
      </c>
      <c r="C175" t="s">
        <v>330</v>
      </c>
      <c r="D175" t="s">
        <v>408</v>
      </c>
      <c r="E175" t="s">
        <v>266</v>
      </c>
    </row>
    <row r="176" spans="1:5" x14ac:dyDescent="0.25">
      <c r="A176" t="s">
        <v>190</v>
      </c>
      <c r="B176" t="s">
        <v>551</v>
      </c>
      <c r="C176" t="s">
        <v>330</v>
      </c>
      <c r="D176" t="s">
        <v>43</v>
      </c>
      <c r="E176" t="s">
        <v>550</v>
      </c>
    </row>
    <row r="177" spans="1:5" x14ac:dyDescent="0.25">
      <c r="A177" t="s">
        <v>469</v>
      </c>
      <c r="B177" t="s">
        <v>355</v>
      </c>
      <c r="C177" t="s">
        <v>310</v>
      </c>
      <c r="D177" t="s">
        <v>486</v>
      </c>
      <c r="E177" t="s">
        <v>14</v>
      </c>
    </row>
    <row r="178" spans="1:5" x14ac:dyDescent="0.25">
      <c r="A178" t="s">
        <v>546</v>
      </c>
      <c r="B178" t="s">
        <v>355</v>
      </c>
      <c r="C178" t="s">
        <v>310</v>
      </c>
      <c r="E178" t="s">
        <v>619</v>
      </c>
    </row>
    <row r="179" spans="1:5" x14ac:dyDescent="0.25">
      <c r="A179" t="s">
        <v>654</v>
      </c>
      <c r="B179" t="s">
        <v>80</v>
      </c>
      <c r="C179" t="s">
        <v>330</v>
      </c>
      <c r="D179" t="s">
        <v>68</v>
      </c>
      <c r="E179" t="s">
        <v>186</v>
      </c>
    </row>
    <row r="180" spans="1:5" x14ac:dyDescent="0.25">
      <c r="A180" t="s">
        <v>236</v>
      </c>
      <c r="B180" t="s">
        <v>441</v>
      </c>
      <c r="C180" t="s">
        <v>310</v>
      </c>
      <c r="D180" t="s">
        <v>239</v>
      </c>
      <c r="E180" t="s">
        <v>94</v>
      </c>
    </row>
    <row r="181" spans="1:5" x14ac:dyDescent="0.25">
      <c r="A181" t="s">
        <v>257</v>
      </c>
      <c r="B181" t="s">
        <v>441</v>
      </c>
      <c r="C181" t="s">
        <v>310</v>
      </c>
      <c r="D181" t="s">
        <v>380</v>
      </c>
      <c r="E181" t="s">
        <v>510</v>
      </c>
    </row>
    <row r="182" spans="1:5" x14ac:dyDescent="0.25">
      <c r="A182" t="s">
        <v>596</v>
      </c>
      <c r="E182" t="s">
        <v>302</v>
      </c>
    </row>
    <row r="183" spans="1:5" x14ac:dyDescent="0.25">
      <c r="A183" t="s">
        <v>517</v>
      </c>
      <c r="B183" t="s">
        <v>122</v>
      </c>
      <c r="C183" t="s">
        <v>310</v>
      </c>
      <c r="E183" t="s">
        <v>636</v>
      </c>
    </row>
    <row r="184" spans="1:5" x14ac:dyDescent="0.25">
      <c r="A184" t="s">
        <v>376</v>
      </c>
      <c r="D184" t="s">
        <v>617</v>
      </c>
      <c r="E184" t="s">
        <v>634</v>
      </c>
    </row>
    <row r="185" spans="1:5" x14ac:dyDescent="0.25">
      <c r="A185" t="s">
        <v>123</v>
      </c>
      <c r="B185" t="s">
        <v>80</v>
      </c>
      <c r="C185" t="s">
        <v>330</v>
      </c>
      <c r="D185" t="s">
        <v>239</v>
      </c>
      <c r="E185" t="s">
        <v>670</v>
      </c>
    </row>
    <row r="186" spans="1:5" x14ac:dyDescent="0.25">
      <c r="A186" t="s">
        <v>416</v>
      </c>
      <c r="B186" t="s">
        <v>551</v>
      </c>
      <c r="C186" t="s">
        <v>310</v>
      </c>
      <c r="E186" t="s">
        <v>492</v>
      </c>
    </row>
    <row r="187" spans="1:5" x14ac:dyDescent="0.25">
      <c r="A187" t="s">
        <v>258</v>
      </c>
      <c r="B187" t="s">
        <v>551</v>
      </c>
      <c r="C187" t="s">
        <v>148</v>
      </c>
      <c r="D187" t="s">
        <v>659</v>
      </c>
      <c r="E187" t="s">
        <v>447</v>
      </c>
    </row>
    <row r="188" spans="1:5" x14ac:dyDescent="0.25">
      <c r="A188" t="s">
        <v>530</v>
      </c>
      <c r="B188" t="s">
        <v>441</v>
      </c>
      <c r="C188" t="s">
        <v>330</v>
      </c>
      <c r="E188" t="s">
        <v>246</v>
      </c>
    </row>
    <row r="189" spans="1:5" x14ac:dyDescent="0.25">
      <c r="A189" t="s">
        <v>340</v>
      </c>
      <c r="B189" t="s">
        <v>441</v>
      </c>
      <c r="C189" t="s">
        <v>310</v>
      </c>
      <c r="D189" t="s">
        <v>244</v>
      </c>
      <c r="E189" t="s">
        <v>618</v>
      </c>
    </row>
    <row r="190" spans="1:5" x14ac:dyDescent="0.25">
      <c r="A190" t="s">
        <v>228</v>
      </c>
      <c r="B190" t="s">
        <v>441</v>
      </c>
      <c r="C190" t="s">
        <v>330</v>
      </c>
      <c r="E190" t="s">
        <v>407</v>
      </c>
    </row>
    <row r="191" spans="1:5" x14ac:dyDescent="0.25">
      <c r="A191" t="s">
        <v>37</v>
      </c>
      <c r="B191" t="s">
        <v>355</v>
      </c>
      <c r="C191" t="s">
        <v>310</v>
      </c>
      <c r="E191" t="s">
        <v>65</v>
      </c>
    </row>
    <row r="192" spans="1:5" x14ac:dyDescent="0.25">
      <c r="A192" t="s">
        <v>256</v>
      </c>
      <c r="D192" t="s">
        <v>4</v>
      </c>
      <c r="E192" t="s">
        <v>205</v>
      </c>
    </row>
    <row r="193" spans="1:5" x14ac:dyDescent="0.25">
      <c r="A193" t="s">
        <v>626</v>
      </c>
      <c r="B193" t="s">
        <v>551</v>
      </c>
      <c r="C193" t="s">
        <v>310</v>
      </c>
      <c r="D193" t="s">
        <v>554</v>
      </c>
      <c r="E193" t="s">
        <v>508</v>
      </c>
    </row>
    <row r="194" spans="1:5" x14ac:dyDescent="0.25">
      <c r="A194" t="s">
        <v>52</v>
      </c>
      <c r="B194" t="s">
        <v>441</v>
      </c>
      <c r="C194" t="s">
        <v>593</v>
      </c>
      <c r="E194" t="s">
        <v>476</v>
      </c>
    </row>
    <row r="195" spans="1:5" x14ac:dyDescent="0.25">
      <c r="A195" t="s">
        <v>170</v>
      </c>
      <c r="B195" t="s">
        <v>355</v>
      </c>
      <c r="C195" t="s">
        <v>310</v>
      </c>
      <c r="D195" t="s">
        <v>406</v>
      </c>
      <c r="E195" t="s">
        <v>388</v>
      </c>
    </row>
    <row r="196" spans="1:5" x14ac:dyDescent="0.25">
      <c r="A196" t="s">
        <v>62</v>
      </c>
      <c r="B196" t="s">
        <v>551</v>
      </c>
      <c r="C196" t="s">
        <v>148</v>
      </c>
      <c r="D196" t="s">
        <v>555</v>
      </c>
      <c r="E196" t="s">
        <v>445</v>
      </c>
    </row>
    <row r="197" spans="1:5" x14ac:dyDescent="0.25">
      <c r="A197" t="s">
        <v>175</v>
      </c>
      <c r="B197" t="s">
        <v>122</v>
      </c>
      <c r="C197" t="s">
        <v>330</v>
      </c>
      <c r="D197" t="s">
        <v>179</v>
      </c>
      <c r="E197" t="s">
        <v>77</v>
      </c>
    </row>
    <row r="198" spans="1:5" x14ac:dyDescent="0.25">
      <c r="A198" t="s">
        <v>182</v>
      </c>
      <c r="D198" t="s">
        <v>98</v>
      </c>
      <c r="E198" t="s">
        <v>120</v>
      </c>
    </row>
    <row r="199" spans="1:5" x14ac:dyDescent="0.25">
      <c r="A199" t="s">
        <v>243</v>
      </c>
      <c r="D199" t="s">
        <v>259</v>
      </c>
      <c r="E199" t="s">
        <v>540</v>
      </c>
    </row>
    <row r="200" spans="1:5" x14ac:dyDescent="0.25">
      <c r="A200" t="s">
        <v>528</v>
      </c>
      <c r="B200" t="s">
        <v>441</v>
      </c>
      <c r="C200" t="s">
        <v>310</v>
      </c>
      <c r="E200" t="s">
        <v>321</v>
      </c>
    </row>
    <row r="201" spans="1:5" x14ac:dyDescent="0.25">
      <c r="A201" t="s">
        <v>22</v>
      </c>
      <c r="B201" t="s">
        <v>122</v>
      </c>
      <c r="C201" t="s">
        <v>310</v>
      </c>
      <c r="E201" t="s">
        <v>561</v>
      </c>
    </row>
    <row r="202" spans="1:5" x14ac:dyDescent="0.25">
      <c r="A202" t="s">
        <v>293</v>
      </c>
      <c r="B202" t="s">
        <v>355</v>
      </c>
      <c r="C202" t="s">
        <v>310</v>
      </c>
      <c r="D202" t="s">
        <v>646</v>
      </c>
      <c r="E202" t="s">
        <v>503</v>
      </c>
    </row>
    <row r="203" spans="1:5" x14ac:dyDescent="0.25">
      <c r="A203" t="s">
        <v>312</v>
      </c>
      <c r="B203" t="s">
        <v>355</v>
      </c>
      <c r="C203" t="s">
        <v>310</v>
      </c>
      <c r="E203" t="s">
        <v>2</v>
      </c>
    </row>
    <row r="204" spans="1:5" x14ac:dyDescent="0.25">
      <c r="A204" t="s">
        <v>84</v>
      </c>
      <c r="B204" t="s">
        <v>275</v>
      </c>
      <c r="C204" t="s">
        <v>593</v>
      </c>
      <c r="E204" t="s">
        <v>237</v>
      </c>
    </row>
    <row r="205" spans="1:5" x14ac:dyDescent="0.25">
      <c r="A205" t="s">
        <v>115</v>
      </c>
      <c r="E205" t="s">
        <v>80</v>
      </c>
    </row>
    <row r="206" spans="1:5" x14ac:dyDescent="0.25">
      <c r="A206" t="s">
        <v>216</v>
      </c>
      <c r="B206" t="s">
        <v>122</v>
      </c>
      <c r="C206" t="s">
        <v>310</v>
      </c>
      <c r="E206" t="s">
        <v>431</v>
      </c>
    </row>
    <row r="207" spans="1:5" x14ac:dyDescent="0.25">
      <c r="A207" t="s">
        <v>417</v>
      </c>
      <c r="B207" t="s">
        <v>275</v>
      </c>
      <c r="C207" t="s">
        <v>593</v>
      </c>
      <c r="D207" t="s">
        <v>393</v>
      </c>
      <c r="E207" t="s">
        <v>201</v>
      </c>
    </row>
    <row r="208" spans="1:5" x14ac:dyDescent="0.25">
      <c r="A208" t="s">
        <v>509</v>
      </c>
      <c r="B208" t="s">
        <v>275</v>
      </c>
      <c r="C208" t="s">
        <v>330</v>
      </c>
      <c r="E208" t="s">
        <v>29</v>
      </c>
    </row>
    <row r="209" spans="1:5" x14ac:dyDescent="0.25">
      <c r="A209" t="s">
        <v>73</v>
      </c>
      <c r="B209" t="s">
        <v>441</v>
      </c>
      <c r="C209" t="s">
        <v>310</v>
      </c>
      <c r="D209" t="s">
        <v>380</v>
      </c>
      <c r="E209" t="s">
        <v>460</v>
      </c>
    </row>
    <row r="210" spans="1:5" x14ac:dyDescent="0.25">
      <c r="A210" t="s">
        <v>278</v>
      </c>
      <c r="B210" t="s">
        <v>441</v>
      </c>
      <c r="C210" t="s">
        <v>330</v>
      </c>
      <c r="E210" t="s">
        <v>91</v>
      </c>
    </row>
    <row r="211" spans="1:5" x14ac:dyDescent="0.25">
      <c r="A211" t="s">
        <v>588</v>
      </c>
      <c r="B211" t="s">
        <v>275</v>
      </c>
      <c r="C211" t="s">
        <v>593</v>
      </c>
      <c r="E211" t="s">
        <v>640</v>
      </c>
    </row>
    <row r="212" spans="1:5" x14ac:dyDescent="0.25">
      <c r="A212" t="s">
        <v>85</v>
      </c>
      <c r="B212" t="s">
        <v>551</v>
      </c>
      <c r="C212" t="s">
        <v>148</v>
      </c>
      <c r="E212" t="s">
        <v>523</v>
      </c>
    </row>
    <row r="213" spans="1:5" x14ac:dyDescent="0.25">
      <c r="A213" t="s">
        <v>471</v>
      </c>
      <c r="B213" t="s">
        <v>355</v>
      </c>
      <c r="C213" t="s">
        <v>310</v>
      </c>
      <c r="E213" t="s">
        <v>410</v>
      </c>
    </row>
    <row r="214" spans="1:5" x14ac:dyDescent="0.25">
      <c r="A214" t="s">
        <v>28</v>
      </c>
      <c r="B214" t="s">
        <v>275</v>
      </c>
      <c r="C214" t="s">
        <v>593</v>
      </c>
      <c r="D214" t="s">
        <v>666</v>
      </c>
      <c r="E214" t="s">
        <v>488</v>
      </c>
    </row>
    <row r="215" spans="1:5" x14ac:dyDescent="0.25">
      <c r="A215" t="s">
        <v>399</v>
      </c>
      <c r="B215" t="s">
        <v>355</v>
      </c>
      <c r="C215" t="s">
        <v>148</v>
      </c>
      <c r="D215" t="s">
        <v>489</v>
      </c>
      <c r="E215" t="s">
        <v>283</v>
      </c>
    </row>
    <row r="216" spans="1:5" x14ac:dyDescent="0.25">
      <c r="A216" t="s">
        <v>412</v>
      </c>
      <c r="E216" t="s">
        <v>53</v>
      </c>
    </row>
    <row r="217" spans="1:5" x14ac:dyDescent="0.25">
      <c r="A217" t="s">
        <v>55</v>
      </c>
      <c r="B217" t="s">
        <v>275</v>
      </c>
      <c r="C217" t="s">
        <v>593</v>
      </c>
      <c r="D217" t="s">
        <v>239</v>
      </c>
      <c r="E217" t="s">
        <v>249</v>
      </c>
    </row>
    <row r="218" spans="1:5" x14ac:dyDescent="0.25">
      <c r="A218" t="s">
        <v>165</v>
      </c>
      <c r="D218" t="s">
        <v>338</v>
      </c>
      <c r="E218" t="s">
        <v>275</v>
      </c>
    </row>
    <row r="219" spans="1:5" x14ac:dyDescent="0.25">
      <c r="A219" t="s">
        <v>171</v>
      </c>
      <c r="D219" t="s">
        <v>101</v>
      </c>
      <c r="E219" t="s">
        <v>38</v>
      </c>
    </row>
    <row r="220" spans="1:5" x14ac:dyDescent="0.25">
      <c r="A220" t="s">
        <v>402</v>
      </c>
      <c r="B220" t="s">
        <v>275</v>
      </c>
      <c r="C220" t="s">
        <v>330</v>
      </c>
      <c r="D220" t="s">
        <v>549</v>
      </c>
      <c r="E220" t="s">
        <v>385</v>
      </c>
    </row>
    <row r="221" spans="1:5" x14ac:dyDescent="0.25">
      <c r="A221" t="s">
        <v>58</v>
      </c>
      <c r="B221" t="s">
        <v>551</v>
      </c>
      <c r="C221" t="s">
        <v>148</v>
      </c>
      <c r="D221" t="s">
        <v>147</v>
      </c>
      <c r="E221" t="s">
        <v>464</v>
      </c>
    </row>
    <row r="222" spans="1:5" x14ac:dyDescent="0.25">
      <c r="A222" t="s">
        <v>136</v>
      </c>
      <c r="B222" t="s">
        <v>355</v>
      </c>
      <c r="C222" t="s">
        <v>310</v>
      </c>
      <c r="D222" t="s">
        <v>571</v>
      </c>
      <c r="E222" t="s">
        <v>343</v>
      </c>
    </row>
    <row r="223" spans="1:5" x14ac:dyDescent="0.25">
      <c r="A223" t="s">
        <v>294</v>
      </c>
      <c r="B223" t="s">
        <v>355</v>
      </c>
      <c r="C223" t="s">
        <v>310</v>
      </c>
      <c r="D223" t="s">
        <v>384</v>
      </c>
      <c r="E223" t="s">
        <v>334</v>
      </c>
    </row>
    <row r="224" spans="1:5" x14ac:dyDescent="0.25">
      <c r="A224" t="s">
        <v>252</v>
      </c>
      <c r="B224" t="s">
        <v>355</v>
      </c>
      <c r="C224" t="s">
        <v>310</v>
      </c>
      <c r="D224" t="s">
        <v>622</v>
      </c>
      <c r="E224" t="s">
        <v>63</v>
      </c>
    </row>
    <row r="225" spans="1:5" x14ac:dyDescent="0.25">
      <c r="A225" t="s">
        <v>126</v>
      </c>
      <c r="B225" t="s">
        <v>275</v>
      </c>
      <c r="C225" t="s">
        <v>330</v>
      </c>
      <c r="D225" t="s">
        <v>297</v>
      </c>
      <c r="E225" t="s">
        <v>599</v>
      </c>
    </row>
    <row r="226" spans="1:5" x14ac:dyDescent="0.25">
      <c r="A226" t="s">
        <v>373</v>
      </c>
      <c r="B226" t="s">
        <v>551</v>
      </c>
      <c r="C226" t="s">
        <v>310</v>
      </c>
      <c r="E226" t="s">
        <v>327</v>
      </c>
    </row>
    <row r="227" spans="1:5" x14ac:dyDescent="0.25">
      <c r="A227" t="s">
        <v>139</v>
      </c>
      <c r="B227" t="s">
        <v>275</v>
      </c>
      <c r="C227" t="s">
        <v>310</v>
      </c>
      <c r="E227" t="s">
        <v>456</v>
      </c>
    </row>
    <row r="228" spans="1:5" x14ac:dyDescent="0.25">
      <c r="A228" t="s">
        <v>193</v>
      </c>
      <c r="B228" t="s">
        <v>122</v>
      </c>
      <c r="C228" t="s">
        <v>593</v>
      </c>
      <c r="D228" t="s">
        <v>621</v>
      </c>
      <c r="E228" t="s">
        <v>159</v>
      </c>
    </row>
    <row r="229" spans="1:5" x14ac:dyDescent="0.25">
      <c r="A229" t="s">
        <v>202</v>
      </c>
      <c r="B229" t="s">
        <v>551</v>
      </c>
      <c r="C229" t="s">
        <v>310</v>
      </c>
      <c r="E229" t="s">
        <v>113</v>
      </c>
    </row>
    <row r="230" spans="1:5" x14ac:dyDescent="0.25">
      <c r="A230" t="s">
        <v>532</v>
      </c>
      <c r="B230" t="s">
        <v>275</v>
      </c>
      <c r="C230" t="s">
        <v>593</v>
      </c>
      <c r="E230" t="s">
        <v>557</v>
      </c>
    </row>
    <row r="231" spans="1:5" x14ac:dyDescent="0.25">
      <c r="A231" t="s">
        <v>335</v>
      </c>
      <c r="D231" t="s">
        <v>279</v>
      </c>
      <c r="E231" t="s">
        <v>10</v>
      </c>
    </row>
    <row r="232" spans="1:5" x14ac:dyDescent="0.25">
      <c r="A232" t="s">
        <v>465</v>
      </c>
      <c r="D232" t="s">
        <v>168</v>
      </c>
      <c r="E232" t="s">
        <v>189</v>
      </c>
    </row>
    <row r="233" spans="1:5" x14ac:dyDescent="0.25">
      <c r="A233" t="s">
        <v>344</v>
      </c>
      <c r="B233" t="s">
        <v>275</v>
      </c>
      <c r="C233" t="s">
        <v>593</v>
      </c>
      <c r="E233" t="s">
        <v>227</v>
      </c>
    </row>
    <row r="234" spans="1:5" x14ac:dyDescent="0.25">
      <c r="A234" t="s">
        <v>403</v>
      </c>
      <c r="B234" t="s">
        <v>441</v>
      </c>
      <c r="C234" t="s">
        <v>148</v>
      </c>
      <c r="D234" t="s">
        <v>288</v>
      </c>
      <c r="E234" t="s">
        <v>506</v>
      </c>
    </row>
    <row r="235" spans="1:5" x14ac:dyDescent="0.25">
      <c r="A235" t="s">
        <v>42</v>
      </c>
      <c r="B235" t="s">
        <v>355</v>
      </c>
      <c r="C235" t="s">
        <v>330</v>
      </c>
      <c r="E235" t="s">
        <v>40</v>
      </c>
    </row>
    <row r="236" spans="1:5" x14ac:dyDescent="0.25">
      <c r="A236" t="s">
        <v>233</v>
      </c>
      <c r="B236" t="s">
        <v>355</v>
      </c>
      <c r="C236" t="s">
        <v>148</v>
      </c>
      <c r="E236" t="s">
        <v>475</v>
      </c>
    </row>
    <row r="237" spans="1:5" x14ac:dyDescent="0.25">
      <c r="A237" t="s">
        <v>558</v>
      </c>
      <c r="D237" t="s">
        <v>413</v>
      </c>
      <c r="E237" t="s">
        <v>276</v>
      </c>
    </row>
    <row r="238" spans="1:5" x14ac:dyDescent="0.25">
      <c r="A238" t="s">
        <v>250</v>
      </c>
      <c r="B238" t="s">
        <v>441</v>
      </c>
      <c r="C238" t="s">
        <v>330</v>
      </c>
      <c r="E238" t="s">
        <v>613</v>
      </c>
    </row>
    <row r="239" spans="1:5" x14ac:dyDescent="0.25">
      <c r="A239" t="s">
        <v>420</v>
      </c>
      <c r="D239" t="s">
        <v>527</v>
      </c>
      <c r="E239" t="s">
        <v>661</v>
      </c>
    </row>
    <row r="240" spans="1:5" x14ac:dyDescent="0.25">
      <c r="A240" t="s">
        <v>572</v>
      </c>
      <c r="B240" t="s">
        <v>441</v>
      </c>
      <c r="C240" t="s">
        <v>148</v>
      </c>
      <c r="D240" t="s">
        <v>239</v>
      </c>
      <c r="E240" t="s">
        <v>591</v>
      </c>
    </row>
    <row r="241" spans="1:5" x14ac:dyDescent="0.25">
      <c r="A241" t="s">
        <v>81</v>
      </c>
      <c r="D241" t="s">
        <v>324</v>
      </c>
      <c r="E241" t="s">
        <v>8</v>
      </c>
    </row>
    <row r="242" spans="1:5" x14ac:dyDescent="0.25">
      <c r="A242" t="s">
        <v>457</v>
      </c>
      <c r="D242" t="s">
        <v>369</v>
      </c>
      <c r="E242" t="s">
        <v>18</v>
      </c>
    </row>
    <row r="243" spans="1:5" x14ac:dyDescent="0.25">
      <c r="A243" t="s">
        <v>156</v>
      </c>
      <c r="B243" t="s">
        <v>551</v>
      </c>
      <c r="C243" t="s">
        <v>310</v>
      </c>
      <c r="E243" t="s">
        <v>605</v>
      </c>
    </row>
    <row r="244" spans="1:5" x14ac:dyDescent="0.25">
      <c r="A244" t="s">
        <v>19</v>
      </c>
      <c r="B244" t="s">
        <v>122</v>
      </c>
      <c r="C244" t="s">
        <v>330</v>
      </c>
      <c r="E244" t="s">
        <v>184</v>
      </c>
    </row>
    <row r="245" spans="1:5" x14ac:dyDescent="0.25">
      <c r="A245" t="s">
        <v>386</v>
      </c>
      <c r="B245" t="s">
        <v>355</v>
      </c>
      <c r="C245" t="s">
        <v>148</v>
      </c>
      <c r="E245" t="s">
        <v>578</v>
      </c>
    </row>
    <row r="246" spans="1:5" x14ac:dyDescent="0.25">
      <c r="A246" t="s">
        <v>87</v>
      </c>
      <c r="B246" t="s">
        <v>441</v>
      </c>
      <c r="C246" t="s">
        <v>148</v>
      </c>
      <c r="E246" t="s">
        <v>397</v>
      </c>
    </row>
    <row r="247" spans="1:5" x14ac:dyDescent="0.25">
      <c r="A247" t="s">
        <v>418</v>
      </c>
      <c r="B247" t="s">
        <v>275</v>
      </c>
      <c r="C247" t="s">
        <v>330</v>
      </c>
      <c r="E247" t="s">
        <v>519</v>
      </c>
    </row>
    <row r="248" spans="1:5" ht="409.5" x14ac:dyDescent="0.25">
      <c r="A248" t="s">
        <v>144</v>
      </c>
      <c r="B248" t="s">
        <v>275</v>
      </c>
      <c r="C248" t="s">
        <v>593</v>
      </c>
      <c r="D248" s="1" t="s">
        <v>106</v>
      </c>
      <c r="E248" t="s">
        <v>633</v>
      </c>
    </row>
    <row r="249" spans="1:5" x14ac:dyDescent="0.25">
      <c r="A249" t="s">
        <v>462</v>
      </c>
      <c r="B249" t="s">
        <v>355</v>
      </c>
      <c r="C249" t="s">
        <v>148</v>
      </c>
      <c r="E249" t="s">
        <v>395</v>
      </c>
    </row>
    <row r="250" spans="1:5" x14ac:dyDescent="0.25">
      <c r="A250" t="s">
        <v>543</v>
      </c>
      <c r="D250" t="s">
        <v>552</v>
      </c>
      <c r="E250" t="s">
        <v>148</v>
      </c>
    </row>
    <row r="251" spans="1:5" x14ac:dyDescent="0.25">
      <c r="A251" t="s">
        <v>660</v>
      </c>
      <c r="B251" t="s">
        <v>551</v>
      </c>
      <c r="C251" t="s">
        <v>310</v>
      </c>
      <c r="E251" t="s">
        <v>482</v>
      </c>
    </row>
    <row r="252" spans="1:5" x14ac:dyDescent="0.25">
      <c r="A252" t="s">
        <v>564</v>
      </c>
      <c r="B252" t="s">
        <v>196</v>
      </c>
      <c r="C252" t="s">
        <v>310</v>
      </c>
      <c r="E252" t="s">
        <v>362</v>
      </c>
    </row>
    <row r="253" spans="1:5" x14ac:dyDescent="0.25">
      <c r="A253" t="s">
        <v>141</v>
      </c>
      <c r="B253" t="s">
        <v>355</v>
      </c>
      <c r="C253" t="s">
        <v>330</v>
      </c>
      <c r="E253" t="s">
        <v>277</v>
      </c>
    </row>
    <row r="254" spans="1:5" x14ac:dyDescent="0.25">
      <c r="A254" t="s">
        <v>93</v>
      </c>
      <c r="B254" t="s">
        <v>551</v>
      </c>
      <c r="C254" t="s">
        <v>148</v>
      </c>
      <c r="E254" t="s">
        <v>48</v>
      </c>
    </row>
    <row r="255" spans="1:5" x14ac:dyDescent="0.25">
      <c r="A255" t="s">
        <v>285</v>
      </c>
      <c r="B255" t="s">
        <v>551</v>
      </c>
      <c r="E255" t="s">
        <v>71</v>
      </c>
    </row>
    <row r="256" spans="1:5" x14ac:dyDescent="0.25">
      <c r="A256" t="s">
        <v>544</v>
      </c>
      <c r="B256" t="s">
        <v>551</v>
      </c>
      <c r="C256" t="s">
        <v>310</v>
      </c>
      <c r="E256" t="s">
        <v>292</v>
      </c>
    </row>
    <row r="257" spans="1:5" x14ac:dyDescent="0.25">
      <c r="A257" t="s">
        <v>125</v>
      </c>
      <c r="B257" t="s">
        <v>551</v>
      </c>
      <c r="C257" t="s">
        <v>310</v>
      </c>
      <c r="E257" t="s">
        <v>391</v>
      </c>
    </row>
    <row r="258" spans="1:5" x14ac:dyDescent="0.25">
      <c r="A258" t="s">
        <v>582</v>
      </c>
      <c r="B258" t="s">
        <v>441</v>
      </c>
      <c r="C258" t="s">
        <v>330</v>
      </c>
      <c r="E258" t="s">
        <v>354</v>
      </c>
    </row>
    <row r="259" spans="1:5" x14ac:dyDescent="0.25">
      <c r="A259" t="s">
        <v>114</v>
      </c>
      <c r="B259" t="s">
        <v>441</v>
      </c>
      <c r="C259" t="s">
        <v>330</v>
      </c>
      <c r="E259" t="s">
        <v>580</v>
      </c>
    </row>
    <row r="260" spans="1:5" x14ac:dyDescent="0.25">
      <c r="A260" t="s">
        <v>651</v>
      </c>
      <c r="E260" t="s">
        <v>539</v>
      </c>
    </row>
    <row r="261" spans="1:5" x14ac:dyDescent="0.25">
      <c r="A261" t="s">
        <v>442</v>
      </c>
      <c r="B261" t="s">
        <v>441</v>
      </c>
      <c r="C261" t="s">
        <v>330</v>
      </c>
      <c r="D261" t="s">
        <v>239</v>
      </c>
      <c r="E261" t="s">
        <v>164</v>
      </c>
    </row>
    <row r="262" spans="1:5" x14ac:dyDescent="0.25">
      <c r="A262" t="s">
        <v>188</v>
      </c>
      <c r="B262" t="s">
        <v>355</v>
      </c>
      <c r="C262" t="s">
        <v>148</v>
      </c>
      <c r="E262" t="s">
        <v>396</v>
      </c>
    </row>
    <row r="263" spans="1:5" x14ac:dyDescent="0.25">
      <c r="A263" t="s">
        <v>15</v>
      </c>
      <c r="B263" t="s">
        <v>122</v>
      </c>
      <c r="C263" t="s">
        <v>593</v>
      </c>
      <c r="D263" t="s">
        <v>270</v>
      </c>
      <c r="E263" t="s">
        <v>638</v>
      </c>
    </row>
    <row r="264" spans="1:5" x14ac:dyDescent="0.25">
      <c r="A264" t="s">
        <v>352</v>
      </c>
      <c r="B264" t="s">
        <v>275</v>
      </c>
      <c r="C264" t="s">
        <v>148</v>
      </c>
      <c r="D264" t="s">
        <v>380</v>
      </c>
      <c r="E264" t="s">
        <v>444</v>
      </c>
    </row>
    <row r="265" spans="1:5" x14ac:dyDescent="0.25">
      <c r="A265" t="s">
        <v>392</v>
      </c>
      <c r="B265" t="s">
        <v>275</v>
      </c>
      <c r="C265" t="s">
        <v>330</v>
      </c>
      <c r="D265" t="s">
        <v>449</v>
      </c>
      <c r="E265" t="s">
        <v>9</v>
      </c>
    </row>
    <row r="266" spans="1:5" ht="409.5" x14ac:dyDescent="0.25">
      <c r="A266" t="s">
        <v>308</v>
      </c>
      <c r="B266" t="s">
        <v>275</v>
      </c>
      <c r="C266" t="s">
        <v>330</v>
      </c>
      <c r="D266" s="1" t="s">
        <v>174</v>
      </c>
      <c r="E266" t="s">
        <v>671</v>
      </c>
    </row>
  </sheetData>
  <pageMargins left="0.7" right="0.7" top="0.75" bottom="0.75" header="0.3" footer="0.3"/>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97E9-385C-4A14-A36B-FC6641E33FBB}">
  <dimension ref="A1:D2"/>
  <sheetViews>
    <sheetView workbookViewId="0"/>
  </sheetViews>
  <sheetFormatPr defaultRowHeight="15" x14ac:dyDescent="0.25"/>
  <cols>
    <col min="1" max="1" width="15.5703125" bestFit="1" customWidth="1"/>
    <col min="2" max="2" width="31.85546875" bestFit="1" customWidth="1"/>
    <col min="3" max="3" width="172.7109375" bestFit="1" customWidth="1"/>
    <col min="4" max="4" width="167.85546875" bestFit="1" customWidth="1"/>
  </cols>
  <sheetData>
    <row r="1" spans="1:4" x14ac:dyDescent="0.25">
      <c r="A1" t="s">
        <v>198</v>
      </c>
      <c r="B1" t="s">
        <v>569</v>
      </c>
      <c r="C1" t="s">
        <v>358</v>
      </c>
      <c r="D1" t="s">
        <v>206</v>
      </c>
    </row>
    <row r="2" spans="1:4" x14ac:dyDescent="0.25">
      <c r="A2" t="s">
        <v>446</v>
      </c>
      <c r="B2" t="s">
        <v>110</v>
      </c>
      <c r="C2" t="s">
        <v>124</v>
      </c>
      <c r="D2" t="s">
        <v>570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18</vt:i4>
      </vt:variant>
    </vt:vector>
  </HeadingPairs>
  <TitlesOfParts>
    <vt:vector size="18" baseType="lpstr">
      <vt:lpstr>Data</vt:lpstr>
      <vt:lpstr>Dane surowe</vt:lpstr>
      <vt:lpstr>Miernik bezwzorcowy, różne wagi</vt:lpstr>
      <vt:lpstr>TOPSIS</vt:lpstr>
      <vt:lpstr>Zestawienie mierników synt.</vt:lpstr>
      <vt:lpstr>arkusz do statistica</vt:lpstr>
      <vt:lpstr>metody aglomeracyjne</vt:lpstr>
      <vt:lpstr>MJG k = 4</vt:lpstr>
      <vt:lpstr>MJG k = 5</vt:lpstr>
      <vt:lpstr>Opis skupień</vt:lpstr>
      <vt:lpstr>Test Levene'a</vt:lpstr>
      <vt:lpstr>Histogramy Shapiro Wilka</vt:lpstr>
      <vt:lpstr>ANOVA vs KW</vt:lpstr>
      <vt:lpstr>KW statistica</vt:lpstr>
      <vt:lpstr>Test KW </vt:lpstr>
      <vt:lpstr>Test ANOVA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Jacek Adamczewski</dc:creator>
  <cp:lastModifiedBy>Adrian Rybiński</cp:lastModifiedBy>
  <cp:lastPrinted>2025-01-24T21:16:55Z</cp:lastPrinted>
  <dcterms:created xsi:type="dcterms:W3CDTF">2024-10-20T10:31:32Z</dcterms:created>
  <dcterms:modified xsi:type="dcterms:W3CDTF">2025-03-05T19:37:37Z</dcterms:modified>
</cp:coreProperties>
</file>