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jurw\Desktop\"/>
    </mc:Choice>
  </mc:AlternateContent>
  <xr:revisionPtr revIDLastSave="0" documentId="8_{148B09FB-075B-4072-9E13-D2B4986F3C9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Oppg. 1" sheetId="3" r:id="rId1"/>
    <sheet name="Oppg. 2" sheetId="4" r:id="rId2"/>
    <sheet name="Oppg. 3" sheetId="10" r:id="rId3"/>
    <sheet name="Oppg. 4" sheetId="5" r:id="rId4"/>
    <sheet name="Oppg. 5" sheetId="7" r:id="rId5"/>
    <sheet name="Oppg. 6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4" l="1"/>
  <c r="C45" i="4"/>
  <c r="C52" i="4" s="1"/>
  <c r="C29" i="4"/>
  <c r="D29" i="4" s="1"/>
  <c r="B62" i="3"/>
  <c r="B45" i="3" l="1"/>
  <c r="C37" i="5" l="1"/>
  <c r="B60" i="3"/>
  <c r="B68" i="3" l="1"/>
  <c r="D27" i="7"/>
  <c r="D33" i="7" s="1"/>
  <c r="C27" i="7"/>
  <c r="C33" i="7" s="1"/>
  <c r="E6" i="5"/>
  <c r="F6" i="5" s="1"/>
  <c r="C14" i="5"/>
  <c r="B89" i="3"/>
  <c r="G6" i="5" l="1"/>
  <c r="B84" i="3"/>
  <c r="H6" i="5" l="1"/>
  <c r="H14" i="5" s="1"/>
  <c r="B51" i="3"/>
  <c r="F11" i="7"/>
  <c r="G10" i="7"/>
  <c r="H10" i="7" s="1"/>
  <c r="D13" i="5"/>
  <c r="E13" i="5"/>
  <c r="F13" i="5"/>
  <c r="G13" i="5"/>
  <c r="H13" i="5"/>
  <c r="C13" i="5"/>
  <c r="D20" i="5" s="1"/>
  <c r="D16" i="5"/>
  <c r="C20" i="5" s="1"/>
  <c r="D17" i="5"/>
  <c r="C21" i="5" l="1"/>
  <c r="D21" i="5"/>
  <c r="G11" i="7"/>
  <c r="I10" i="7"/>
  <c r="H11" i="7"/>
  <c r="C31" i="10"/>
  <c r="C37" i="10" s="1"/>
  <c r="C28" i="10"/>
  <c r="D65" i="4"/>
  <c r="D52" i="4"/>
  <c r="D53" i="4" s="1"/>
  <c r="F42" i="4"/>
  <c r="B64" i="3"/>
  <c r="C33" i="10" l="1"/>
  <c r="C35" i="10" s="1"/>
  <c r="D31" i="10"/>
  <c r="D33" i="10" s="1"/>
  <c r="D35" i="10" s="1"/>
  <c r="J10" i="7"/>
  <c r="I11" i="7"/>
  <c r="R52" i="3"/>
  <c r="R53" i="3" s="1"/>
  <c r="R55" i="3" s="1"/>
  <c r="Q52" i="3"/>
  <c r="Q53" i="3" s="1"/>
  <c r="Q55" i="3" s="1"/>
  <c r="P52" i="3"/>
  <c r="P53" i="3" s="1"/>
  <c r="R42" i="3"/>
  <c r="D38" i="3" s="1"/>
  <c r="Q42" i="3"/>
  <c r="P42" i="3"/>
  <c r="R34" i="3"/>
  <c r="R37" i="3" s="1"/>
  <c r="Q34" i="3"/>
  <c r="Q37" i="3" s="1"/>
  <c r="P34" i="3"/>
  <c r="P37" i="3" s="1"/>
  <c r="F38" i="3" s="1"/>
  <c r="R17" i="3"/>
  <c r="R11" i="3"/>
  <c r="R14" i="3" s="1"/>
  <c r="Q11" i="3"/>
  <c r="Q14" i="3" s="1"/>
  <c r="P11" i="3"/>
  <c r="P14" i="3" s="1"/>
  <c r="C8" i="3" l="1"/>
  <c r="C4" i="3"/>
  <c r="H38" i="3"/>
  <c r="B38" i="3"/>
  <c r="D8" i="3"/>
  <c r="D4" i="3"/>
  <c r="C38" i="3"/>
  <c r="K10" i="7"/>
  <c r="J11" i="7"/>
  <c r="P55" i="3"/>
  <c r="B63" i="3"/>
  <c r="D37" i="10"/>
  <c r="E31" i="10" s="1"/>
  <c r="R44" i="3"/>
  <c r="R20" i="3"/>
  <c r="R22" i="3" s="1"/>
  <c r="P44" i="3"/>
  <c r="Q44" i="3"/>
  <c r="P20" i="3"/>
  <c r="Q20" i="3"/>
  <c r="B65" i="3" l="1"/>
  <c r="B70" i="3"/>
  <c r="C27" i="3"/>
  <c r="C5" i="3"/>
  <c r="C26" i="3" s="1"/>
  <c r="C9" i="3"/>
  <c r="C28" i="3"/>
  <c r="C29" i="3" s="1"/>
  <c r="B8" i="3"/>
  <c r="B9" i="3" s="1"/>
  <c r="B4" i="3"/>
  <c r="B27" i="3" s="1"/>
  <c r="B29" i="3" s="1"/>
  <c r="B28" i="3"/>
  <c r="B71" i="3"/>
  <c r="L10" i="7"/>
  <c r="K11" i="7"/>
  <c r="E33" i="10"/>
  <c r="E35" i="10" s="1"/>
  <c r="E37" i="10"/>
  <c r="F31" i="10" s="1"/>
  <c r="F33" i="10" s="1"/>
  <c r="F35" i="10" s="1"/>
  <c r="Q22" i="3"/>
  <c r="P22" i="3"/>
  <c r="B61" i="3" s="1"/>
  <c r="B67" i="3" s="1"/>
  <c r="C12" i="10"/>
  <c r="D12" i="10" s="1"/>
  <c r="E12" i="10" s="1"/>
  <c r="F12" i="10" s="1"/>
  <c r="XFD8" i="10"/>
  <c r="C3" i="10"/>
  <c r="E6" i="10" s="1"/>
  <c r="E8" i="10" s="1"/>
  <c r="F6" i="10" l="1"/>
  <c r="C6" i="10"/>
  <c r="C8" i="10" s="1"/>
  <c r="C18" i="10" s="1"/>
  <c r="B5" i="3"/>
  <c r="B26" i="3" s="1"/>
  <c r="G6" i="10"/>
  <c r="E10" i="10"/>
  <c r="E18" i="10"/>
  <c r="C10" i="10"/>
  <c r="D6" i="10"/>
  <c r="D8" i="10" s="1"/>
  <c r="M10" i="7"/>
  <c r="L11" i="7"/>
  <c r="F37" i="10"/>
  <c r="B53" i="3"/>
  <c r="B55" i="3" s="1"/>
  <c r="L19" i="4"/>
  <c r="C35" i="4" s="1"/>
  <c r="P14" i="4"/>
  <c r="P13" i="4"/>
  <c r="C14" i="4" s="1"/>
  <c r="C26" i="4" s="1"/>
  <c r="D26" i="4" s="1"/>
  <c r="P16" i="4"/>
  <c r="P11" i="4"/>
  <c r="C21" i="4" s="1"/>
  <c r="D21" i="4" s="1"/>
  <c r="P12" i="4"/>
  <c r="C65" i="4" l="1"/>
  <c r="D35" i="4"/>
  <c r="Q12" i="4"/>
  <c r="C22" i="4"/>
  <c r="D22" i="4" s="1"/>
  <c r="C23" i="4"/>
  <c r="D23" i="4" s="1"/>
  <c r="N10" i="7"/>
  <c r="N11" i="7" s="1"/>
  <c r="M11" i="7"/>
  <c r="G31" i="10"/>
  <c r="G33" i="10" s="1"/>
  <c r="G35" i="10" s="1"/>
  <c r="D10" i="10"/>
  <c r="D18" i="10"/>
  <c r="D14" i="4"/>
  <c r="Q13" i="4"/>
  <c r="D15" i="4"/>
  <c r="C15" i="4"/>
  <c r="C51" i="4"/>
  <c r="C53" i="4" s="1"/>
  <c r="Q11" i="4"/>
  <c r="F8" i="10"/>
  <c r="G8" i="10"/>
  <c r="G37" i="10" l="1"/>
  <c r="F10" i="10"/>
  <c r="F18" i="10"/>
  <c r="G10" i="10"/>
  <c r="G18" i="10"/>
  <c r="C57" i="4"/>
  <c r="C58" i="4" s="1"/>
  <c r="C56" i="4"/>
  <c r="D56" i="4" s="1"/>
  <c r="D58" i="4" s="1"/>
  <c r="D61" i="4" s="1"/>
  <c r="D63" i="4" s="1"/>
  <c r="E69" i="4" s="1"/>
  <c r="C60" i="4"/>
  <c r="C25" i="4"/>
  <c r="D25" i="4" s="1"/>
  <c r="C55" i="4"/>
  <c r="C27" i="4"/>
  <c r="D27" i="4" s="1"/>
  <c r="C30" i="4"/>
  <c r="D30" i="4" s="1"/>
  <c r="C61" i="4" l="1"/>
  <c r="C63" i="4" s="1"/>
  <c r="C28" i="4"/>
  <c r="C31" i="4" l="1"/>
  <c r="D31" i="4" s="1"/>
  <c r="D28" i="4"/>
  <c r="C33" i="4" l="1"/>
  <c r="D33" i="4" l="1"/>
  <c r="E6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Lars Hegenes Sendstad</author>
  </authors>
  <commentList>
    <comment ref="G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Lars Hegenes Sendstad:</t>
        </r>
        <r>
          <rPr>
            <sz val="9"/>
            <color indexed="81"/>
            <rFont val="Tahoma"/>
            <family val="2"/>
          </rPr>
          <t xml:space="preserve">
Maskinen blir solgt til forventet verdi)
</t>
        </r>
      </text>
    </comment>
  </commentList>
</comments>
</file>

<file path=xl/sharedStrings.xml><?xml version="1.0" encoding="utf-8"?>
<sst xmlns="http://schemas.openxmlformats.org/spreadsheetml/2006/main" count="270" uniqueCount="224">
  <si>
    <t>Varekostnad</t>
  </si>
  <si>
    <t>Driftsresultat</t>
  </si>
  <si>
    <t>Årsresultat</t>
  </si>
  <si>
    <t>Driftsinntekter</t>
  </si>
  <si>
    <t>Virkelig verdijustering</t>
  </si>
  <si>
    <t>Nedskrivninger</t>
  </si>
  <si>
    <t>Annen driftskostnad</t>
  </si>
  <si>
    <t>Operasjonelt driftsresultat</t>
  </si>
  <si>
    <t>Rentekostnad</t>
  </si>
  <si>
    <t>Finanskostnad</t>
  </si>
  <si>
    <t>Skattekostnad</t>
  </si>
  <si>
    <t>Inntekt på investeringer i tilknyttede selskaper</t>
  </si>
  <si>
    <t>Rente og finansinntekt</t>
  </si>
  <si>
    <t>Anleggsmidler</t>
  </si>
  <si>
    <t>Eiendeler</t>
  </si>
  <si>
    <t>Maskiner, anlegg og driftsløsøre</t>
  </si>
  <si>
    <t>Skip, transportmidler, o.l.</t>
  </si>
  <si>
    <t>Sum varige driftsmidler</t>
  </si>
  <si>
    <t>Sum Anleggsmidler</t>
  </si>
  <si>
    <t>Omløpsmidler</t>
  </si>
  <si>
    <t>Bankinnskudd, kontanter o.l.</t>
  </si>
  <si>
    <t>Sum omløpsmidler</t>
  </si>
  <si>
    <t>Sum eiendeler</t>
  </si>
  <si>
    <t>Egenkapital og gjeld</t>
  </si>
  <si>
    <t>Egenkapital</t>
  </si>
  <si>
    <t>Langsiktig gjeld</t>
  </si>
  <si>
    <t>Fordringer</t>
  </si>
  <si>
    <t>Varer</t>
  </si>
  <si>
    <t>Finansielle anleggsmidler</t>
  </si>
  <si>
    <t>Immaterielle eiendeler</t>
  </si>
  <si>
    <t>Sum gjeld</t>
  </si>
  <si>
    <t>Sum EK og gjeld</t>
  </si>
  <si>
    <t>Endring i EK er</t>
  </si>
  <si>
    <t>Endring EK</t>
  </si>
  <si>
    <t>Direktematerialer</t>
  </si>
  <si>
    <t>Direkte lønn</t>
  </si>
  <si>
    <t>Hjelpeavd.</t>
  </si>
  <si>
    <t>S/A</t>
  </si>
  <si>
    <t xml:space="preserve">Sum indirekte faste kostnader </t>
  </si>
  <si>
    <t>Sum kostnader</t>
  </si>
  <si>
    <t>Antall årsverk</t>
  </si>
  <si>
    <t>Maskin avd.</t>
  </si>
  <si>
    <t>Montasje avd.</t>
  </si>
  <si>
    <t>Bidragsmetoden:</t>
  </si>
  <si>
    <t xml:space="preserve">Sum indirekte variable kostnader </t>
  </si>
  <si>
    <t>Selvkostmetoden:</t>
  </si>
  <si>
    <t>kr/årsverk</t>
  </si>
  <si>
    <t>b) Tidligere har de indirekte kostandene bare blitt fordelt jevnt på alle avdelingene, men ledelsen ønsker nå at du utarbeider nye tilleggsatser basert på antall årsverk med selvkost og bidragsmetoden</t>
  </si>
  <si>
    <t>a) Hva er forskjell på bidragsmetoden og selvkostmetoden? Hva er dekningsbidrag? Hva er dekningsgrad?</t>
  </si>
  <si>
    <t xml:space="preserve">c) Bruk tilleggsatsene i deloppgave b til å sette opp en kostnadskalkyle etter bidragsmetoden </t>
  </si>
  <si>
    <t>Indirekte kostnader</t>
  </si>
  <si>
    <t>Sum direkte kostnader</t>
  </si>
  <si>
    <t>Tilvirkningsmerkost</t>
  </si>
  <si>
    <t>Salgsmerkost</t>
  </si>
  <si>
    <t>Dekningsbidrag</t>
  </si>
  <si>
    <t>Inntekt</t>
  </si>
  <si>
    <t>Driftsinntekt</t>
  </si>
  <si>
    <t xml:space="preserve">    Hjelpe avd.</t>
  </si>
  <si>
    <t xml:space="preserve">    Maskin avd.</t>
  </si>
  <si>
    <t xml:space="preserve">    Montasje avd.</t>
  </si>
  <si>
    <r>
      <t>a)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Hvordan beregner vi BNP (generalbudsjettligningen)?  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</si>
  <si>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Hva skjer med BNP hvis importen øker?</t>
    </r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</si>
  <si>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Forklar hva vi mener med dekket og udekket renteparitet</t>
    </r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</si>
  <si>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Diskuter hvordan økonomiskpolitikk kan påvirke kortsiktig og langsiktig økonomisk vekst.</t>
    </r>
  </si>
  <si>
    <t>Inntekter</t>
  </si>
  <si>
    <t>Årlig avskrivning:</t>
  </si>
  <si>
    <t>Avskrivninger</t>
  </si>
  <si>
    <t>Driftskostnader</t>
  </si>
  <si>
    <t>Finanskostnader</t>
  </si>
  <si>
    <t>Resultat f. skatt</t>
  </si>
  <si>
    <t>år 1</t>
  </si>
  <si>
    <t>år 2</t>
  </si>
  <si>
    <t>år 3</t>
  </si>
  <si>
    <t>år 4</t>
  </si>
  <si>
    <t>år</t>
  </si>
  <si>
    <t>år 5</t>
  </si>
  <si>
    <t>Rentabilitet</t>
  </si>
  <si>
    <r>
      <t>a)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Beregn driftsresultatet for de 5 første årene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</si>
  <si>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 xml:space="preserve">Beregn rentabiliteten til driftsresultatet for hvert år og kommenter på utviklingen. </t>
    </r>
  </si>
  <si>
    <t xml:space="preserve">Rentabiliten øker ettersom driftsmiddelet blir nedskrevet. </t>
  </si>
  <si>
    <t>Det er typisk at eldre selskaper har høyere rentabilitet enn yngre, fordi en større del</t>
  </si>
  <si>
    <t>av driftsmidlene er nedskrevet.</t>
  </si>
  <si>
    <t>Verdi</t>
  </si>
  <si>
    <t>Prosjekt A</t>
  </si>
  <si>
    <t>Prosjekt B</t>
  </si>
  <si>
    <t>Justering for endring i arbeidskapital</t>
  </si>
  <si>
    <t>Internrentemetoden er ikke godt egnet til å prioritere mellom gjensidig utelukkende prosjekter: Prosjektet med lavest internrente kan gjerne ha høyest nåverdi, eksempelvis skiller ikke internrentemetoden på størrelsen på prosjektene</t>
  </si>
  <si>
    <t>Resultatregnskap</t>
  </si>
  <si>
    <t>Balanseregnskap</t>
  </si>
  <si>
    <t xml:space="preserve">TKR </t>
  </si>
  <si>
    <t>ROCE</t>
  </si>
  <si>
    <t>a) Beregn totalkapitalrentabiliteten og ROCE for 2018 og 2017 og kommenter utviklingen</t>
  </si>
  <si>
    <t>b) Diskuter fordeler og ulemper med de to nøkkeltallene i deloppgave a.</t>
  </si>
  <si>
    <t>c) Dekomponer totalkapitalrentabiliteten i resultatgrad og kapitalensomløpshastighet. Kan du si noe mer om utviklingen?</t>
  </si>
  <si>
    <t>d) Beregn arbeidskapitalen for 2018, 2017 og 2016 og kommenter på utviklingen.</t>
  </si>
  <si>
    <t>g)  Du får oppgitt at børsverdien er 44 265 MNOK. Beregn relevante nøkkeltall og diskuter hvorvidt disse er i tråd med dine forventninger.</t>
  </si>
  <si>
    <t>f) Beregn endring i EK fra 2017 til 2018, og hvordan henger dette sammen med årsresultatet?</t>
  </si>
  <si>
    <t>h)  Anta at konsernsjefen har en lønn på 3.5 MNOK per år, hva er kostanden for firmaet inkludert arbeidsgiveravgift og feriepenger?</t>
  </si>
  <si>
    <t>Vareforbruket er tilsvarende kostnadene</t>
  </si>
  <si>
    <t>NOK</t>
  </si>
  <si>
    <t>Sysselsatt kapital</t>
  </si>
  <si>
    <t>Lagerloven er Varekjøp = UB - IB + vareforbruk</t>
  </si>
  <si>
    <t>Leverandørgjeld</t>
  </si>
  <si>
    <t>Skyldig offentlige avgifter</t>
  </si>
  <si>
    <t xml:space="preserve">Kortsiktig gjeld </t>
  </si>
  <si>
    <t>Resultat før skattekostnad</t>
  </si>
  <si>
    <t>Det har vært en positiv utvikling i begge måltallene. Dette skyldes at inntektene har økt raskere enn kostnadene.</t>
  </si>
  <si>
    <t>ROCE kan derfor sammenlignes med avkastningskravet.</t>
  </si>
  <si>
    <t>TKR er på den andre siden lett å regne ut, og gir mye av den samme informasjonen.</t>
  </si>
  <si>
    <t>Kapitalens omløpshastighet</t>
  </si>
  <si>
    <t>Resultatgraden</t>
  </si>
  <si>
    <t>TKR</t>
  </si>
  <si>
    <t>Kontroll</t>
  </si>
  <si>
    <t>Arbeidskapitalen</t>
  </si>
  <si>
    <t>Avskrivinger</t>
  </si>
  <si>
    <t>Lønnskostnad</t>
  </si>
  <si>
    <t>Eiendommer</t>
  </si>
  <si>
    <t>P/E</t>
  </si>
  <si>
    <t>P/B</t>
  </si>
  <si>
    <t>P/E og P/B er de meste relevante, men det bør gis plusspoeng hvis kandidaten også diskuterer:</t>
  </si>
  <si>
    <t>EV/EBITDA</t>
  </si>
  <si>
    <t>EV/EBIT</t>
  </si>
  <si>
    <t>TNOK</t>
  </si>
  <si>
    <t>E (MNOK)</t>
  </si>
  <si>
    <t>P (MNOK)</t>
  </si>
  <si>
    <t>B (MNOK)</t>
  </si>
  <si>
    <t>Nøkkeltall:</t>
  </si>
  <si>
    <t>(Legger til avskrivninger i nevner)</t>
  </si>
  <si>
    <t>En P/E på 12 er vanlig for lakseselskaper.</t>
  </si>
  <si>
    <t>Hovedindeksen på Oslo børs 14-15, så man kan argumentere for at det er litt billig.</t>
  </si>
  <si>
    <t>Generelt så er P/B på oslo børs på rundt 2, så man kan argumentere for at selskapet er noe dyrt basert på P/B</t>
  </si>
  <si>
    <t>G (MNOK)</t>
  </si>
  <si>
    <t>Cash (MNOK)</t>
  </si>
  <si>
    <t>Totallønn</t>
  </si>
  <si>
    <t>Antatt AGA</t>
  </si>
  <si>
    <t>Studenten bør få ekstrapoeng for å også inkalkulere pensjonskostnader</t>
  </si>
  <si>
    <t>Ved bidragsmetoden innkalkulerer man kun de kostnadene som er variable i motsetning til selvkostmetoden der alle kostnader kalkuleres inn. Dekningsbidraget brukes i tilknytning med bidragsmetoden og er den summen som hvert produkt bidrar med for å dekke faste kostnader. Dekningsgraden er dekningsbidraget i prosent av driftsinntekten</t>
  </si>
  <si>
    <t xml:space="preserve">d) Bedriften har fått forespørsel om å levere 2 ekstra enheter. Det regnes med at det går med direkte materialer på 3 000 kr. Det må tilbys en fulltidsstilling i maskinavdelingen for å kunne levere denne ordren. </t>
  </si>
  <si>
    <t>Vi må doble direktelønn i maskinavdelingen</t>
  </si>
  <si>
    <t xml:space="preserve">Totalt </t>
  </si>
  <si>
    <t>Totalt</t>
  </si>
  <si>
    <t>Per enhet</t>
  </si>
  <si>
    <t>Sum kost / enhet</t>
  </si>
  <si>
    <t>Kontroll:</t>
  </si>
  <si>
    <t>Kalkyle for tilleggsordre</t>
  </si>
  <si>
    <t>Ja, tilleggsordren bidrar med et positivt DB</t>
  </si>
  <si>
    <t>Antar ledig kapasitet og ikke prissmitte til andre perioder.</t>
  </si>
  <si>
    <t xml:space="preserve">c) </t>
  </si>
  <si>
    <t>Avkastningskrav A</t>
  </si>
  <si>
    <t>Avkastningskrav B</t>
  </si>
  <si>
    <t>a) /b)</t>
  </si>
  <si>
    <t>c)</t>
  </si>
  <si>
    <t>d)</t>
  </si>
  <si>
    <t>Det er også viktig her å sammenligne IRR med riktig avastningskrav hvis den skal brukes i beslutningsøyemed</t>
  </si>
  <si>
    <t>NPV</t>
  </si>
  <si>
    <t>IR</t>
  </si>
  <si>
    <r>
      <t>a)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Sett opp uttrykket for bedriftens profittfunksjon.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</si>
  <si>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Beregn optimal ordremengde</t>
    </r>
  </si>
  <si>
    <t>pi(M) = (100-0.25M)*M - 50M</t>
  </si>
  <si>
    <t xml:space="preserve">pi(M) = 50M-0.25M^2 </t>
  </si>
  <si>
    <t xml:space="preserve"> (d/dM) pi(M) = 50-0.5M= 0 </t>
  </si>
  <si>
    <t>M = 100</t>
  </si>
  <si>
    <t>M</t>
  </si>
  <si>
    <t>Profitt</t>
  </si>
  <si>
    <t>M0 =</t>
  </si>
  <si>
    <t xml:space="preserve">P0 = </t>
  </si>
  <si>
    <t>Etterspørselsfunksjonen er:</t>
  </si>
  <si>
    <t>M(P) = 400-4P</t>
  </si>
  <si>
    <t>dM(P) / dP = -4</t>
  </si>
  <si>
    <t>Elatsitsten er:</t>
  </si>
  <si>
    <t>Elastisteten er mindre enn minus 1, så den er elastisk</t>
  </si>
  <si>
    <t>Etterspurt mengde er altså meget følsom for endringer i prisen</t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</si>
  <si>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Hva kaller vi dette og når er det naturlig å legge inn et skift i kostnadsfunksjonen?</t>
    </r>
  </si>
  <si>
    <t>Sprangivsefastekostnader. Det er for eksempel naturlig, når man trenger mer kvadratmeter for å kunne øke produksjonen ytterligere.</t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</si>
  <si>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Hva betyr det hvis c(M) = 50M^2, og i hvilke sammenhenger er dette en rimelig kostnadsfunksjon (anta at M&gt;1)?</t>
    </r>
  </si>
  <si>
    <t>Bedriften har hatt en bedring i arbeidskapitalen. Dette gir trygghet for lånegivere, og er ofte regnet som et sunnhetstegn.</t>
  </si>
  <si>
    <t>e) Hva er varekjøpet i  2018?</t>
  </si>
  <si>
    <t>Utbetalt utbytte</t>
  </si>
  <si>
    <t>Økt import fører til svakere kronekurs som igjen fører til høyere eksport</t>
  </si>
  <si>
    <t>Dette kan øker produksjonen i Norge, som kan føre til høyere etterspørsel</t>
  </si>
  <si>
    <t>Indirekte effekter:</t>
  </si>
  <si>
    <t>Den direkte effekten er at BNP Synker</t>
  </si>
  <si>
    <t>Denne delen av fasiten er ikke komplett</t>
  </si>
  <si>
    <t>At avkastningen er den samme uavhengig av hvilket land du plasserer pengene i</t>
  </si>
  <si>
    <t>Hvis ikke så kan man sikre seg en arbitrasje gevinst under dekket renteparitet</t>
  </si>
  <si>
    <t>Hvis man antar udekket renteparitet holder, så betyr det at man har samme</t>
  </si>
  <si>
    <t>avkastning i forventning</t>
  </si>
  <si>
    <t>Kortsiktig - stimulere etterspørsel</t>
  </si>
  <si>
    <t>Langsiktig - viktig å legge til rette for teknologisk utvikling</t>
  </si>
  <si>
    <t xml:space="preserve">På grunn av pengemultiplikatoren er det vanskelig å vite hvor stor effekten </t>
  </si>
  <si>
    <t>Betalbar skatt</t>
  </si>
  <si>
    <t xml:space="preserve"> </t>
  </si>
  <si>
    <t>Direkte material</t>
  </si>
  <si>
    <t>Studenten skal også få full uttelling hvis vedkommende antar at årslønnen om de justerer for 5 uker ferie (47/52) eller :</t>
  </si>
  <si>
    <t>Innkjøps-avdeling</t>
  </si>
  <si>
    <t>SM avskrivninger er degressive, altså at de avtar over tid.</t>
  </si>
  <si>
    <t>Det betyr at bedriften for størst mulig SM fradrag tidlig i AMs levetid, som øker NNV.</t>
  </si>
  <si>
    <t>Resultatet blir følgelig også lavere i starten med SM enn RM avskrivninger.</t>
  </si>
  <si>
    <t>Y = Privat konsum + private realinvesteringer + Offentlig konsum og investeringer + nettoeksport</t>
  </si>
  <si>
    <t>Det er også vanlig å definere det slik:</t>
  </si>
  <si>
    <t>Y = Privat konsum + realinvesteringer + Offentlig konsum + nettoeksport</t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</si>
  <si>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Hvorfor er det vanlig å bruke renten til å styre inflasjonen ikke pengemengden?</t>
    </r>
  </si>
  <si>
    <t>blir av å endre pengemengden.</t>
  </si>
  <si>
    <t xml:space="preserve">IRR. Test ett tall rett under 12%, så ser man at NPV er positiv. </t>
  </si>
  <si>
    <t>Det mest naturlige er her å velge prosjekt A, siden det gir den høyeste avastningen i absoluttverdi Men det viktigste er diskusjonen rundt absolutte og relative måltall.</t>
  </si>
  <si>
    <t>Total kapital</t>
  </si>
  <si>
    <t xml:space="preserve">Sysselsatt kapital er totalkapitalen minus rentefri gjeld. </t>
  </si>
  <si>
    <t>ROCE speiler den avkastningen som eierne får, mens TKR ikke tar hensyn til at deler av gjelden ikke krever avkastning.</t>
  </si>
  <si>
    <t>Det er tydelig at økningen i TKR skyldes en bedre  margin, og ikke at man generer høyere inntekter per enhet kapital (høyere omløpshastigheten)</t>
  </si>
  <si>
    <t>Varekjøpet blir derfor:</t>
  </si>
  <si>
    <t xml:space="preserve">Pris bok er et dårlig måltall for å sammenligne selskaper innenfor lakseoppdrett, siden den bokførteverdien av konsesjoner avhenger i stor grad av når den ble anskaffet. </t>
  </si>
  <si>
    <t>Tilleggssatser</t>
  </si>
  <si>
    <t>Ny direktelønn</t>
  </si>
  <si>
    <t>Nettonåverdien er høyere enn null, og  man burde derfor investere i begge ut ifra NPV reglen</t>
  </si>
  <si>
    <t>Dette prosjektet blir mye mer verdifullt på grunn av veksten i kontantsrømmene.</t>
  </si>
  <si>
    <r>
      <t>c)</t>
    </r>
    <r>
      <rPr>
        <sz val="7"/>
        <color theme="1"/>
        <rFont val="Times New Roman"/>
        <family val="1"/>
      </rPr>
      <t>   Beregn priselastisiteten for (M = 150, P = 63) og (M=20, P =95). Diskuter resultatet.</t>
    </r>
  </si>
  <si>
    <t>Feil</t>
  </si>
  <si>
    <t xml:space="preserve">EV </t>
  </si>
  <si>
    <t>Indirekte S/A</t>
  </si>
  <si>
    <t>Direkte S/A</t>
  </si>
  <si>
    <t xml:space="preserve">Indirekte S/A </t>
  </si>
  <si>
    <t xml:space="preserve">S/A </t>
  </si>
  <si>
    <t>Per/enhet</t>
  </si>
  <si>
    <t>Dirkekte materialer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</si>
</sst>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 Light"/>
      <family val="2"/>
    </font>
    <font>
      <sz val="7"/>
      <color theme="1"/>
      <name val="Times New Roman"/>
      <family val="1"/>
    </font>
    <font>
      <b/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0" fontId="1" fillId="3" borderId="1" xfId="0" applyFont="1" applyFill="1" applyBorder="1"/>
    <xf numFmtId="3" fontId="1" fillId="3" borderId="1" xfId="0" applyNumberFormat="1" applyFont="1" applyFill="1" applyBorder="1"/>
    <xf numFmtId="0" fontId="0" fillId="3" borderId="0" xfId="0" applyFill="1" applyAlignment="1">
      <alignment vertical="center"/>
    </xf>
    <xf numFmtId="0" fontId="3" fillId="3" borderId="0" xfId="0" applyFont="1" applyFill="1"/>
    <xf numFmtId="0" fontId="2" fillId="3" borderId="0" xfId="0" applyFont="1" applyFill="1"/>
    <xf numFmtId="0" fontId="0" fillId="3" borderId="1" xfId="0" applyFont="1" applyFill="1" applyBorder="1"/>
    <xf numFmtId="0" fontId="0" fillId="3" borderId="0" xfId="0" applyFont="1" applyFill="1"/>
    <xf numFmtId="4" fontId="0" fillId="3" borderId="0" xfId="0" applyNumberFormat="1" applyFill="1"/>
    <xf numFmtId="0" fontId="0" fillId="3" borderId="0" xfId="0" applyFill="1" applyBorder="1"/>
    <xf numFmtId="0" fontId="4" fillId="3" borderId="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4" fontId="0" fillId="3" borderId="0" xfId="0" applyNumberFormat="1" applyFill="1" applyBorder="1"/>
    <xf numFmtId="3" fontId="0" fillId="3" borderId="0" xfId="0" applyNumberFormat="1" applyFill="1" applyBorder="1"/>
    <xf numFmtId="3" fontId="4" fillId="3" borderId="0" xfId="0" applyNumberFormat="1" applyFont="1" applyFill="1" applyBorder="1" applyAlignment="1">
      <alignment horizontal="right" vertical="center" wrapText="1"/>
    </xf>
    <xf numFmtId="0" fontId="0" fillId="3" borderId="2" xfId="0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0" fillId="3" borderId="3" xfId="0" applyFill="1" applyBorder="1"/>
    <xf numFmtId="4" fontId="0" fillId="3" borderId="3" xfId="0" applyNumberFormat="1" applyFill="1" applyBorder="1"/>
    <xf numFmtId="3" fontId="0" fillId="3" borderId="3" xfId="0" applyNumberFormat="1" applyFill="1" applyBorder="1"/>
    <xf numFmtId="0" fontId="0" fillId="3" borderId="0" xfId="0" applyFill="1" applyAlignment="1">
      <alignment horizontal="left" vertical="center" indent="5"/>
    </xf>
    <xf numFmtId="0" fontId="0" fillId="4" borderId="1" xfId="0" applyFill="1" applyBorder="1"/>
    <xf numFmtId="0" fontId="0" fillId="3" borderId="0" xfId="0" applyNumberFormat="1" applyFill="1"/>
    <xf numFmtId="0" fontId="0" fillId="5" borderId="0" xfId="0" applyFill="1" applyAlignment="1">
      <alignment horizontal="left" vertical="center" indent="5"/>
    </xf>
    <xf numFmtId="0" fontId="0" fillId="5" borderId="0" xfId="0" applyFill="1"/>
    <xf numFmtId="10" fontId="0" fillId="3" borderId="0" xfId="1" applyNumberFormat="1" applyFont="1" applyFill="1"/>
    <xf numFmtId="0" fontId="0" fillId="3" borderId="4" xfId="0" applyFill="1" applyBorder="1"/>
    <xf numFmtId="0" fontId="1" fillId="3" borderId="0" xfId="0" applyFont="1" applyFill="1"/>
    <xf numFmtId="9" fontId="0" fillId="3" borderId="0" xfId="0" applyNumberFormat="1" applyFill="1"/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vertical="center"/>
    </xf>
    <xf numFmtId="0" fontId="10" fillId="5" borderId="0" xfId="0" applyFont="1" applyFill="1"/>
    <xf numFmtId="3" fontId="0" fillId="3" borderId="0" xfId="0" applyNumberFormat="1" applyFill="1" applyAlignment="1">
      <alignment wrapText="1"/>
    </xf>
    <xf numFmtId="10" fontId="0" fillId="3" borderId="0" xfId="0" applyNumberFormat="1" applyFill="1"/>
    <xf numFmtId="9" fontId="0" fillId="3" borderId="0" xfId="1" applyFont="1" applyFill="1"/>
    <xf numFmtId="2" fontId="0" fillId="3" borderId="0" xfId="0" applyNumberFormat="1" applyFill="1"/>
    <xf numFmtId="10" fontId="0" fillId="3" borderId="1" xfId="1" applyNumberFormat="1" applyFont="1" applyFill="1" applyBorder="1"/>
    <xf numFmtId="0" fontId="10" fillId="0" borderId="0" xfId="0" applyFont="1"/>
    <xf numFmtId="0" fontId="1" fillId="3" borderId="0" xfId="0" quotePrefix="1" applyFont="1" applyFill="1"/>
    <xf numFmtId="2" fontId="0" fillId="3" borderId="0" xfId="1" applyNumberFormat="1" applyFont="1" applyFill="1"/>
    <xf numFmtId="4" fontId="0" fillId="3" borderId="0" xfId="0" applyNumberFormat="1" applyFont="1" applyFill="1"/>
    <xf numFmtId="0" fontId="0" fillId="2" borderId="0" xfId="0" applyFill="1" applyAlignment="1">
      <alignment horizontal="left" vertical="center" indent="5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indent="4"/>
    </xf>
    <xf numFmtId="0" fontId="0" fillId="6" borderId="0" xfId="0" applyFill="1"/>
    <xf numFmtId="0" fontId="0" fillId="3" borderId="2" xfId="0" applyFill="1" applyBorder="1"/>
    <xf numFmtId="4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'Oppg. 5'!$E$11</c:f>
              <c:strCache>
                <c:ptCount val="1"/>
                <c:pt idx="0">
                  <c:v>Profitt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'Oppg. 5'!$F$10:$N$10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'Oppg. 5'!$F$11:$N$11</c:f>
              <c:numCache>
                <c:formatCode>General</c:formatCode>
                <c:ptCount val="9"/>
                <c:pt idx="0">
                  <c:v>0</c:v>
                </c:pt>
                <c:pt idx="1">
                  <c:v>900</c:v>
                </c:pt>
                <c:pt idx="2">
                  <c:v>1600</c:v>
                </c:pt>
                <c:pt idx="3">
                  <c:v>2100</c:v>
                </c:pt>
                <c:pt idx="4">
                  <c:v>2400</c:v>
                </c:pt>
                <c:pt idx="5">
                  <c:v>2500</c:v>
                </c:pt>
                <c:pt idx="6">
                  <c:v>2400</c:v>
                </c:pt>
                <c:pt idx="7">
                  <c:v>2100</c:v>
                </c:pt>
                <c:pt idx="8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9-40BF-9208-E6FE1F6E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80432"/>
        <c:axId val="341779448"/>
      </c:lineChart>
      <c:catAx>
        <c:axId val="3417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41779448"/>
        <c:crosses val="autoZero"/>
        <c:auto val="1"/>
        <c:lblAlgn val="ctr"/>
        <c:lblOffset val="100"/>
        <c:noMultiLvlLbl val="0"/>
      </c:catAx>
      <c:valAx>
        <c:axId val="341779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417804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120650</xdr:colOff>
          <xdr:row>3</xdr:row>
          <xdr:rowOff>12700</xdr:rowOff>
        </xdr:from>
        <xdr:to>
          <xdr:col>8</xdr:col>
          <xdr:colOff>215900</xdr:colOff>
          <xdr:row>4</xdr:row>
          <xdr:rowOff>146050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120650</xdr:colOff>
          <xdr:row>1</xdr:row>
          <xdr:rowOff>114300</xdr:rowOff>
        </xdr:from>
        <xdr:to>
          <xdr:col>7</xdr:col>
          <xdr:colOff>717550</xdr:colOff>
          <xdr:row>2</xdr:row>
          <xdr:rowOff>139700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11</xdr:row>
      <xdr:rowOff>125730</xdr:rowOff>
    </xdr:from>
    <xdr:to>
      <xdr:col>5</xdr:col>
      <xdr:colOff>121920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"/>
  <sheetViews>
    <sheetView topLeftCell="B38" zoomScale="85" zoomScaleNormal="85" workbookViewId="0">
      <selection activeCell="B70" sqref="B70"/>
    </sheetView>
  </sheetViews>
  <sheetFormatPr defaultColWidth="8.90625" defaultRowHeight="14.5" x14ac:dyDescent="0.35"/>
  <cols>
    <col min="1" max="1" width="16.81640625" style="2" customWidth="1"/>
    <col min="2" max="2" width="16" style="2" customWidth="1"/>
    <col min="3" max="3" width="15.6328125" style="2" customWidth="1"/>
    <col min="4" max="4" width="13.81640625" style="2" customWidth="1"/>
    <col min="5" max="5" width="8.90625" style="2"/>
    <col min="6" max="6" width="13.90625" style="2" customWidth="1"/>
    <col min="7" max="7" width="8.90625" style="2"/>
    <col min="8" max="8" width="12.6328125" style="2" customWidth="1"/>
    <col min="9" max="12" width="8.90625" style="2"/>
    <col min="13" max="13" width="6.453125" style="30" customWidth="1"/>
    <col min="14" max="14" width="6.453125" style="2" customWidth="1"/>
    <col min="15" max="15" width="24.81640625" style="2" customWidth="1"/>
    <col min="16" max="17" width="11.90625" style="2" bestFit="1" customWidth="1"/>
    <col min="18" max="18" width="12.36328125" style="2" customWidth="1"/>
    <col min="19" max="16384" width="8.90625" style="2"/>
  </cols>
  <sheetData>
    <row r="1" spans="1:18" x14ac:dyDescent="0.35">
      <c r="A1" s="30" t="s">
        <v>91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8" ht="21" x14ac:dyDescent="0.5">
      <c r="O2" s="9" t="s">
        <v>87</v>
      </c>
      <c r="P2" s="44" t="s">
        <v>122</v>
      </c>
    </row>
    <row r="3" spans="1:18" x14ac:dyDescent="0.35">
      <c r="A3" s="51"/>
      <c r="B3" s="51">
        <v>2018</v>
      </c>
      <c r="C3" s="51">
        <v>2017</v>
      </c>
      <c r="D3" s="51">
        <v>2016</v>
      </c>
      <c r="P3" s="2">
        <v>2018</v>
      </c>
      <c r="Q3" s="2">
        <v>2017</v>
      </c>
      <c r="R3" s="2">
        <v>2016</v>
      </c>
    </row>
    <row r="4" spans="1:18" ht="15" thickBot="1" x14ac:dyDescent="0.4">
      <c r="A4" s="2" t="s">
        <v>205</v>
      </c>
      <c r="B4" s="5">
        <f>((P55))</f>
        <v>15135565</v>
      </c>
      <c r="C4" s="5">
        <f>((Q55))</f>
        <v>12926246</v>
      </c>
      <c r="D4" s="5">
        <f>+R55</f>
        <v>13401687</v>
      </c>
      <c r="O4" s="3" t="s">
        <v>3</v>
      </c>
      <c r="P4" s="4">
        <v>11342554</v>
      </c>
      <c r="Q4" s="4">
        <v>10817238</v>
      </c>
      <c r="R4" s="4">
        <v>9029814</v>
      </c>
    </row>
    <row r="5" spans="1:18" x14ac:dyDescent="0.35">
      <c r="A5" s="2" t="s">
        <v>89</v>
      </c>
      <c r="B5" s="31">
        <f>(P18+P20)/AVERAGE(B4:C4)</f>
        <v>0.32490191028654564</v>
      </c>
      <c r="C5" s="31">
        <f>(Q18+Q20)/AVERAGE(C4:D4)</f>
        <v>0.22509651631216168</v>
      </c>
      <c r="P5" s="5"/>
      <c r="Q5" s="5"/>
      <c r="R5" s="5"/>
    </row>
    <row r="6" spans="1:18" x14ac:dyDescent="0.35">
      <c r="O6" s="2" t="s">
        <v>0</v>
      </c>
      <c r="P6" s="5">
        <v>4585491</v>
      </c>
      <c r="Q6" s="5">
        <v>4722474</v>
      </c>
      <c r="R6" s="5">
        <v>4000818</v>
      </c>
    </row>
    <row r="7" spans="1:18" x14ac:dyDescent="0.35">
      <c r="A7" s="51"/>
      <c r="B7" s="51">
        <v>2018</v>
      </c>
      <c r="C7" s="51">
        <v>2017</v>
      </c>
      <c r="D7" s="51">
        <v>2016</v>
      </c>
      <c r="O7" s="43" t="s">
        <v>115</v>
      </c>
      <c r="P7" s="5">
        <v>1040438</v>
      </c>
      <c r="Q7" s="5">
        <v>929100</v>
      </c>
      <c r="R7" s="5">
        <v>861534</v>
      </c>
    </row>
    <row r="8" spans="1:18" x14ac:dyDescent="0.35">
      <c r="A8" s="12" t="s">
        <v>100</v>
      </c>
      <c r="B8" s="5">
        <f>P55-P49-P50-P51</f>
        <v>12949497</v>
      </c>
      <c r="C8" s="5">
        <f>Q55-Q49-Q50-Q51</f>
        <v>10834107</v>
      </c>
      <c r="D8" s="5">
        <f>R55-R49-R50-R51</f>
        <v>11589926</v>
      </c>
      <c r="G8" s="34"/>
      <c r="O8" s="43" t="s">
        <v>114</v>
      </c>
      <c r="P8" s="5">
        <v>487778</v>
      </c>
      <c r="Q8" s="5">
        <v>414686</v>
      </c>
      <c r="R8" s="5">
        <v>358020</v>
      </c>
    </row>
    <row r="9" spans="1:18" x14ac:dyDescent="0.35">
      <c r="A9" s="2" t="s">
        <v>90</v>
      </c>
      <c r="B9" s="31">
        <f>(P20+P18)/(AVERAGE(B8:C8))</f>
        <v>0.38334543410662236</v>
      </c>
      <c r="C9" s="31">
        <f>(Q20+Q18)/(AVERAGE(C8:D8))</f>
        <v>0.26428457360903812</v>
      </c>
      <c r="D9" s="5"/>
      <c r="O9" s="2" t="s">
        <v>5</v>
      </c>
      <c r="P9" s="5">
        <v>0</v>
      </c>
      <c r="Q9" s="5">
        <v>3926</v>
      </c>
      <c r="R9" s="5">
        <v>0</v>
      </c>
    </row>
    <row r="10" spans="1:18" x14ac:dyDescent="0.35">
      <c r="O10" s="2" t="s">
        <v>6</v>
      </c>
      <c r="P10" s="5">
        <v>1768036</v>
      </c>
      <c r="Q10" s="5">
        <v>1584825</v>
      </c>
      <c r="R10" s="5">
        <v>1377795</v>
      </c>
    </row>
    <row r="11" spans="1:18" ht="15" thickBot="1" x14ac:dyDescent="0.4">
      <c r="A11" s="2" t="s">
        <v>206</v>
      </c>
      <c r="O11" s="3" t="s">
        <v>7</v>
      </c>
      <c r="P11" s="4">
        <f>P4-SUM(P6:P10)</f>
        <v>3460811</v>
      </c>
      <c r="Q11" s="4">
        <f>Q4-SUM(Q6:Q10)</f>
        <v>3162227</v>
      </c>
      <c r="R11" s="4">
        <f>R4-SUM(R6:R10)</f>
        <v>2431647</v>
      </c>
    </row>
    <row r="12" spans="1:18" x14ac:dyDescent="0.35">
      <c r="B12" s="13"/>
      <c r="C12" s="13"/>
      <c r="D12" s="13"/>
      <c r="P12" s="5"/>
      <c r="Q12" s="5"/>
      <c r="R12" s="5"/>
    </row>
    <row r="13" spans="1:18" x14ac:dyDescent="0.35">
      <c r="O13" s="2" t="s">
        <v>4</v>
      </c>
      <c r="P13" s="5">
        <v>845831</v>
      </c>
      <c r="Q13" s="5">
        <v>-370014</v>
      </c>
      <c r="R13" s="5">
        <v>653955</v>
      </c>
    </row>
    <row r="14" spans="1:18" ht="15" thickBot="1" x14ac:dyDescent="0.4">
      <c r="A14" s="2" t="s">
        <v>106</v>
      </c>
      <c r="O14" s="6" t="s">
        <v>1</v>
      </c>
      <c r="P14" s="7">
        <f>P11+P13</f>
        <v>4306642</v>
      </c>
      <c r="Q14" s="7">
        <f>Q11+Q13</f>
        <v>2792213</v>
      </c>
      <c r="R14" s="7">
        <f>R11+R13</f>
        <v>3085602</v>
      </c>
    </row>
    <row r="15" spans="1:18" x14ac:dyDescent="0.35">
      <c r="P15" s="5"/>
      <c r="Q15" s="5"/>
      <c r="R15" s="5"/>
    </row>
    <row r="16" spans="1:18" x14ac:dyDescent="0.35">
      <c r="O16" s="2" t="s">
        <v>11</v>
      </c>
      <c r="P16" s="5">
        <v>252933</v>
      </c>
      <c r="Q16" s="5">
        <v>208941</v>
      </c>
      <c r="R16" s="5">
        <v>286844</v>
      </c>
    </row>
    <row r="17" spans="1:18" x14ac:dyDescent="0.35">
      <c r="A17" s="30" t="s">
        <v>92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O17" s="2" t="s">
        <v>12</v>
      </c>
      <c r="P17" s="5">
        <v>10964</v>
      </c>
      <c r="Q17" s="5">
        <v>11109</v>
      </c>
      <c r="R17" s="5">
        <f>5014+78142</f>
        <v>83156</v>
      </c>
    </row>
    <row r="18" spans="1:18" x14ac:dyDescent="0.35">
      <c r="O18" s="2" t="s">
        <v>8</v>
      </c>
      <c r="P18" s="5">
        <v>116101</v>
      </c>
      <c r="Q18" s="5">
        <v>106961</v>
      </c>
      <c r="R18" s="5">
        <v>106328</v>
      </c>
    </row>
    <row r="19" spans="1:18" x14ac:dyDescent="0.35">
      <c r="A19" s="2" t="s">
        <v>207</v>
      </c>
      <c r="O19" s="2" t="s">
        <v>9</v>
      </c>
      <c r="P19" s="5">
        <v>11871</v>
      </c>
      <c r="Q19" s="5">
        <v>49100</v>
      </c>
      <c r="R19" s="5">
        <v>7193</v>
      </c>
    </row>
    <row r="20" spans="1:18" ht="15" thickBot="1" x14ac:dyDescent="0.4">
      <c r="A20" s="2" t="s">
        <v>107</v>
      </c>
      <c r="O20" s="6" t="s">
        <v>105</v>
      </c>
      <c r="P20" s="7">
        <f>P14+P16+P17-P18-P19</f>
        <v>4442567</v>
      </c>
      <c r="Q20" s="7">
        <f>Q14+Q16+Q17-Q18-Q19</f>
        <v>2856202</v>
      </c>
      <c r="R20" s="7">
        <f>R14+R16+R17-R18-R19</f>
        <v>3342081</v>
      </c>
    </row>
    <row r="21" spans="1:18" x14ac:dyDescent="0.35">
      <c r="A21" s="2" t="s">
        <v>108</v>
      </c>
      <c r="O21" s="2" t="s">
        <v>10</v>
      </c>
      <c r="P21" s="5">
        <v>873343</v>
      </c>
      <c r="Q21" s="5">
        <v>558402</v>
      </c>
      <c r="R21" s="5">
        <v>691090</v>
      </c>
    </row>
    <row r="22" spans="1:18" ht="15" thickBot="1" x14ac:dyDescent="0.4">
      <c r="O22" s="6" t="s">
        <v>2</v>
      </c>
      <c r="P22" s="7">
        <f>P20-P21</f>
        <v>3569224</v>
      </c>
      <c r="Q22" s="7">
        <f>Q20-Q21</f>
        <v>2297800</v>
      </c>
      <c r="R22" s="7">
        <f>R20-R21</f>
        <v>2650991</v>
      </c>
    </row>
    <row r="23" spans="1:18" x14ac:dyDescent="0.35">
      <c r="A23" s="30" t="s">
        <v>93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P23" s="5"/>
      <c r="Q23" s="5"/>
      <c r="R23" s="5"/>
    </row>
    <row r="24" spans="1:18" x14ac:dyDescent="0.35">
      <c r="P24" s="13"/>
      <c r="Q24" s="13"/>
      <c r="R24" s="13"/>
    </row>
    <row r="25" spans="1:18" ht="21.5" thickBot="1" x14ac:dyDescent="0.55000000000000004">
      <c r="A25" s="3"/>
      <c r="B25" s="3">
        <v>2018</v>
      </c>
      <c r="C25" s="3">
        <v>2017</v>
      </c>
      <c r="O25" s="9" t="s">
        <v>88</v>
      </c>
      <c r="P25" s="13"/>
      <c r="Q25" s="13"/>
      <c r="R25" s="13"/>
    </row>
    <row r="26" spans="1:18" x14ac:dyDescent="0.35">
      <c r="A26" s="2" t="s">
        <v>111</v>
      </c>
      <c r="B26" s="39">
        <f>B5</f>
        <v>0.32490191028654564</v>
      </c>
      <c r="C26" s="39">
        <f>C5</f>
        <v>0.22509651631216168</v>
      </c>
      <c r="P26" s="13"/>
      <c r="Q26" s="13"/>
      <c r="R26" s="13"/>
    </row>
    <row r="27" spans="1:18" ht="30.5" x14ac:dyDescent="0.5">
      <c r="A27" s="38" t="s">
        <v>109</v>
      </c>
      <c r="B27" s="41">
        <f>P4/AVERAGE(B4:C4)</f>
        <v>0.80839786142098957</v>
      </c>
      <c r="C27" s="41">
        <f>Q4/AVERAGE(C4:D4)</f>
        <v>0.82173089699066004</v>
      </c>
      <c r="O27" s="9" t="s">
        <v>14</v>
      </c>
      <c r="P27" s="28">
        <v>2018</v>
      </c>
      <c r="Q27" s="28">
        <v>2017</v>
      </c>
      <c r="R27" s="28">
        <v>2016</v>
      </c>
    </row>
    <row r="28" spans="1:18" ht="18.5" x14ac:dyDescent="0.45">
      <c r="A28" s="5" t="s">
        <v>110</v>
      </c>
      <c r="B28" s="31">
        <f>(P20+P18)/P4</f>
        <v>0.40190842379943703</v>
      </c>
      <c r="C28" s="31">
        <f>(Q20+Q18)/Q4</f>
        <v>0.27392972217122336</v>
      </c>
      <c r="O28" s="10" t="s">
        <v>13</v>
      </c>
      <c r="P28" s="5"/>
      <c r="Q28" s="5"/>
      <c r="R28" s="5"/>
    </row>
    <row r="29" spans="1:18" ht="15" thickBot="1" x14ac:dyDescent="0.4">
      <c r="A29" s="4" t="s">
        <v>112</v>
      </c>
      <c r="B29" s="42">
        <f>B27*B28</f>
        <v>0.32490191028654564</v>
      </c>
      <c r="C29" s="42">
        <f>C27*C28</f>
        <v>0.22509651631216165</v>
      </c>
      <c r="O29" s="11" t="s">
        <v>29</v>
      </c>
      <c r="P29" s="4">
        <v>3403951</v>
      </c>
      <c r="Q29" s="4">
        <v>2924975</v>
      </c>
      <c r="R29" s="4">
        <v>2910796</v>
      </c>
    </row>
    <row r="30" spans="1:18" x14ac:dyDescent="0.35">
      <c r="P30" s="5"/>
      <c r="Q30" s="5"/>
      <c r="R30" s="5"/>
    </row>
    <row r="31" spans="1:18" x14ac:dyDescent="0.35">
      <c r="A31" s="2" t="s">
        <v>208</v>
      </c>
      <c r="O31" s="43" t="s">
        <v>116</v>
      </c>
      <c r="P31" s="5">
        <v>1100269</v>
      </c>
      <c r="Q31" s="5">
        <v>1030052</v>
      </c>
      <c r="R31" s="5">
        <v>882066</v>
      </c>
    </row>
    <row r="32" spans="1:18" x14ac:dyDescent="0.35">
      <c r="O32" s="2" t="s">
        <v>15</v>
      </c>
      <c r="P32" s="5">
        <v>2234617</v>
      </c>
      <c r="Q32" s="5">
        <v>2314523</v>
      </c>
      <c r="R32" s="5">
        <v>1981840</v>
      </c>
    </row>
    <row r="33" spans="1:18" x14ac:dyDescent="0.35">
      <c r="O33" s="2" t="s">
        <v>16</v>
      </c>
      <c r="P33" s="5">
        <v>256604</v>
      </c>
      <c r="Q33" s="5">
        <v>260195</v>
      </c>
      <c r="R33" s="5">
        <v>273616</v>
      </c>
    </row>
    <row r="34" spans="1:18" ht="15" thickBot="1" x14ac:dyDescent="0.4">
      <c r="O34" s="6" t="s">
        <v>17</v>
      </c>
      <c r="P34" s="4">
        <f>SUM(P31:P33)</f>
        <v>3591490</v>
      </c>
      <c r="Q34" s="4">
        <f>SUM(Q31:Q33)</f>
        <v>3604770</v>
      </c>
      <c r="R34" s="4">
        <f>SUM(R31:R33)</f>
        <v>3137522</v>
      </c>
    </row>
    <row r="35" spans="1:18" ht="15" thickBot="1" x14ac:dyDescent="0.4">
      <c r="A35" s="30" t="s">
        <v>94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O35" s="6" t="s">
        <v>28</v>
      </c>
      <c r="P35" s="4">
        <v>1215500</v>
      </c>
      <c r="Q35" s="4">
        <v>1080852</v>
      </c>
      <c r="R35" s="4">
        <v>960017</v>
      </c>
    </row>
    <row r="36" spans="1:18" x14ac:dyDescent="0.35">
      <c r="P36" s="5"/>
      <c r="Q36" s="5"/>
      <c r="R36" s="5"/>
    </row>
    <row r="37" spans="1:18" ht="15" thickBot="1" x14ac:dyDescent="0.4">
      <c r="A37" s="3"/>
      <c r="B37" s="3">
        <v>2018</v>
      </c>
      <c r="C37" s="3">
        <v>2017</v>
      </c>
      <c r="D37" s="3">
        <v>2016</v>
      </c>
      <c r="F37" s="33" t="s">
        <v>112</v>
      </c>
      <c r="H37" s="2" t="s">
        <v>216</v>
      </c>
      <c r="O37" s="6" t="s">
        <v>18</v>
      </c>
      <c r="P37" s="4">
        <f>P29+P34+P35</f>
        <v>8210941</v>
      </c>
      <c r="Q37" s="4">
        <f>Q29+Q34+Q35</f>
        <v>7610597</v>
      </c>
      <c r="R37" s="4">
        <f>R29+R34+R35</f>
        <v>7008335</v>
      </c>
    </row>
    <row r="38" spans="1:18" ht="18.5" x14ac:dyDescent="0.45">
      <c r="A38" s="2" t="s">
        <v>113</v>
      </c>
      <c r="B38" s="5">
        <f>P42-SUM(P49:P52)</f>
        <v>3489448</v>
      </c>
      <c r="C38" s="5">
        <f>Q42-SUM(Q49:Q52)</f>
        <v>2575752</v>
      </c>
      <c r="D38" s="5">
        <f>R42-SUM(R49:R52)</f>
        <v>3607355</v>
      </c>
      <c r="F38" s="5">
        <f>(P47+P48)-P37</f>
        <v>3489449</v>
      </c>
      <c r="H38" s="5">
        <f>P42-P52</f>
        <v>5675516</v>
      </c>
      <c r="O38" s="10" t="s">
        <v>19</v>
      </c>
      <c r="P38" s="5"/>
      <c r="Q38" s="5"/>
      <c r="R38" s="5"/>
    </row>
    <row r="39" spans="1:18" x14ac:dyDescent="0.35">
      <c r="D39" s="5"/>
      <c r="O39" s="12" t="s">
        <v>27</v>
      </c>
      <c r="P39" s="5">
        <v>5765550</v>
      </c>
      <c r="Q39" s="5">
        <v>4394573</v>
      </c>
      <c r="R39" s="5">
        <v>5221784</v>
      </c>
    </row>
    <row r="40" spans="1:18" x14ac:dyDescent="0.35">
      <c r="A40" s="2" t="s">
        <v>175</v>
      </c>
      <c r="O40" s="12" t="s">
        <v>26</v>
      </c>
      <c r="P40" s="5">
        <v>919477</v>
      </c>
      <c r="Q40" s="5">
        <v>743978</v>
      </c>
      <c r="R40" s="5">
        <v>897852</v>
      </c>
    </row>
    <row r="41" spans="1:18" x14ac:dyDescent="0.35">
      <c r="O41" s="2" t="s">
        <v>20</v>
      </c>
      <c r="P41" s="5">
        <v>239596</v>
      </c>
      <c r="Q41" s="5">
        <v>177098</v>
      </c>
      <c r="R41" s="5">
        <v>273715</v>
      </c>
    </row>
    <row r="42" spans="1:18" ht="15" thickBot="1" x14ac:dyDescent="0.4">
      <c r="A42" s="37" t="s">
        <v>176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O42" s="6" t="s">
        <v>21</v>
      </c>
      <c r="P42" s="7">
        <f>SUM(P39:P41)</f>
        <v>6924623</v>
      </c>
      <c r="Q42" s="7">
        <f>SUM(Q39:Q41)</f>
        <v>5315649</v>
      </c>
      <c r="R42" s="7">
        <f>SUM(R39:R41)</f>
        <v>6393351</v>
      </c>
    </row>
    <row r="43" spans="1:18" x14ac:dyDescent="0.35">
      <c r="A43" s="2" t="s">
        <v>101</v>
      </c>
      <c r="P43" s="5"/>
      <c r="Q43" s="5"/>
      <c r="R43" s="5"/>
    </row>
    <row r="44" spans="1:18" ht="15" thickBot="1" x14ac:dyDescent="0.4">
      <c r="A44" s="2" t="s">
        <v>98</v>
      </c>
      <c r="O44" s="6" t="s">
        <v>22</v>
      </c>
      <c r="P44" s="7">
        <f>P37+P42</f>
        <v>15135564</v>
      </c>
      <c r="Q44" s="7">
        <f>Q37+Q42</f>
        <v>12926246</v>
      </c>
      <c r="R44" s="7">
        <f>R37+R42</f>
        <v>13401686</v>
      </c>
    </row>
    <row r="45" spans="1:18" x14ac:dyDescent="0.35">
      <c r="A45" s="2" t="s">
        <v>209</v>
      </c>
      <c r="B45" s="5">
        <f>P39-Q39+P6</f>
        <v>5956468</v>
      </c>
      <c r="C45" s="2" t="s">
        <v>99</v>
      </c>
      <c r="P45" s="13"/>
      <c r="Q45" s="13"/>
      <c r="R45" s="13"/>
    </row>
    <row r="46" spans="1:18" ht="21" x14ac:dyDescent="0.5">
      <c r="O46" s="9" t="s">
        <v>23</v>
      </c>
      <c r="P46" s="5"/>
      <c r="Q46" s="5"/>
      <c r="R46" s="5"/>
    </row>
    <row r="47" spans="1:18" ht="15" thickBot="1" x14ac:dyDescent="0.4">
      <c r="O47" s="6" t="s">
        <v>24</v>
      </c>
      <c r="P47" s="7">
        <v>9139842</v>
      </c>
      <c r="Q47" s="7">
        <v>7668128</v>
      </c>
      <c r="R47" s="7">
        <v>6680833</v>
      </c>
    </row>
    <row r="48" spans="1:18" x14ac:dyDescent="0.35">
      <c r="A48" s="30" t="s">
        <v>96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O48" s="2" t="s">
        <v>25</v>
      </c>
      <c r="P48" s="5">
        <v>2560548</v>
      </c>
      <c r="Q48" s="5">
        <v>2518221</v>
      </c>
      <c r="R48" s="5">
        <v>3934858</v>
      </c>
    </row>
    <row r="49" spans="1:18" x14ac:dyDescent="0.35">
      <c r="O49" s="2" t="s">
        <v>102</v>
      </c>
      <c r="P49" s="5">
        <v>1194760</v>
      </c>
      <c r="Q49" s="5">
        <v>1248975</v>
      </c>
      <c r="R49" s="5">
        <v>1199402</v>
      </c>
    </row>
    <row r="50" spans="1:18" x14ac:dyDescent="0.35">
      <c r="O50" s="2" t="s">
        <v>190</v>
      </c>
      <c r="P50" s="5">
        <v>690717</v>
      </c>
      <c r="Q50" s="5">
        <v>672448</v>
      </c>
      <c r="R50" s="5">
        <v>423223</v>
      </c>
    </row>
    <row r="51" spans="1:18" x14ac:dyDescent="0.35">
      <c r="A51" s="2" t="s">
        <v>32</v>
      </c>
      <c r="B51" s="5">
        <f>P47-Q47</f>
        <v>1471714</v>
      </c>
      <c r="O51" s="2" t="s">
        <v>103</v>
      </c>
      <c r="P51" s="5">
        <v>300591</v>
      </c>
      <c r="Q51" s="5">
        <v>170716</v>
      </c>
      <c r="R51" s="5">
        <v>189136</v>
      </c>
    </row>
    <row r="52" spans="1:18" x14ac:dyDescent="0.35">
      <c r="O52" s="2" t="s">
        <v>104</v>
      </c>
      <c r="P52" s="5">
        <f>748188+500919</f>
        <v>1249107</v>
      </c>
      <c r="Q52" s="5">
        <f>243633+404125</f>
        <v>647758</v>
      </c>
      <c r="R52" s="5">
        <f>775622+198613</f>
        <v>974235</v>
      </c>
    </row>
    <row r="53" spans="1:18" ht="15" thickBot="1" x14ac:dyDescent="0.4">
      <c r="A53" s="2" t="s">
        <v>2</v>
      </c>
      <c r="B53" s="5">
        <f>P22</f>
        <v>3569224</v>
      </c>
      <c r="O53" s="6" t="s">
        <v>30</v>
      </c>
      <c r="P53" s="7">
        <f>SUM(P48:P52)</f>
        <v>5995723</v>
      </c>
      <c r="Q53" s="7">
        <f>SUM(Q48:Q52)</f>
        <v>5258118</v>
      </c>
      <c r="R53" s="7">
        <f>SUM(R48:R52)</f>
        <v>6720854</v>
      </c>
    </row>
    <row r="54" spans="1:18" x14ac:dyDescent="0.35">
      <c r="A54" s="2" t="s">
        <v>177</v>
      </c>
      <c r="B54" s="5">
        <v>2097510</v>
      </c>
      <c r="P54" s="5"/>
      <c r="Q54" s="5"/>
      <c r="R54" s="5"/>
    </row>
    <row r="55" spans="1:18" ht="15" thickBot="1" x14ac:dyDescent="0.4">
      <c r="A55" s="2" t="s">
        <v>33</v>
      </c>
      <c r="B55" s="5">
        <f>B53-B54</f>
        <v>1471714</v>
      </c>
      <c r="O55" s="6" t="s">
        <v>31</v>
      </c>
      <c r="P55" s="7">
        <f>P47+P53</f>
        <v>15135565</v>
      </c>
      <c r="Q55" s="7">
        <f>Q47+Q53</f>
        <v>12926246</v>
      </c>
      <c r="R55" s="7">
        <f>R47+R53</f>
        <v>13401687</v>
      </c>
    </row>
    <row r="56" spans="1:18" x14ac:dyDescent="0.35">
      <c r="P56" s="13"/>
      <c r="Q56" s="13"/>
      <c r="R56" s="13"/>
    </row>
    <row r="57" spans="1:18" x14ac:dyDescent="0.35">
      <c r="A57" s="36" t="s">
        <v>95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P57" s="13"/>
      <c r="Q57" s="13"/>
      <c r="R57" s="13"/>
    </row>
    <row r="58" spans="1:18" x14ac:dyDescent="0.35">
      <c r="A58" s="8"/>
      <c r="P58" s="13"/>
      <c r="Q58" s="13"/>
      <c r="R58" s="13"/>
    </row>
    <row r="59" spans="1:18" ht="15" thickBot="1" x14ac:dyDescent="0.4">
      <c r="A59" s="3"/>
      <c r="B59" s="3">
        <v>2018</v>
      </c>
    </row>
    <row r="60" spans="1:18" x14ac:dyDescent="0.35">
      <c r="A60" s="2" t="s">
        <v>124</v>
      </c>
      <c r="B60" s="5">
        <f>44265</f>
        <v>44265</v>
      </c>
    </row>
    <row r="61" spans="1:18" x14ac:dyDescent="0.35">
      <c r="A61" s="2" t="s">
        <v>123</v>
      </c>
      <c r="B61" s="5">
        <f>P22/1000</f>
        <v>3569.2240000000002</v>
      </c>
    </row>
    <row r="62" spans="1:18" x14ac:dyDescent="0.35">
      <c r="A62" s="2" t="s">
        <v>125</v>
      </c>
      <c r="B62" s="5">
        <f>P47/1000</f>
        <v>9139.8420000000006</v>
      </c>
    </row>
    <row r="63" spans="1:18" x14ac:dyDescent="0.35">
      <c r="A63" s="2" t="s">
        <v>131</v>
      </c>
      <c r="B63" s="5">
        <f>P53/1000</f>
        <v>5995.723</v>
      </c>
    </row>
    <row r="64" spans="1:18" x14ac:dyDescent="0.35">
      <c r="A64" s="2" t="s">
        <v>132</v>
      </c>
      <c r="B64" s="5">
        <f>P41/1000</f>
        <v>239.596</v>
      </c>
    </row>
    <row r="65" spans="1:3" x14ac:dyDescent="0.35">
      <c r="A65" s="2" t="s">
        <v>217</v>
      </c>
      <c r="B65" s="5">
        <f>B60+B63-B64</f>
        <v>50021.127</v>
      </c>
    </row>
    <row r="66" spans="1:3" x14ac:dyDescent="0.35">
      <c r="A66" s="33" t="s">
        <v>126</v>
      </c>
    </row>
    <row r="67" spans="1:3" x14ac:dyDescent="0.35">
      <c r="A67" s="2" t="s">
        <v>117</v>
      </c>
      <c r="B67" s="45">
        <f>B60/B61</f>
        <v>12.401855417311998</v>
      </c>
    </row>
    <row r="68" spans="1:3" x14ac:dyDescent="0.35">
      <c r="A68" s="2" t="s">
        <v>118</v>
      </c>
      <c r="B68" s="41">
        <f>B60/B62</f>
        <v>4.8430815324816336</v>
      </c>
    </row>
    <row r="69" spans="1:3" x14ac:dyDescent="0.35">
      <c r="A69" s="2" t="s">
        <v>119</v>
      </c>
    </row>
    <row r="70" spans="1:3" x14ac:dyDescent="0.35">
      <c r="A70" s="2" t="s">
        <v>121</v>
      </c>
      <c r="B70" s="13">
        <f>(B60+B63-B64)/(P14/1000)</f>
        <v>11.614879295748288</v>
      </c>
    </row>
    <row r="71" spans="1:3" x14ac:dyDescent="0.35">
      <c r="A71" s="2" t="s">
        <v>120</v>
      </c>
      <c r="B71" s="13">
        <f>(B60+B63-B64)/((P14+P8)/1000)</f>
        <v>10.433196716182563</v>
      </c>
      <c r="C71" s="2" t="s">
        <v>127</v>
      </c>
    </row>
    <row r="73" spans="1:3" x14ac:dyDescent="0.35">
      <c r="A73" s="2" t="s">
        <v>128</v>
      </c>
    </row>
    <row r="74" spans="1:3" x14ac:dyDescent="0.35">
      <c r="A74" s="2" t="s">
        <v>129</v>
      </c>
    </row>
    <row r="76" spans="1:3" x14ac:dyDescent="0.35">
      <c r="A76" s="2" t="s">
        <v>210</v>
      </c>
    </row>
    <row r="77" spans="1:3" x14ac:dyDescent="0.35">
      <c r="A77" s="2" t="s">
        <v>130</v>
      </c>
    </row>
    <row r="81" spans="1:12" x14ac:dyDescent="0.35">
      <c r="A81" s="36" t="s">
        <v>97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</row>
    <row r="84" spans="1:12" x14ac:dyDescent="0.35">
      <c r="A84" s="2" t="s">
        <v>133</v>
      </c>
      <c r="B84" s="13">
        <f>3.5*1.12*1.141</f>
        <v>4.4727200000000007</v>
      </c>
    </row>
    <row r="85" spans="1:12" x14ac:dyDescent="0.35">
      <c r="A85" s="2" t="s">
        <v>134</v>
      </c>
      <c r="B85" s="39">
        <v>0.14099999999999999</v>
      </c>
    </row>
    <row r="86" spans="1:12" x14ac:dyDescent="0.35">
      <c r="A86" s="2" t="s">
        <v>135</v>
      </c>
    </row>
    <row r="88" spans="1:12" x14ac:dyDescent="0.35">
      <c r="A88" s="2" t="s">
        <v>193</v>
      </c>
    </row>
    <row r="89" spans="1:12" x14ac:dyDescent="0.35">
      <c r="A89" s="2" t="s">
        <v>133</v>
      </c>
      <c r="B89" s="13">
        <f>3.5*(10.82/12)*1.12*1.141</f>
        <v>4.0329025333333339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>
              <from>
                <xdr:col>4</xdr:col>
                <xdr:colOff>120650</xdr:colOff>
                <xdr:row>3</xdr:row>
                <xdr:rowOff>12700</xdr:rowOff>
              </from>
              <to>
                <xdr:col>8</xdr:col>
                <xdr:colOff>215900</xdr:colOff>
                <xdr:row>4</xdr:row>
                <xdr:rowOff>146050</xdr:rowOff>
              </to>
            </anchor>
          </objectPr>
        </oleObject>
      </mc:Choice>
      <mc:Fallback>
        <oleObject shapeId="4097" r:id="rId4"/>
      </mc:Fallback>
    </mc:AlternateContent>
    <mc:AlternateContent xmlns:mc="http://schemas.openxmlformats.org/markup-compatibility/2006">
      <mc:Choice Requires="x14">
        <oleObject shapeId="4098" r:id="rId6">
          <objectPr defaultSize="0" autoPict="0" r:id="rId7">
            <anchor moveWithCells="1">
              <from>
                <xdr:col>4</xdr:col>
                <xdr:colOff>120650</xdr:colOff>
                <xdr:row>1</xdr:row>
                <xdr:rowOff>114300</xdr:rowOff>
              </from>
              <to>
                <xdr:col>7</xdr:col>
                <xdr:colOff>717550</xdr:colOff>
                <xdr:row>2</xdr:row>
                <xdr:rowOff>139700</xdr:rowOff>
              </to>
            </anchor>
          </objectPr>
        </oleObject>
      </mc:Choice>
      <mc:Fallback>
        <oleObject shapeId="409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69"/>
  <sheetViews>
    <sheetView tabSelected="1" topLeftCell="A7" zoomScale="85" zoomScaleNormal="85" workbookViewId="0">
      <selection activeCell="B22" sqref="B22"/>
    </sheetView>
  </sheetViews>
  <sheetFormatPr defaultColWidth="8.90625" defaultRowHeight="14.5" x14ac:dyDescent="0.35"/>
  <cols>
    <col min="1" max="1" width="12.453125" style="2" customWidth="1"/>
    <col min="2" max="2" width="28.08984375" style="2" customWidth="1"/>
    <col min="3" max="3" width="13.54296875" style="2" customWidth="1"/>
    <col min="4" max="4" width="18.36328125" style="2" customWidth="1"/>
    <col min="5" max="5" width="13.81640625" style="2" customWidth="1"/>
    <col min="6" max="6" width="10.6328125" style="2" customWidth="1"/>
    <col min="7" max="7" width="8.90625" style="2"/>
    <col min="8" max="8" width="5.90625" style="1" customWidth="1"/>
    <col min="9" max="10" width="8.90625" style="2"/>
    <col min="11" max="11" width="30.36328125" style="2" customWidth="1"/>
    <col min="12" max="15" width="8.90625" style="2" customWidth="1"/>
    <col min="16" max="16384" width="8.90625" style="2"/>
  </cols>
  <sheetData>
    <row r="2" spans="1:17" x14ac:dyDescent="0.35">
      <c r="A2" s="1" t="s">
        <v>48</v>
      </c>
      <c r="B2" s="1"/>
      <c r="C2" s="1"/>
      <c r="D2" s="1"/>
      <c r="E2" s="1"/>
      <c r="F2" s="1"/>
      <c r="G2" s="1"/>
    </row>
    <row r="3" spans="1:17" x14ac:dyDescent="0.35">
      <c r="K3" s="2" t="s">
        <v>34</v>
      </c>
    </row>
    <row r="4" spans="1:17" ht="15" customHeight="1" x14ac:dyDescent="0.35">
      <c r="B4" s="53" t="s">
        <v>136</v>
      </c>
      <c r="C4" s="53"/>
      <c r="D4" s="53"/>
      <c r="E4" s="53"/>
      <c r="F4" s="53"/>
      <c r="G4" s="53"/>
      <c r="K4" s="2" t="s">
        <v>35</v>
      </c>
    </row>
    <row r="5" spans="1:17" x14ac:dyDescent="0.35">
      <c r="B5" s="53"/>
      <c r="C5" s="53"/>
      <c r="D5" s="53"/>
      <c r="E5" s="53"/>
      <c r="F5" s="53"/>
      <c r="G5" s="53"/>
    </row>
    <row r="6" spans="1:17" x14ac:dyDescent="0.35">
      <c r="B6" s="53"/>
      <c r="C6" s="53"/>
      <c r="D6" s="53"/>
      <c r="E6" s="53"/>
      <c r="F6" s="53"/>
      <c r="G6" s="53"/>
    </row>
    <row r="7" spans="1:17" x14ac:dyDescent="0.35">
      <c r="B7" s="53"/>
      <c r="C7" s="53"/>
      <c r="D7" s="53"/>
      <c r="E7" s="53"/>
      <c r="F7" s="53"/>
      <c r="G7" s="53"/>
    </row>
    <row r="8" spans="1:17" x14ac:dyDescent="0.35">
      <c r="B8" s="53"/>
      <c r="C8" s="53"/>
      <c r="D8" s="53"/>
      <c r="E8" s="53"/>
      <c r="F8" s="53"/>
      <c r="G8" s="53"/>
    </row>
    <row r="9" spans="1:17" x14ac:dyDescent="0.35">
      <c r="K9" s="14"/>
      <c r="L9" s="14"/>
      <c r="M9" s="14"/>
      <c r="N9" s="14"/>
      <c r="O9" s="14"/>
      <c r="P9" s="14"/>
    </row>
    <row r="10" spans="1:17" ht="43.5" x14ac:dyDescent="0.35">
      <c r="A10" s="54" t="s">
        <v>47</v>
      </c>
      <c r="B10" s="54"/>
      <c r="C10" s="54"/>
      <c r="D10" s="54"/>
      <c r="E10" s="54"/>
      <c r="F10" s="54"/>
      <c r="G10" s="54"/>
      <c r="K10" s="16"/>
      <c r="L10" s="17" t="s">
        <v>194</v>
      </c>
      <c r="M10" s="17" t="s">
        <v>41</v>
      </c>
      <c r="N10" s="17" t="s">
        <v>42</v>
      </c>
      <c r="O10" s="17" t="s">
        <v>37</v>
      </c>
      <c r="P10" s="21" t="s">
        <v>39</v>
      </c>
      <c r="Q10" s="35" t="s">
        <v>142</v>
      </c>
    </row>
    <row r="11" spans="1:17" x14ac:dyDescent="0.35">
      <c r="K11" s="14" t="s">
        <v>192</v>
      </c>
      <c r="L11" s="19" t="s">
        <v>191</v>
      </c>
      <c r="M11" s="19">
        <v>6000</v>
      </c>
      <c r="N11" s="19">
        <v>7000</v>
      </c>
      <c r="O11" s="19">
        <v>0</v>
      </c>
      <c r="P11" s="5">
        <f>SUM(L11:O11)</f>
        <v>13000</v>
      </c>
      <c r="Q11" s="2">
        <f>P11/10</f>
        <v>1300</v>
      </c>
    </row>
    <row r="12" spans="1:17" x14ac:dyDescent="0.35">
      <c r="K12" s="2" t="s">
        <v>35</v>
      </c>
      <c r="L12" s="5">
        <v>1000</v>
      </c>
      <c r="M12" s="5">
        <v>450</v>
      </c>
      <c r="N12" s="5">
        <v>2200</v>
      </c>
      <c r="O12" s="5">
        <v>1100</v>
      </c>
      <c r="P12" s="5">
        <f>SUM(L12:O12)</f>
        <v>4750</v>
      </c>
      <c r="Q12" s="2">
        <f>P12/10</f>
        <v>475</v>
      </c>
    </row>
    <row r="13" spans="1:17" ht="15" thickBot="1" x14ac:dyDescent="0.4">
      <c r="B13" s="3" t="s">
        <v>211</v>
      </c>
      <c r="C13" s="3" t="s">
        <v>140</v>
      </c>
      <c r="D13" s="3" t="s">
        <v>141</v>
      </c>
      <c r="E13" s="3"/>
      <c r="K13" s="15" t="s">
        <v>44</v>
      </c>
      <c r="L13" s="20">
        <v>500</v>
      </c>
      <c r="M13" s="20">
        <v>500</v>
      </c>
      <c r="N13" s="20">
        <v>500</v>
      </c>
      <c r="O13" s="20">
        <v>500</v>
      </c>
      <c r="P13" s="5">
        <f>SUM(L13:O13)</f>
        <v>2000</v>
      </c>
      <c r="Q13" s="2">
        <f>P13/10</f>
        <v>200</v>
      </c>
    </row>
    <row r="14" spans="1:17" x14ac:dyDescent="0.35">
      <c r="B14" s="2" t="s">
        <v>43</v>
      </c>
      <c r="C14" s="13">
        <f>P13/P16</f>
        <v>444.44444444444446</v>
      </c>
      <c r="D14" s="41">
        <f>(P13/P16)/10</f>
        <v>44.444444444444443</v>
      </c>
      <c r="E14" s="2" t="s">
        <v>46</v>
      </c>
      <c r="K14" s="15" t="s">
        <v>38</v>
      </c>
      <c r="L14" s="20">
        <v>1000</v>
      </c>
      <c r="M14" s="20">
        <v>1000</v>
      </c>
      <c r="N14" s="20">
        <v>1000</v>
      </c>
      <c r="O14" s="20">
        <v>1000</v>
      </c>
      <c r="P14" s="5">
        <f>SUM(L14:O14)</f>
        <v>4000</v>
      </c>
    </row>
    <row r="15" spans="1:17" x14ac:dyDescent="0.35">
      <c r="B15" s="2" t="s">
        <v>45</v>
      </c>
      <c r="C15" s="13">
        <f>SUM(P13:P14)/P16</f>
        <v>1333.3333333333333</v>
      </c>
      <c r="D15" s="41">
        <f>(SUM(P13:P14)/P16)/10</f>
        <v>133.33333333333331</v>
      </c>
      <c r="E15" s="2" t="s">
        <v>46</v>
      </c>
      <c r="K15" s="14"/>
      <c r="L15" s="19"/>
      <c r="M15" s="19"/>
      <c r="N15" s="19"/>
      <c r="O15" s="19"/>
      <c r="P15" s="19"/>
    </row>
    <row r="16" spans="1:17" x14ac:dyDescent="0.35">
      <c r="K16" s="14" t="s">
        <v>40</v>
      </c>
      <c r="L16" s="18">
        <v>1</v>
      </c>
      <c r="M16" s="18">
        <v>0.5</v>
      </c>
      <c r="N16" s="18">
        <v>2</v>
      </c>
      <c r="O16" s="18">
        <v>1</v>
      </c>
      <c r="P16" s="18">
        <f>SUM(L16:O16)</f>
        <v>4.5</v>
      </c>
    </row>
    <row r="18" spans="1:12" x14ac:dyDescent="0.35">
      <c r="A18" s="1" t="s">
        <v>49</v>
      </c>
      <c r="B18" s="1"/>
      <c r="C18" s="1"/>
      <c r="D18" s="1"/>
      <c r="E18" s="1"/>
      <c r="F18" s="1"/>
      <c r="G18" s="1"/>
    </row>
    <row r="19" spans="1:12" x14ac:dyDescent="0.35">
      <c r="K19" s="2" t="s">
        <v>55</v>
      </c>
      <c r="L19" s="2">
        <f>2300*10</f>
        <v>23000</v>
      </c>
    </row>
    <row r="20" spans="1:12" x14ac:dyDescent="0.35">
      <c r="B20" s="16"/>
      <c r="C20" s="17" t="s">
        <v>139</v>
      </c>
      <c r="D20" s="17" t="s">
        <v>222</v>
      </c>
      <c r="E20" s="17"/>
      <c r="F20" s="17"/>
      <c r="G20" s="21"/>
    </row>
    <row r="21" spans="1:12" x14ac:dyDescent="0.35">
      <c r="B21" s="14" t="s">
        <v>223</v>
      </c>
      <c r="C21" s="19">
        <f>P11</f>
        <v>13000</v>
      </c>
      <c r="D21" s="19">
        <f>C21/10</f>
        <v>1300</v>
      </c>
      <c r="E21" s="19"/>
      <c r="F21" s="19"/>
      <c r="G21" s="5"/>
    </row>
    <row r="22" spans="1:12" x14ac:dyDescent="0.35">
      <c r="B22" s="2" t="s">
        <v>35</v>
      </c>
      <c r="C22" s="19">
        <f>P12-O12</f>
        <v>3650</v>
      </c>
      <c r="D22" s="19">
        <f t="shared" ref="D22:D35" si="0">C22/10</f>
        <v>365</v>
      </c>
      <c r="E22" s="5"/>
      <c r="F22" s="5"/>
      <c r="G22" s="5"/>
    </row>
    <row r="23" spans="1:12" x14ac:dyDescent="0.35">
      <c r="B23" s="2" t="s">
        <v>51</v>
      </c>
      <c r="C23" s="5">
        <f>SUM(C21:C22)</f>
        <v>16650</v>
      </c>
      <c r="D23" s="5">
        <f t="shared" si="0"/>
        <v>1665</v>
      </c>
      <c r="E23" s="20"/>
      <c r="F23" s="20"/>
      <c r="G23" s="5"/>
    </row>
    <row r="24" spans="1:12" x14ac:dyDescent="0.35">
      <c r="B24" s="22" t="s">
        <v>50</v>
      </c>
      <c r="C24" s="19"/>
      <c r="D24" s="19"/>
      <c r="E24" s="20"/>
      <c r="F24" s="20"/>
      <c r="G24" s="5"/>
    </row>
    <row r="25" spans="1:12" x14ac:dyDescent="0.35">
      <c r="B25" s="15" t="s">
        <v>57</v>
      </c>
      <c r="C25" s="19">
        <f>$C$14*L16</f>
        <v>444.44444444444446</v>
      </c>
      <c r="D25" s="19">
        <f t="shared" si="0"/>
        <v>44.444444444444443</v>
      </c>
      <c r="E25" s="19"/>
      <c r="F25" s="19"/>
      <c r="G25" s="19"/>
    </row>
    <row r="26" spans="1:12" x14ac:dyDescent="0.35">
      <c r="B26" s="15" t="s">
        <v>58</v>
      </c>
      <c r="C26" s="19">
        <f>$C$14*M16</f>
        <v>222.22222222222223</v>
      </c>
      <c r="D26" s="19">
        <f t="shared" si="0"/>
        <v>22.222222222222221</v>
      </c>
      <c r="E26" s="18"/>
      <c r="F26" s="18"/>
      <c r="G26" s="18"/>
    </row>
    <row r="27" spans="1:12" x14ac:dyDescent="0.35">
      <c r="B27" s="15" t="s">
        <v>59</v>
      </c>
      <c r="C27" s="19">
        <f>$C$14*N16</f>
        <v>888.88888888888891</v>
      </c>
      <c r="D27" s="19">
        <f t="shared" si="0"/>
        <v>88.888888888888886</v>
      </c>
    </row>
    <row r="28" spans="1:12" x14ac:dyDescent="0.35">
      <c r="B28" s="23" t="s">
        <v>52</v>
      </c>
      <c r="C28" s="25">
        <f>SUM(C25:C27)+C23</f>
        <v>18205.555555555555</v>
      </c>
      <c r="D28" s="25">
        <f t="shared" si="0"/>
        <v>1820.5555555555554</v>
      </c>
    </row>
    <row r="29" spans="1:12" x14ac:dyDescent="0.35">
      <c r="B29" s="14" t="s">
        <v>219</v>
      </c>
      <c r="C29" s="19">
        <f>O12</f>
        <v>1100</v>
      </c>
      <c r="D29" s="19">
        <f t="shared" si="0"/>
        <v>110</v>
      </c>
    </row>
    <row r="30" spans="1:12" x14ac:dyDescent="0.35">
      <c r="B30" s="2" t="s">
        <v>218</v>
      </c>
      <c r="C30" s="19">
        <f>$C$14*O16</f>
        <v>444.44444444444446</v>
      </c>
      <c r="D30" s="19">
        <f t="shared" si="0"/>
        <v>44.444444444444443</v>
      </c>
    </row>
    <row r="31" spans="1:12" x14ac:dyDescent="0.35">
      <c r="B31" s="23" t="s">
        <v>53</v>
      </c>
      <c r="C31" s="25">
        <f>C28+C30+C29</f>
        <v>19750</v>
      </c>
      <c r="D31" s="25">
        <f t="shared" si="0"/>
        <v>1975</v>
      </c>
    </row>
    <row r="33" spans="1:7" x14ac:dyDescent="0.35">
      <c r="B33" s="2" t="s">
        <v>54</v>
      </c>
      <c r="C33" s="5">
        <f>C35-C31</f>
        <v>3250</v>
      </c>
      <c r="D33" s="5">
        <f t="shared" si="0"/>
        <v>325</v>
      </c>
    </row>
    <row r="35" spans="1:7" x14ac:dyDescent="0.35">
      <c r="B35" s="23" t="s">
        <v>56</v>
      </c>
      <c r="C35" s="24">
        <f>L19</f>
        <v>23000</v>
      </c>
      <c r="D35" s="24">
        <f t="shared" si="0"/>
        <v>2300</v>
      </c>
    </row>
    <row r="36" spans="1:7" x14ac:dyDescent="0.35">
      <c r="B36" s="14"/>
      <c r="C36" s="18"/>
      <c r="D36" s="18"/>
    </row>
    <row r="37" spans="1:7" x14ac:dyDescent="0.35">
      <c r="B37" s="14"/>
      <c r="C37" s="18"/>
      <c r="D37" s="18"/>
    </row>
    <row r="39" spans="1:7" ht="33" customHeight="1" x14ac:dyDescent="0.35">
      <c r="A39" s="54" t="s">
        <v>137</v>
      </c>
      <c r="B39" s="54"/>
      <c r="C39" s="54"/>
      <c r="D39" s="54"/>
      <c r="E39" s="54"/>
      <c r="F39" s="54"/>
      <c r="G39" s="54"/>
    </row>
    <row r="41" spans="1:7" ht="29" x14ac:dyDescent="0.35">
      <c r="A41" s="51"/>
      <c r="B41" s="17" t="s">
        <v>36</v>
      </c>
      <c r="C41" s="17" t="s">
        <v>41</v>
      </c>
      <c r="D41" s="17" t="s">
        <v>42</v>
      </c>
      <c r="E41" s="17" t="s">
        <v>37</v>
      </c>
      <c r="F41" s="21" t="s">
        <v>39</v>
      </c>
    </row>
    <row r="42" spans="1:7" x14ac:dyDescent="0.35">
      <c r="A42" s="2" t="s">
        <v>40</v>
      </c>
      <c r="B42" s="52">
        <v>1</v>
      </c>
      <c r="C42" s="52">
        <v>1</v>
      </c>
      <c r="D42" s="52">
        <v>2</v>
      </c>
      <c r="E42" s="52">
        <v>1</v>
      </c>
      <c r="F42" s="52">
        <f>SUM(B42:E42)</f>
        <v>5</v>
      </c>
    </row>
    <row r="44" spans="1:7" x14ac:dyDescent="0.35">
      <c r="A44" s="2" t="s">
        <v>138</v>
      </c>
    </row>
    <row r="45" spans="1:7" x14ac:dyDescent="0.35">
      <c r="A45" s="2" t="s">
        <v>212</v>
      </c>
      <c r="C45" s="2">
        <f>(4750+450)</f>
        <v>5200</v>
      </c>
    </row>
    <row r="50" spans="1:5" x14ac:dyDescent="0.35">
      <c r="A50" s="33"/>
      <c r="C50" s="2" t="s">
        <v>140</v>
      </c>
      <c r="D50" s="2" t="s">
        <v>144</v>
      </c>
    </row>
    <row r="51" spans="1:5" x14ac:dyDescent="0.35">
      <c r="B51" s="14" t="s">
        <v>192</v>
      </c>
      <c r="C51" s="19">
        <f>P11+3000</f>
        <v>16000</v>
      </c>
      <c r="D51" s="13">
        <v>3000</v>
      </c>
      <c r="E51" s="13"/>
    </row>
    <row r="52" spans="1:5" x14ac:dyDescent="0.35">
      <c r="B52" s="2" t="s">
        <v>35</v>
      </c>
      <c r="C52" s="19">
        <f>C45-O12</f>
        <v>4100</v>
      </c>
      <c r="D52" s="13">
        <f>450</f>
        <v>450</v>
      </c>
      <c r="E52" s="13"/>
    </row>
    <row r="53" spans="1:5" x14ac:dyDescent="0.35">
      <c r="B53" s="2" t="s">
        <v>51</v>
      </c>
      <c r="C53" s="5">
        <f>SUM(C51:C52)</f>
        <v>20100</v>
      </c>
      <c r="D53" s="13">
        <f>SUM(D51:D52)</f>
        <v>3450</v>
      </c>
      <c r="E53" s="13"/>
    </row>
    <row r="54" spans="1:5" x14ac:dyDescent="0.35">
      <c r="B54" s="22" t="s">
        <v>50</v>
      </c>
      <c r="C54" s="19"/>
      <c r="D54" s="13"/>
      <c r="E54" s="13"/>
    </row>
    <row r="55" spans="1:5" x14ac:dyDescent="0.35">
      <c r="B55" s="15" t="s">
        <v>57</v>
      </c>
      <c r="C55" s="19">
        <f>$C$14*B42</f>
        <v>444.44444444444446</v>
      </c>
      <c r="D55" s="13">
        <v>0</v>
      </c>
      <c r="E55" s="13"/>
    </row>
    <row r="56" spans="1:5" x14ac:dyDescent="0.35">
      <c r="B56" s="15" t="s">
        <v>58</v>
      </c>
      <c r="C56" s="19">
        <f>$C$14*C42</f>
        <v>444.44444444444446</v>
      </c>
      <c r="D56" s="13">
        <f>C56/2</f>
        <v>222.22222222222223</v>
      </c>
      <c r="E56" s="13"/>
    </row>
    <row r="57" spans="1:5" x14ac:dyDescent="0.35">
      <c r="B57" s="15" t="s">
        <v>59</v>
      </c>
      <c r="C57" s="19">
        <f>$C$14*D42</f>
        <v>888.88888888888891</v>
      </c>
      <c r="D57" s="13">
        <v>0</v>
      </c>
      <c r="E57" s="13"/>
    </row>
    <row r="58" spans="1:5" x14ac:dyDescent="0.35">
      <c r="B58" s="23" t="s">
        <v>52</v>
      </c>
      <c r="C58" s="25">
        <f>SUM(C55:C57)+C53</f>
        <v>21877.777777777777</v>
      </c>
      <c r="D58" s="24">
        <f>SUM(D55:D57)+D53</f>
        <v>3672.2222222222222</v>
      </c>
      <c r="E58" s="13"/>
    </row>
    <row r="59" spans="1:5" x14ac:dyDescent="0.35">
      <c r="B59" s="14" t="s">
        <v>221</v>
      </c>
      <c r="C59" s="19">
        <f>O12</f>
        <v>1100</v>
      </c>
      <c r="D59" s="18">
        <v>0</v>
      </c>
      <c r="E59" s="13"/>
    </row>
    <row r="60" spans="1:5" x14ac:dyDescent="0.35">
      <c r="B60" s="2" t="s">
        <v>220</v>
      </c>
      <c r="C60" s="19">
        <f>$C$14*E42</f>
        <v>444.44444444444446</v>
      </c>
      <c r="D60" s="13">
        <v>0</v>
      </c>
      <c r="E60" s="13"/>
    </row>
    <row r="61" spans="1:5" x14ac:dyDescent="0.35">
      <c r="B61" s="23" t="s">
        <v>53</v>
      </c>
      <c r="C61" s="25">
        <f>C58+C60+C59</f>
        <v>23422.222222222223</v>
      </c>
      <c r="D61" s="24">
        <f>D58+D60</f>
        <v>3672.2222222222222</v>
      </c>
      <c r="E61" s="13"/>
    </row>
    <row r="62" spans="1:5" x14ac:dyDescent="0.35">
      <c r="D62" s="13"/>
    </row>
    <row r="63" spans="1:5" x14ac:dyDescent="0.35">
      <c r="B63" s="2" t="s">
        <v>54</v>
      </c>
      <c r="C63" s="5">
        <f>C65-C61</f>
        <v>3777.7777777777774</v>
      </c>
      <c r="D63" s="13">
        <f>D65-D61</f>
        <v>527.77777777777783</v>
      </c>
      <c r="E63" s="13"/>
    </row>
    <row r="64" spans="1:5" x14ac:dyDescent="0.35">
      <c r="D64" s="13"/>
    </row>
    <row r="65" spans="2:5" x14ac:dyDescent="0.35">
      <c r="B65" s="23" t="s">
        <v>56</v>
      </c>
      <c r="C65" s="24">
        <f>C35+2100*2</f>
        <v>27200</v>
      </c>
      <c r="D65" s="24">
        <f>2100*2</f>
        <v>4200</v>
      </c>
    </row>
    <row r="67" spans="2:5" x14ac:dyDescent="0.35">
      <c r="B67" s="33" t="s">
        <v>145</v>
      </c>
      <c r="E67" s="2" t="s">
        <v>143</v>
      </c>
    </row>
    <row r="68" spans="2:5" x14ac:dyDescent="0.35">
      <c r="B68" s="5" t="s">
        <v>146</v>
      </c>
      <c r="E68" s="13">
        <f>C63-C33</f>
        <v>527.77777777777737</v>
      </c>
    </row>
    <row r="69" spans="2:5" x14ac:dyDescent="0.35">
      <c r="E69" s="41">
        <f>D63</f>
        <v>527.77777777777783</v>
      </c>
    </row>
  </sheetData>
  <mergeCells count="3">
    <mergeCell ref="B4:G8"/>
    <mergeCell ref="A10:G10"/>
    <mergeCell ref="A39:G39"/>
  </mergeCells>
  <pageMargins left="0.7" right="0.7" top="0.75" bottom="0.75" header="0.3" footer="0.3"/>
  <pageSetup paperSize="9" orientation="portrait" horizontalDpi="1200" verticalDpi="1200" r:id="rId1"/>
  <customProperties>
    <customPr name="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D43"/>
  <sheetViews>
    <sheetView topLeftCell="A34" workbookViewId="0">
      <selection activeCell="B44" sqref="B44"/>
    </sheetView>
  </sheetViews>
  <sheetFormatPr defaultColWidth="8.90625" defaultRowHeight="14.5" x14ac:dyDescent="0.35"/>
  <cols>
    <col min="1" max="1" width="8.90625" style="2"/>
    <col min="2" max="2" width="16.36328125" style="2" customWidth="1"/>
    <col min="3" max="16384" width="8.90625" style="2"/>
  </cols>
  <sheetData>
    <row r="2" spans="1:7 16384:16384" s="30" customFormat="1" x14ac:dyDescent="0.35">
      <c r="A2" s="29" t="s">
        <v>77</v>
      </c>
    </row>
    <row r="3" spans="1:7 16384:16384" x14ac:dyDescent="0.35">
      <c r="B3" s="2" t="s">
        <v>65</v>
      </c>
      <c r="C3" s="2">
        <f>(1000-200)/5</f>
        <v>160</v>
      </c>
    </row>
    <row r="4" spans="1:7 16384:16384" x14ac:dyDescent="0.35">
      <c r="C4" s="2" t="s">
        <v>70</v>
      </c>
      <c r="D4" s="2" t="s">
        <v>71</v>
      </c>
      <c r="E4" s="2" t="s">
        <v>72</v>
      </c>
      <c r="F4" s="2" t="s">
        <v>73</v>
      </c>
      <c r="G4" s="2" t="s">
        <v>75</v>
      </c>
    </row>
    <row r="5" spans="1:7 16384:16384" x14ac:dyDescent="0.35">
      <c r="B5" s="2" t="s">
        <v>64</v>
      </c>
      <c r="C5" s="2">
        <v>700</v>
      </c>
      <c r="D5" s="2">
        <v>700</v>
      </c>
      <c r="E5" s="2">
        <v>700</v>
      </c>
      <c r="F5" s="2">
        <v>700</v>
      </c>
      <c r="G5" s="2">
        <v>700</v>
      </c>
    </row>
    <row r="6" spans="1:7 16384:16384" x14ac:dyDescent="0.35">
      <c r="B6" s="2" t="s">
        <v>66</v>
      </c>
      <c r="C6" s="2">
        <f>$C$3</f>
        <v>160</v>
      </c>
      <c r="D6" s="2">
        <f>$C$3</f>
        <v>160</v>
      </c>
      <c r="E6" s="2">
        <f>$C$3</f>
        <v>160</v>
      </c>
      <c r="F6" s="2">
        <f>$C$3</f>
        <v>160</v>
      </c>
      <c r="G6" s="2">
        <f>$C$3</f>
        <v>160</v>
      </c>
    </row>
    <row r="7" spans="1:7 16384:16384" x14ac:dyDescent="0.35">
      <c r="B7" s="2" t="s">
        <v>67</v>
      </c>
      <c r="C7" s="2">
        <v>400</v>
      </c>
      <c r="D7" s="2">
        <v>400</v>
      </c>
      <c r="E7" s="2">
        <v>400</v>
      </c>
      <c r="F7" s="2">
        <v>400</v>
      </c>
      <c r="G7" s="2">
        <v>400</v>
      </c>
    </row>
    <row r="8" spans="1:7 16384:16384" ht="15" thickBot="1" x14ac:dyDescent="0.4">
      <c r="B8" s="27" t="s">
        <v>1</v>
      </c>
      <c r="C8" s="27">
        <f>C5-C6-C7</f>
        <v>140</v>
      </c>
      <c r="D8" s="27">
        <f>D5-D6-D7</f>
        <v>140</v>
      </c>
      <c r="E8" s="27">
        <f>E5-E6-E7</f>
        <v>140</v>
      </c>
      <c r="F8" s="27">
        <f>F5-F6-F7</f>
        <v>140</v>
      </c>
      <c r="G8" s="27">
        <f>G5-G6-G7</f>
        <v>140</v>
      </c>
      <c r="XFD8" s="3">
        <f>XFD5-XFD6-XFD7</f>
        <v>0</v>
      </c>
    </row>
    <row r="9" spans="1:7 16384:16384" x14ac:dyDescent="0.35">
      <c r="B9" s="2" t="s">
        <v>68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</row>
    <row r="10" spans="1:7 16384:16384" ht="15" thickBot="1" x14ac:dyDescent="0.4">
      <c r="B10" s="3" t="s">
        <v>69</v>
      </c>
      <c r="C10" s="3">
        <f>C8-C9</f>
        <v>40</v>
      </c>
      <c r="D10" s="3">
        <f>D8-D9</f>
        <v>40</v>
      </c>
      <c r="E10" s="3">
        <f>E8-E9</f>
        <v>40</v>
      </c>
      <c r="F10" s="3">
        <f>F8-F9</f>
        <v>40</v>
      </c>
      <c r="G10" s="3">
        <f>G8-G9</f>
        <v>40</v>
      </c>
    </row>
    <row r="11" spans="1:7 16384:16384" x14ac:dyDescent="0.35">
      <c r="B11" s="2" t="s">
        <v>82</v>
      </c>
    </row>
    <row r="12" spans="1:7 16384:16384" x14ac:dyDescent="0.35">
      <c r="B12" s="2">
        <v>1000</v>
      </c>
      <c r="C12" s="2">
        <f>B12-$C$3</f>
        <v>840</v>
      </c>
      <c r="D12" s="2">
        <f>C12-$C$3</f>
        <v>680</v>
      </c>
      <c r="E12" s="2">
        <f>D12-$C$3</f>
        <v>520</v>
      </c>
      <c r="F12" s="2">
        <f>E12-$C$3</f>
        <v>360</v>
      </c>
      <c r="G12" s="2">
        <v>0</v>
      </c>
    </row>
    <row r="15" spans="1:7 16384:16384" s="30" customFormat="1" x14ac:dyDescent="0.35">
      <c r="A15" s="29" t="s">
        <v>78</v>
      </c>
    </row>
    <row r="17" spans="1:7" ht="15" thickBot="1" x14ac:dyDescent="0.4">
      <c r="B17" s="3" t="s">
        <v>76</v>
      </c>
      <c r="C17" s="3"/>
      <c r="D17" s="3"/>
      <c r="E17" s="3"/>
      <c r="F17" s="3"/>
      <c r="G17" s="3"/>
    </row>
    <row r="18" spans="1:7" x14ac:dyDescent="0.35">
      <c r="C18" s="31">
        <f>C8/B12</f>
        <v>0.14000000000000001</v>
      </c>
      <c r="D18" s="31">
        <f>D8/C12</f>
        <v>0.16666666666666666</v>
      </c>
      <c r="E18" s="31">
        <f>E8/D12</f>
        <v>0.20588235294117646</v>
      </c>
      <c r="F18" s="31">
        <f>F8/E12</f>
        <v>0.26923076923076922</v>
      </c>
      <c r="G18" s="31">
        <f>G8/F12</f>
        <v>0.3888888888888889</v>
      </c>
    </row>
    <row r="19" spans="1:7" ht="15" thickBot="1" x14ac:dyDescent="0.4">
      <c r="B19" s="3"/>
      <c r="C19" s="42"/>
      <c r="D19" s="42"/>
      <c r="E19" s="42"/>
      <c r="F19" s="42"/>
      <c r="G19" s="42"/>
    </row>
    <row r="20" spans="1:7" x14ac:dyDescent="0.35">
      <c r="C20" s="31"/>
      <c r="D20" s="31"/>
      <c r="E20" s="31"/>
      <c r="F20" s="31"/>
      <c r="G20" s="31"/>
    </row>
    <row r="22" spans="1:7" x14ac:dyDescent="0.35">
      <c r="B22" s="2" t="s">
        <v>79</v>
      </c>
    </row>
    <row r="23" spans="1:7" x14ac:dyDescent="0.35">
      <c r="B23" s="2" t="s">
        <v>80</v>
      </c>
    </row>
    <row r="24" spans="1:7" x14ac:dyDescent="0.35">
      <c r="B24" s="2" t="s">
        <v>81</v>
      </c>
    </row>
    <row r="26" spans="1:7" s="30" customFormat="1" x14ac:dyDescent="0.35">
      <c r="A26" s="30" t="s">
        <v>147</v>
      </c>
    </row>
    <row r="28" spans="1:7" x14ac:dyDescent="0.35">
      <c r="B28" s="2" t="s">
        <v>65</v>
      </c>
      <c r="C28" s="2">
        <f>(1000-200)/5</f>
        <v>160</v>
      </c>
    </row>
    <row r="29" spans="1:7" x14ac:dyDescent="0.35">
      <c r="C29" s="2" t="s">
        <v>70</v>
      </c>
      <c r="D29" s="2" t="s">
        <v>71</v>
      </c>
      <c r="E29" s="2" t="s">
        <v>72</v>
      </c>
      <c r="F29" s="2" t="s">
        <v>73</v>
      </c>
      <c r="G29" s="2" t="s">
        <v>75</v>
      </c>
    </row>
    <row r="30" spans="1:7" x14ac:dyDescent="0.35">
      <c r="B30" s="2" t="s">
        <v>64</v>
      </c>
      <c r="C30" s="2">
        <v>700</v>
      </c>
      <c r="D30" s="2">
        <v>700</v>
      </c>
      <c r="E30" s="2">
        <v>700</v>
      </c>
      <c r="F30" s="2">
        <v>700</v>
      </c>
      <c r="G30" s="2">
        <v>700</v>
      </c>
    </row>
    <row r="31" spans="1:7" x14ac:dyDescent="0.35">
      <c r="B31" s="2" t="s">
        <v>66</v>
      </c>
      <c r="C31" s="2">
        <f>B37*0.3</f>
        <v>300</v>
      </c>
      <c r="D31" s="2">
        <f>C37*0.3</f>
        <v>210</v>
      </c>
      <c r="E31" s="2">
        <f>D37*0.3</f>
        <v>147</v>
      </c>
      <c r="F31" s="2">
        <f>E37*0.3</f>
        <v>102.89999999999999</v>
      </c>
      <c r="G31" s="2">
        <f>F37*0.3</f>
        <v>72.03</v>
      </c>
    </row>
    <row r="32" spans="1:7" x14ac:dyDescent="0.35">
      <c r="B32" s="2" t="s">
        <v>67</v>
      </c>
      <c r="C32" s="2">
        <v>400</v>
      </c>
      <c r="D32" s="2">
        <v>400</v>
      </c>
      <c r="E32" s="2">
        <v>400</v>
      </c>
      <c r="F32" s="2">
        <v>400</v>
      </c>
      <c r="G32" s="2">
        <v>400</v>
      </c>
    </row>
    <row r="33" spans="1:7" ht="15" thickBot="1" x14ac:dyDescent="0.4">
      <c r="B33" s="27" t="s">
        <v>1</v>
      </c>
      <c r="C33" s="27">
        <f>C30-C31-C32</f>
        <v>0</v>
      </c>
      <c r="D33" s="27">
        <f>D30-D31-D32</f>
        <v>90</v>
      </c>
      <c r="E33" s="27">
        <f>E30-E31-E32</f>
        <v>153</v>
      </c>
      <c r="F33" s="27">
        <f>F30-F31-F32</f>
        <v>197.10000000000002</v>
      </c>
      <c r="G33" s="27">
        <f>G30-G31-G32</f>
        <v>227.97000000000003</v>
      </c>
    </row>
    <row r="34" spans="1:7" x14ac:dyDescent="0.35">
      <c r="B34" s="2" t="s">
        <v>68</v>
      </c>
      <c r="C34" s="2">
        <v>100</v>
      </c>
      <c r="D34" s="2">
        <v>100</v>
      </c>
      <c r="E34" s="2">
        <v>100</v>
      </c>
      <c r="F34" s="2">
        <v>100</v>
      </c>
      <c r="G34" s="2">
        <v>100</v>
      </c>
    </row>
    <row r="35" spans="1:7" ht="15" thickBot="1" x14ac:dyDescent="0.4">
      <c r="B35" s="3" t="s">
        <v>69</v>
      </c>
      <c r="C35" s="3">
        <f>C33-C34</f>
        <v>-100</v>
      </c>
      <c r="D35" s="3">
        <f>D33-D34</f>
        <v>-10</v>
      </c>
      <c r="E35" s="3">
        <f>E33-E34</f>
        <v>53</v>
      </c>
      <c r="F35" s="3">
        <f>F33-F34</f>
        <v>97.100000000000023</v>
      </c>
      <c r="G35" s="3">
        <f>G33-G34</f>
        <v>127.97000000000003</v>
      </c>
    </row>
    <row r="36" spans="1:7" x14ac:dyDescent="0.35">
      <c r="B36" s="2" t="s">
        <v>82</v>
      </c>
    </row>
    <row r="37" spans="1:7" x14ac:dyDescent="0.35">
      <c r="B37" s="2">
        <v>1000</v>
      </c>
      <c r="C37" s="2">
        <f>B37-C31</f>
        <v>700</v>
      </c>
      <c r="D37" s="2">
        <f t="shared" ref="D37:F37" si="0">C37-D31</f>
        <v>490</v>
      </c>
      <c r="E37" s="2">
        <f t="shared" si="0"/>
        <v>343</v>
      </c>
      <c r="F37" s="2">
        <f t="shared" si="0"/>
        <v>240.10000000000002</v>
      </c>
      <c r="G37" s="2">
        <f>F37-G31</f>
        <v>168.07000000000002</v>
      </c>
    </row>
    <row r="39" spans="1:7" s="30" customFormat="1" x14ac:dyDescent="0.35">
      <c r="A39" s="30" t="s">
        <v>152</v>
      </c>
    </row>
    <row r="41" spans="1:7" x14ac:dyDescent="0.35">
      <c r="B41" s="2" t="s">
        <v>195</v>
      </c>
    </row>
    <row r="42" spans="1:7" x14ac:dyDescent="0.35">
      <c r="B42" s="2" t="s">
        <v>196</v>
      </c>
    </row>
    <row r="43" spans="1:7" x14ac:dyDescent="0.35">
      <c r="B43" s="2" t="s">
        <v>197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39"/>
  <sheetViews>
    <sheetView workbookViewId="0">
      <selection activeCell="F17" sqref="F17"/>
    </sheetView>
  </sheetViews>
  <sheetFormatPr defaultColWidth="8.90625" defaultRowHeight="14.5" x14ac:dyDescent="0.35"/>
  <cols>
    <col min="1" max="16384" width="8.90625" style="2"/>
  </cols>
  <sheetData>
    <row r="3" spans="1:8" x14ac:dyDescent="0.35">
      <c r="E3" s="55" t="s">
        <v>74</v>
      </c>
      <c r="F3" s="55"/>
    </row>
    <row r="4" spans="1:8" ht="15" thickBot="1" x14ac:dyDescent="0.4">
      <c r="B4" s="32"/>
      <c r="C4" s="32">
        <v>0</v>
      </c>
      <c r="D4" s="32">
        <v>1</v>
      </c>
      <c r="E4" s="32">
        <v>2</v>
      </c>
      <c r="F4" s="32">
        <v>3</v>
      </c>
      <c r="G4" s="32">
        <v>4</v>
      </c>
      <c r="H4" s="32">
        <v>5</v>
      </c>
    </row>
    <row r="5" spans="1:8" x14ac:dyDescent="0.35">
      <c r="B5" s="2" t="s">
        <v>83</v>
      </c>
      <c r="C5" s="2">
        <v>-1000</v>
      </c>
      <c r="D5" s="2">
        <v>275</v>
      </c>
      <c r="E5" s="2">
        <v>275</v>
      </c>
      <c r="F5" s="2">
        <v>275</v>
      </c>
      <c r="G5" s="2">
        <v>275</v>
      </c>
      <c r="H5" s="2">
        <v>275</v>
      </c>
    </row>
    <row r="6" spans="1:8" x14ac:dyDescent="0.35">
      <c r="B6" s="2" t="s">
        <v>84</v>
      </c>
      <c r="C6" s="2">
        <v>-100</v>
      </c>
      <c r="D6" s="2">
        <v>60</v>
      </c>
      <c r="E6" s="2">
        <f>D6</f>
        <v>60</v>
      </c>
      <c r="F6" s="2">
        <f>E6</f>
        <v>60</v>
      </c>
      <c r="G6" s="2">
        <f>F6</f>
        <v>60</v>
      </c>
      <c r="H6" s="2">
        <f>G6</f>
        <v>60</v>
      </c>
    </row>
    <row r="9" spans="1:8" s="1" customFormat="1" x14ac:dyDescent="0.35">
      <c r="A9" s="1" t="s">
        <v>150</v>
      </c>
    </row>
    <row r="10" spans="1:8" x14ac:dyDescent="0.35">
      <c r="B10" s="2" t="s">
        <v>85</v>
      </c>
    </row>
    <row r="11" spans="1:8" x14ac:dyDescent="0.35">
      <c r="E11" s="55" t="s">
        <v>74</v>
      </c>
      <c r="F11" s="55"/>
    </row>
    <row r="12" spans="1:8" ht="15" thickBot="1" x14ac:dyDescent="0.4">
      <c r="B12" s="32"/>
      <c r="C12" s="32">
        <v>0</v>
      </c>
      <c r="D12" s="32">
        <v>1</v>
      </c>
      <c r="E12" s="32">
        <v>2</v>
      </c>
      <c r="F12" s="32">
        <v>3</v>
      </c>
      <c r="G12" s="32">
        <v>4</v>
      </c>
      <c r="H12" s="32">
        <v>5</v>
      </c>
    </row>
    <row r="13" spans="1:8" x14ac:dyDescent="0.35">
      <c r="B13" s="2" t="s">
        <v>83</v>
      </c>
      <c r="C13" s="2">
        <f>C5</f>
        <v>-1000</v>
      </c>
      <c r="D13" s="2">
        <f t="shared" ref="D13:H13" si="0">D5</f>
        <v>275</v>
      </c>
      <c r="E13" s="2">
        <f t="shared" si="0"/>
        <v>275</v>
      </c>
      <c r="F13" s="2">
        <f t="shared" si="0"/>
        <v>275</v>
      </c>
      <c r="G13" s="2">
        <f t="shared" si="0"/>
        <v>275</v>
      </c>
      <c r="H13" s="2">
        <f t="shared" si="0"/>
        <v>275</v>
      </c>
    </row>
    <row r="14" spans="1:8" x14ac:dyDescent="0.35">
      <c r="B14" s="2" t="s">
        <v>84</v>
      </c>
      <c r="C14" s="2">
        <f>-100-100</f>
        <v>-200</v>
      </c>
      <c r="D14" s="2">
        <v>60</v>
      </c>
      <c r="E14" s="2">
        <v>60</v>
      </c>
      <c r="F14" s="2">
        <v>60</v>
      </c>
      <c r="G14" s="2">
        <v>60</v>
      </c>
      <c r="H14" s="2">
        <f>H6+100</f>
        <v>160</v>
      </c>
    </row>
    <row r="16" spans="1:8" x14ac:dyDescent="0.35">
      <c r="B16" s="12" t="s">
        <v>148</v>
      </c>
      <c r="C16" s="12"/>
      <c r="D16" s="34">
        <f>0.02+0.08</f>
        <v>0.1</v>
      </c>
    </row>
    <row r="17" spans="1:4" x14ac:dyDescent="0.35">
      <c r="B17" s="12" t="s">
        <v>149</v>
      </c>
      <c r="C17" s="12"/>
      <c r="D17" s="40">
        <f>0.02+0.06</f>
        <v>0.08</v>
      </c>
    </row>
    <row r="18" spans="1:4" x14ac:dyDescent="0.35">
      <c r="B18" s="33"/>
      <c r="D18" s="40"/>
    </row>
    <row r="19" spans="1:4" ht="15" thickBot="1" x14ac:dyDescent="0.4">
      <c r="B19" s="3"/>
      <c r="C19" s="3" t="s">
        <v>154</v>
      </c>
      <c r="D19" s="3" t="s">
        <v>155</v>
      </c>
    </row>
    <row r="20" spans="1:4" x14ac:dyDescent="0.35">
      <c r="B20" s="2" t="s">
        <v>83</v>
      </c>
      <c r="C20" s="13">
        <f>NPV(D16,D13:H13)+C13</f>
        <v>42.466361587323036</v>
      </c>
      <c r="D20" s="39">
        <f>IRR(C13:H13)</f>
        <v>0.11648768552295463</v>
      </c>
    </row>
    <row r="21" spans="1:4" x14ac:dyDescent="0.35">
      <c r="B21" s="2" t="s">
        <v>84</v>
      </c>
      <c r="C21" s="13">
        <f>NPV(D17,D14:H14)+C14</f>
        <v>107.6209219280604</v>
      </c>
      <c r="D21" s="39">
        <f>IRR(C14:H14)</f>
        <v>0.23758200146673714</v>
      </c>
    </row>
    <row r="23" spans="1:4" x14ac:dyDescent="0.35">
      <c r="B23" s="2" t="s">
        <v>213</v>
      </c>
    </row>
    <row r="25" spans="1:4" x14ac:dyDescent="0.35">
      <c r="B25" s="2" t="s">
        <v>203</v>
      </c>
    </row>
    <row r="29" spans="1:4" s="1" customFormat="1" x14ac:dyDescent="0.35">
      <c r="A29" s="1" t="s">
        <v>151</v>
      </c>
      <c r="B29" s="1" t="s">
        <v>151</v>
      </c>
    </row>
    <row r="30" spans="1:4" x14ac:dyDescent="0.35">
      <c r="B30" s="2" t="s">
        <v>86</v>
      </c>
    </row>
    <row r="31" spans="1:4" x14ac:dyDescent="0.35">
      <c r="B31" s="2" t="s">
        <v>153</v>
      </c>
    </row>
    <row r="32" spans="1:4" ht="15" customHeight="1" x14ac:dyDescent="0.35">
      <c r="B32" s="2" t="s">
        <v>204</v>
      </c>
    </row>
    <row r="34" spans="1:3" s="1" customFormat="1" x14ac:dyDescent="0.35">
      <c r="A34" s="1" t="s">
        <v>152</v>
      </c>
      <c r="B34" s="1" t="s">
        <v>152</v>
      </c>
    </row>
    <row r="37" spans="1:3" x14ac:dyDescent="0.35">
      <c r="B37" s="2" t="s">
        <v>154</v>
      </c>
      <c r="C37" s="46">
        <f>80/(0.07-0.02)-1500</f>
        <v>100</v>
      </c>
    </row>
    <row r="39" spans="1:3" x14ac:dyDescent="0.35">
      <c r="B39" s="2" t="s">
        <v>214</v>
      </c>
    </row>
  </sheetData>
  <mergeCells count="2">
    <mergeCell ref="E3:F3"/>
    <mergeCell ref="E11:F1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46"/>
  <sheetViews>
    <sheetView topLeftCell="A31" workbookViewId="0">
      <selection activeCell="B48" sqref="B48"/>
    </sheetView>
  </sheetViews>
  <sheetFormatPr defaultColWidth="8.90625" defaultRowHeight="14.5" x14ac:dyDescent="0.35"/>
  <cols>
    <col min="1" max="1" width="8.90625" style="2"/>
    <col min="2" max="2" width="11.90625" style="2" customWidth="1"/>
    <col min="3" max="3" width="17.08984375" style="2" customWidth="1"/>
    <col min="4" max="16384" width="8.90625" style="2"/>
  </cols>
  <sheetData>
    <row r="3" spans="1:14" s="1" customFormat="1" x14ac:dyDescent="0.35">
      <c r="A3" s="47" t="s">
        <v>156</v>
      </c>
    </row>
    <row r="5" spans="1:14" x14ac:dyDescent="0.35">
      <c r="B5" s="2" t="s">
        <v>158</v>
      </c>
    </row>
    <row r="6" spans="1:14" x14ac:dyDescent="0.35">
      <c r="B6" s="2" t="s">
        <v>159</v>
      </c>
    </row>
    <row r="8" spans="1:14" s="1" customFormat="1" x14ac:dyDescent="0.35">
      <c r="A8" s="47" t="s">
        <v>157</v>
      </c>
    </row>
    <row r="10" spans="1:14" x14ac:dyDescent="0.35">
      <c r="B10" s="2" t="s">
        <v>160</v>
      </c>
      <c r="E10" s="2" t="s">
        <v>162</v>
      </c>
      <c r="F10" s="2">
        <v>0</v>
      </c>
      <c r="G10" s="2">
        <f>F10+20</f>
        <v>20</v>
      </c>
      <c r="H10" s="2">
        <f t="shared" ref="H10:N10" si="0">G10+20</f>
        <v>40</v>
      </c>
      <c r="I10" s="2">
        <f t="shared" si="0"/>
        <v>60</v>
      </c>
      <c r="J10" s="2">
        <f t="shared" si="0"/>
        <v>80</v>
      </c>
      <c r="K10" s="2">
        <f t="shared" si="0"/>
        <v>100</v>
      </c>
      <c r="L10" s="2">
        <f>K10+20</f>
        <v>120</v>
      </c>
      <c r="M10" s="2">
        <f t="shared" si="0"/>
        <v>140</v>
      </c>
      <c r="N10" s="2">
        <f t="shared" si="0"/>
        <v>160</v>
      </c>
    </row>
    <row r="11" spans="1:14" x14ac:dyDescent="0.35">
      <c r="B11" s="2" t="s">
        <v>161</v>
      </c>
      <c r="E11" s="2" t="s">
        <v>163</v>
      </c>
      <c r="F11" s="2">
        <f>(100-0.25*F10)*F10-50*F10</f>
        <v>0</v>
      </c>
      <c r="G11" s="2">
        <f t="shared" ref="G11:N11" si="1">(100-0.25*G10)*G10-50*G10</f>
        <v>900</v>
      </c>
      <c r="H11" s="2">
        <f t="shared" si="1"/>
        <v>1600</v>
      </c>
      <c r="I11" s="2">
        <f t="shared" si="1"/>
        <v>2100</v>
      </c>
      <c r="J11" s="2">
        <f t="shared" si="1"/>
        <v>2400</v>
      </c>
      <c r="K11" s="2">
        <f t="shared" si="1"/>
        <v>2500</v>
      </c>
      <c r="L11" s="2">
        <f t="shared" si="1"/>
        <v>2400</v>
      </c>
      <c r="M11" s="2">
        <f t="shared" si="1"/>
        <v>2100</v>
      </c>
      <c r="N11" s="2">
        <f t="shared" si="1"/>
        <v>1600</v>
      </c>
    </row>
    <row r="24" spans="1:4" s="1" customFormat="1" x14ac:dyDescent="0.35">
      <c r="A24" s="47" t="s">
        <v>215</v>
      </c>
      <c r="B24" s="47"/>
      <c r="C24" s="47"/>
    </row>
    <row r="26" spans="1:4" x14ac:dyDescent="0.35">
      <c r="A26" s="26"/>
      <c r="B26" s="2" t="s">
        <v>164</v>
      </c>
      <c r="C26" s="2">
        <v>150</v>
      </c>
      <c r="D26" s="2">
        <v>20</v>
      </c>
    </row>
    <row r="27" spans="1:4" x14ac:dyDescent="0.35">
      <c r="B27" s="2" t="s">
        <v>165</v>
      </c>
      <c r="C27" s="5">
        <f>(100-0.25*C26)</f>
        <v>62.5</v>
      </c>
      <c r="D27" s="5">
        <f>(100-0.25*D26)</f>
        <v>95</v>
      </c>
    </row>
    <row r="29" spans="1:4" x14ac:dyDescent="0.35">
      <c r="B29" s="2" t="s">
        <v>166</v>
      </c>
    </row>
    <row r="30" spans="1:4" x14ac:dyDescent="0.35">
      <c r="C30" s="2" t="s">
        <v>167</v>
      </c>
    </row>
    <row r="31" spans="1:4" x14ac:dyDescent="0.35">
      <c r="C31" s="2" t="s">
        <v>168</v>
      </c>
    </row>
    <row r="33" spans="1:4" x14ac:dyDescent="0.35">
      <c r="B33" s="2" t="s">
        <v>169</v>
      </c>
      <c r="C33" s="2">
        <f>(C27/C26)*(-4)</f>
        <v>-1.6666666666666667</v>
      </c>
      <c r="D33" s="2">
        <f>(D27/D26)*(-4)</f>
        <v>-19</v>
      </c>
    </row>
    <row r="36" spans="1:4" x14ac:dyDescent="0.35">
      <c r="B36" s="2" t="s">
        <v>170</v>
      </c>
    </row>
    <row r="37" spans="1:4" x14ac:dyDescent="0.35">
      <c r="B37" s="2" t="s">
        <v>171</v>
      </c>
    </row>
    <row r="42" spans="1:4" s="1" customFormat="1" x14ac:dyDescent="0.35">
      <c r="A42" s="47" t="s">
        <v>172</v>
      </c>
    </row>
    <row r="43" spans="1:4" x14ac:dyDescent="0.35">
      <c r="C43" s="48"/>
      <c r="D43" s="49"/>
    </row>
    <row r="44" spans="1:4" x14ac:dyDescent="0.35">
      <c r="B44" s="2" t="s">
        <v>173</v>
      </c>
      <c r="C44" s="48"/>
      <c r="D44" s="49"/>
    </row>
    <row r="45" spans="1:4" x14ac:dyDescent="0.35">
      <c r="B45" s="49"/>
    </row>
    <row r="46" spans="1:4" s="1" customFormat="1" x14ac:dyDescent="0.35">
      <c r="A46" s="47" t="s">
        <v>174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B21" sqref="B21"/>
    </sheetView>
  </sheetViews>
  <sheetFormatPr defaultColWidth="8.90625" defaultRowHeight="14.5" x14ac:dyDescent="0.35"/>
  <cols>
    <col min="1" max="16384" width="8.90625" style="2"/>
  </cols>
  <sheetData>
    <row r="1" spans="1:2" x14ac:dyDescent="0.35">
      <c r="B1" s="50" t="s">
        <v>182</v>
      </c>
    </row>
    <row r="3" spans="1:2" s="1" customFormat="1" x14ac:dyDescent="0.35">
      <c r="A3" s="47" t="s">
        <v>60</v>
      </c>
    </row>
    <row r="4" spans="1:2" x14ac:dyDescent="0.35">
      <c r="B4" s="2" t="s">
        <v>198</v>
      </c>
    </row>
    <row r="5" spans="1:2" x14ac:dyDescent="0.35">
      <c r="B5" s="2" t="s">
        <v>199</v>
      </c>
    </row>
    <row r="6" spans="1:2" x14ac:dyDescent="0.35">
      <c r="B6" s="2" t="s">
        <v>200</v>
      </c>
    </row>
    <row r="8" spans="1:2" s="1" customFormat="1" x14ac:dyDescent="0.35">
      <c r="A8" s="47" t="s">
        <v>61</v>
      </c>
    </row>
    <row r="9" spans="1:2" x14ac:dyDescent="0.35">
      <c r="B9" s="2" t="s">
        <v>181</v>
      </c>
    </row>
    <row r="10" spans="1:2" x14ac:dyDescent="0.35">
      <c r="B10" s="33" t="s">
        <v>180</v>
      </c>
    </row>
    <row r="11" spans="1:2" x14ac:dyDescent="0.35">
      <c r="B11" s="2" t="s">
        <v>178</v>
      </c>
    </row>
    <row r="12" spans="1:2" x14ac:dyDescent="0.35">
      <c r="B12" s="2" t="s">
        <v>179</v>
      </c>
    </row>
    <row r="14" spans="1:2" s="1" customFormat="1" x14ac:dyDescent="0.35">
      <c r="A14" s="47" t="s">
        <v>62</v>
      </c>
    </row>
    <row r="15" spans="1:2" x14ac:dyDescent="0.35">
      <c r="A15" s="26"/>
      <c r="B15" s="2" t="s">
        <v>183</v>
      </c>
    </row>
    <row r="16" spans="1:2" x14ac:dyDescent="0.35">
      <c r="A16" s="26"/>
      <c r="B16" s="2" t="s">
        <v>184</v>
      </c>
    </row>
    <row r="17" spans="1:2" x14ac:dyDescent="0.35">
      <c r="A17" s="26"/>
      <c r="B17" s="2" t="s">
        <v>185</v>
      </c>
    </row>
    <row r="18" spans="1:2" x14ac:dyDescent="0.35">
      <c r="A18" s="26"/>
      <c r="B18" s="2" t="s">
        <v>186</v>
      </c>
    </row>
    <row r="19" spans="1:2" s="1" customFormat="1" x14ac:dyDescent="0.35">
      <c r="A19" s="47" t="s">
        <v>63</v>
      </c>
    </row>
    <row r="20" spans="1:2" x14ac:dyDescent="0.35">
      <c r="A20" s="26"/>
      <c r="B20" s="2" t="s">
        <v>187</v>
      </c>
    </row>
    <row r="21" spans="1:2" x14ac:dyDescent="0.35">
      <c r="A21" s="26"/>
      <c r="B21" s="2" t="s">
        <v>188</v>
      </c>
    </row>
    <row r="22" spans="1:2" x14ac:dyDescent="0.35">
      <c r="A22" s="26"/>
    </row>
    <row r="23" spans="1:2" s="1" customFormat="1" x14ac:dyDescent="0.35">
      <c r="A23" s="47" t="s">
        <v>201</v>
      </c>
    </row>
    <row r="24" spans="1:2" x14ac:dyDescent="0.35">
      <c r="A24" s="26"/>
      <c r="B24" s="2" t="s">
        <v>189</v>
      </c>
    </row>
    <row r="25" spans="1:2" x14ac:dyDescent="0.35">
      <c r="A25" s="26"/>
      <c r="B25" s="2" t="s">
        <v>202</v>
      </c>
    </row>
    <row r="26" spans="1:2" x14ac:dyDescent="0.35">
      <c r="A26" s="26"/>
    </row>
    <row r="27" spans="1:2" x14ac:dyDescent="0.35">
      <c r="A27" s="26"/>
    </row>
    <row r="28" spans="1:2" x14ac:dyDescent="0.35">
      <c r="A28" s="26"/>
    </row>
    <row r="29" spans="1:2" x14ac:dyDescent="0.35">
      <c r="A29" s="26"/>
    </row>
    <row r="30" spans="1:2" x14ac:dyDescent="0.35">
      <c r="A30" s="26"/>
    </row>
    <row r="31" spans="1:2" x14ac:dyDescent="0.35">
      <c r="A31" s="26"/>
    </row>
    <row r="32" spans="1:2" x14ac:dyDescent="0.35">
      <c r="A32" s="2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Oppg. 1</vt:lpstr>
      <vt:lpstr>Oppg. 2</vt:lpstr>
      <vt:lpstr>Oppg. 3</vt:lpstr>
      <vt:lpstr>Oppg. 4</vt:lpstr>
      <vt:lpstr>Oppg. 5</vt:lpstr>
      <vt:lpstr>Oppg. 6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Hegenes Sendstad</dc:creator>
  <cp:lastModifiedBy>Sjur Westgaard</cp:lastModifiedBy>
  <cp:lastPrinted>2019-11-20T16:44:33Z</cp:lastPrinted>
  <dcterms:created xsi:type="dcterms:W3CDTF">2019-11-15T08:25:32Z</dcterms:created>
  <dcterms:modified xsi:type="dcterms:W3CDTF">2022-04-22T06:27:07Z</dcterms:modified>
</cp:coreProperties>
</file>