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My Drive\excel-challenge\"/>
    </mc:Choice>
  </mc:AlternateContent>
  <xr:revisionPtr revIDLastSave="0" documentId="13_ncr:1_{21097292-B427-4A0B-86B8-7B6C49AB557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rowdfunding" sheetId="1" r:id="rId1"/>
    <sheet name="Category Breakdown" sheetId="6" r:id="rId2"/>
    <sheet name="Sub-Category Breakdown" sheetId="8" r:id="rId3"/>
    <sheet name="Date Created Breakdown" sheetId="9" r:id="rId4"/>
    <sheet name="Crowdfunding Goal Analysis" sheetId="10" r:id="rId5"/>
    <sheet name="Backers Count" sheetId="11" r:id="rId6"/>
  </sheets>
  <definedNames>
    <definedName name="_xlnm._FilterDatabase" localSheetId="0" hidden="1">Crowdfunding!$A$1:$Q$1</definedName>
  </definedNames>
  <calcPr calcId="191029"/>
  <pivotCaches>
    <pivotCache cacheId="0" r:id="rId7"/>
    <pivotCache cacheId="1" r:id="rId8"/>
    <pivotCache cacheId="2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11" l="1"/>
  <c r="E17" i="11"/>
  <c r="E16" i="11"/>
  <c r="E15" i="11"/>
  <c r="E14" i="11"/>
  <c r="E13" i="11"/>
  <c r="E10" i="11"/>
  <c r="E9" i="11"/>
  <c r="E8" i="11"/>
  <c r="E7" i="11"/>
  <c r="E6" i="11"/>
  <c r="E5" i="11"/>
  <c r="E4" i="11"/>
  <c r="E3" i="11"/>
  <c r="E2" i="11"/>
  <c r="C10" i="11"/>
  <c r="C9" i="11"/>
  <c r="C8" i="11"/>
  <c r="C7" i="11"/>
  <c r="C6" i="11"/>
  <c r="C5" i="11"/>
  <c r="C4" i="11"/>
  <c r="C3" i="11"/>
  <c r="C2" i="11"/>
  <c r="C18" i="1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H3" i="10"/>
  <c r="H4" i="10"/>
  <c r="H5" i="10"/>
  <c r="H6" i="10"/>
  <c r="H7" i="10"/>
  <c r="H8" i="10"/>
  <c r="H9" i="10"/>
  <c r="H10" i="10"/>
  <c r="H11" i="10"/>
  <c r="H12" i="10"/>
  <c r="H13" i="10"/>
  <c r="G3" i="10"/>
  <c r="G4" i="10"/>
  <c r="G5" i="10"/>
  <c r="G6" i="10"/>
  <c r="G7" i="10"/>
  <c r="G8" i="10"/>
  <c r="G9" i="10"/>
  <c r="G10" i="10"/>
  <c r="G11" i="10"/>
  <c r="G12" i="10"/>
  <c r="G13" i="10"/>
  <c r="H2" i="10"/>
  <c r="G2" i="10"/>
  <c r="F3" i="10"/>
  <c r="F4" i="10"/>
  <c r="F5" i="10"/>
  <c r="F6" i="10"/>
  <c r="F7" i="10"/>
  <c r="F8" i="10"/>
  <c r="F9" i="10"/>
  <c r="F10" i="10"/>
  <c r="F11" i="10"/>
  <c r="F12" i="10"/>
  <c r="F13" i="10"/>
  <c r="F2" i="10"/>
  <c r="E7" i="10"/>
  <c r="E9" i="10"/>
  <c r="D13" i="10"/>
  <c r="D12" i="10"/>
  <c r="D11" i="10"/>
  <c r="D10" i="10"/>
  <c r="D9" i="10"/>
  <c r="D8" i="10"/>
  <c r="D7" i="10"/>
  <c r="D6" i="10"/>
  <c r="E6" i="10" s="1"/>
  <c r="D5" i="10"/>
  <c r="E5" i="10" s="1"/>
  <c r="D4" i="10"/>
  <c r="D3" i="10"/>
  <c r="D2" i="10"/>
  <c r="C12" i="10"/>
  <c r="C13" i="10"/>
  <c r="C11" i="10"/>
  <c r="C10" i="10"/>
  <c r="C9" i="10"/>
  <c r="C8" i="10"/>
  <c r="E8" i="10" s="1"/>
  <c r="C7" i="10"/>
  <c r="C6" i="10"/>
  <c r="C5" i="10"/>
  <c r="C4" i="10"/>
  <c r="C3" i="10"/>
  <c r="E3" i="10" s="1"/>
  <c r="C2" i="10"/>
  <c r="B13" i="10"/>
  <c r="E13" i="10" s="1"/>
  <c r="B12" i="10"/>
  <c r="E12" i="10" s="1"/>
  <c r="B11" i="10"/>
  <c r="E11" i="10" s="1"/>
  <c r="B10" i="10"/>
  <c r="E10" i="10" s="1"/>
  <c r="B9" i="10"/>
  <c r="B8" i="10"/>
  <c r="B7" i="10"/>
  <c r="B6" i="10"/>
  <c r="B5" i="10"/>
  <c r="B4" i="10"/>
  <c r="E4" i="10" s="1"/>
  <c r="B3" i="10"/>
  <c r="B2" i="10"/>
  <c r="E2" i="10" s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2" i="1"/>
  <c r="T10" i="1"/>
  <c r="T9" i="1"/>
  <c r="T8" i="1"/>
  <c r="T7" i="1"/>
  <c r="T6" i="1"/>
  <c r="T5" i="1"/>
  <c r="T4" i="1"/>
  <c r="T3" i="1"/>
  <c r="T2" i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/>
  <c r="Q16" i="1" a="1"/>
  <c r="Q16" i="1" s="1"/>
  <c r="Q17" i="1" a="1"/>
  <c r="Q17" i="1" s="1"/>
  <c r="Q18" i="1" a="1"/>
  <c r="Q18" i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2" i="1" a="1"/>
  <c r="Q2" i="1" s="1"/>
  <c r="C13" i="11" l="1"/>
  <c r="C14" i="11"/>
  <c r="C15" i="11"/>
  <c r="C16" i="11"/>
  <c r="C17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<sst xmlns="http://schemas.openxmlformats.org/spreadsheetml/2006/main" count="6168" uniqueCount="2130">
  <si>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</si>
  <si>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</si>
  <si>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</si>
  <si>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</si>
  <si>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</si>
  <si>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</si>
  <si>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</si>
  <si>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</si>
  <si>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</si>
  <si>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</si>
  <si>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</si>
  <si>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</si>
  <si>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</si>
  <si>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</si>
  <si>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</si>
  <si>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</si>
  <si>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</si>
  <si>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</si>
  <si>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</si>
  <si>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</si>
  <si>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</si>
  <si>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</si>
  <si>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</si>
  <si>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</si>
  <si>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</si>
  <si>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</si>
  <si>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</si>
  <si>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</si>
  <si>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</si>
  <si>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</si>
  <si>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</si>
  <si>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</si>
  <si>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</si>
  <si>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</si>
  <si>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</si>
  <si>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</si>
  <si>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</si>
  <si>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</si>
  <si>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</si>
  <si>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</si>
  <si>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</si>
  <si>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</si>
  <si>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</si>
  <si>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</si>
  <si>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</si>
  <si>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</si>
  <si>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</si>
  <si>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</si>
  <si>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</si>
  <si>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</si>
  <si>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</si>
  <si>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</si>
  <si>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</si>
  <si>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</si>
  <si>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</si>
  <si>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</si>
  <si>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</si>
  <si>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</si>
  <si>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</si>
  <si>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</si>
  <si>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</si>
  <si>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</si>
  <si>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</si>
  <si>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</si>
  <si>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</si>
  <si>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</si>
  <si>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</si>
  <si>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</si>
  <si>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</si>
  <si>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</si>
  <si>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</si>
  <si>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</si>
  <si>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</si>
  <si>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</si>
  <si>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</si>
  <si>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</si>
  <si>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</si>
  <si>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</si>
  <si>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</si>
  <si>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</si>
  <si>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</si>
  <si>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</si>
  <si>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</si>
  <si>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</si>
  <si>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</si>
  <si>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</si>
  <si>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</si>
  <si>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</si>
  <si>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</si>
  <si>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</si>
  <si>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</si>
  <si>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</si>
  <si>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</si>
  <si>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</si>
  <si>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</si>
  <si>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</si>
  <si>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</si>
  <si>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</si>
  <si>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</si>
  <si>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</si>
  <si>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</si>
  <si>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</si>
  <si>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</si>
  <si>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</si>
  <si>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</si>
  <si>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</si>
  <si>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</si>
  <si>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</si>
  <si>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</si>
  <si>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</si>
  <si>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</si>
  <si>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</si>
  <si>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</si>
  <si>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</si>
  <si>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</si>
  <si>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</si>
  <si>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</si>
  <si>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</si>
  <si>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</si>
  <si>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</si>
  <si>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</si>
  <si>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</si>
  <si>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</si>
  <si>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</si>
  <si>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</si>
  <si>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</si>
  <si>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</si>
  <si>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</si>
  <si>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</si>
  <si>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</si>
  <si>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</si>
  <si>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</si>
  <si>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</si>
  <si>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</si>
  <si>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</si>
  <si>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</si>
  <si>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</si>
  <si>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</si>
  <si>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</si>
  <si>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</si>
  <si>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</si>
  <si>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</si>
  <si>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</si>
  <si>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</si>
  <si>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</si>
  <si>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</si>
  <si>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</si>
  <si>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</si>
  <si>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</si>
  <si>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</si>
  <si>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</si>
  <si>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</si>
  <si>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</si>
  <si>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</si>
  <si>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</si>
  <si>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</si>
  <si>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</si>
  <si>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</si>
  <si>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</si>
  <si>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</si>
  <si>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</si>
  <si>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</si>
  <si>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</si>
  <si>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</si>
  <si>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</si>
  <si>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</si>
  <si>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</si>
  <si>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</si>
  <si>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</si>
  <si>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</si>
  <si>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</si>
  <si>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</si>
  <si>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</si>
  <si>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</si>
  <si>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</si>
  <si>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</si>
  <si>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</si>
  <si>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</si>
  <si>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</si>
  <si>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</si>
  <si>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</si>
  <si>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</si>
  <si>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</si>
  <si>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</si>
  <si>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</si>
  <si>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</si>
  <si>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</si>
  <si>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</si>
  <si>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</si>
  <si>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</si>
  <si>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</si>
  <si>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</si>
  <si>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</si>
  <si>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</si>
  <si>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</si>
  <si>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</si>
  <si>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</si>
  <si>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</si>
  <si>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</si>
  <si>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</si>
  <si>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</si>
  <si>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</si>
  <si>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</si>
  <si>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</si>
  <si>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</si>
  <si>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</si>
  <si>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</si>
  <si>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</si>
  <si>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</si>
  <si>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</si>
  <si>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</si>
  <si>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</si>
  <si>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</si>
  <si>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</si>
  <si>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</si>
  <si>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</si>
  <si>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</si>
  <si>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</si>
  <si>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</si>
  <si>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</si>
  <si>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</si>
  <si>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</si>
  <si>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</si>
  <si>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</si>
  <si>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</si>
  <si>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</si>
  <si>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</si>
  <si>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</si>
  <si>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</si>
  <si>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</si>
  <si>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</si>
  <si>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</si>
  <si>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</si>
  <si>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</si>
  <si>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</si>
  <si>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</si>
  <si>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</si>
  <si>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</si>
  <si>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</si>
  <si>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</si>
  <si>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</si>
  <si>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</si>
  <si>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</si>
  <si>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</si>
  <si>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</si>
  <si>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</si>
  <si>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</si>
  <si>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</si>
  <si>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</si>
  <si>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</si>
  <si>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</si>
  <si>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</si>
  <si>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</si>
  <si>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</si>
  <si>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</si>
  <si>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</si>
  <si>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</si>
  <si>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</si>
  <si>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</si>
  <si>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</si>
  <si>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</si>
  <si>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</si>
  <si>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</si>
  <si>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</si>
  <si>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</si>
  <si>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</si>
  <si>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</si>
  <si>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</si>
  <si>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</si>
  <si>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</si>
  <si>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</si>
  <si>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</si>
  <si>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</si>
  <si>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</si>
  <si>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</si>
  <si>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</si>
  <si>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</si>
  <si>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</si>
  <si>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</si>
  <si>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</si>
  <si>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</si>
  <si>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</si>
  <si>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</si>
  <si>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</si>
  <si>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</si>
  <si>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</si>
  <si>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</si>
  <si>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</si>
  <si>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</si>
  <si>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</si>
  <si>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</si>
  <si>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</si>
  <si>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</si>
  <si>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</si>
  <si>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</si>
  <si>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</si>
  <si>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</si>
  <si>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</si>
  <si>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</si>
  <si>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</si>
  <si>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</si>
  <si>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</si>
  <si>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</si>
  <si>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</si>
  <si>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</si>
  <si>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</si>
  <si>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</si>
  <si>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</si>
  <si>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</si>
  <si>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</si>
  <si>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</si>
  <si>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</si>
  <si>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</si>
  <si>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</si>
  <si>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</si>
  <si>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</si>
  <si>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</si>
  <si>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</si>
  <si>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</si>
  <si>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</si>
  <si>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</si>
  <si>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</si>
  <si>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</si>
  <si>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</si>
  <si>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</si>
  <si>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</si>
  <si>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</si>
  <si>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</si>
  <si>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</si>
  <si>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</si>
  <si>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</si>
  <si>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</si>
  <si>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</si>
  <si>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</si>
  <si>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</si>
  <si>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</si>
  <si>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</si>
  <si>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</si>
  <si>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</si>
  <si>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</si>
  <si>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</si>
  <si>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</si>
  <si>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</si>
  <si>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</si>
  <si>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</si>
  <si>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</si>
  <si>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</si>
  <si>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</si>
  <si>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</si>
  <si>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</si>
  <si>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</si>
  <si>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</si>
  <si>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</si>
  <si>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</si>
  <si>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</si>
  <si>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</si>
  <si>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</si>
  <si>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</si>
  <si>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</si>
  <si>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</si>
  <si>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</si>
  <si>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</si>
  <si>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</si>
  <si>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</si>
  <si>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</si>
  <si>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</si>
  <si>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</si>
  <si>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</si>
  <si>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</si>
  <si>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</si>
  <si>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</si>
  <si>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</si>
  <si>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</si>
  <si>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</si>
  <si>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</si>
  <si>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</si>
  <si>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</si>
  <si>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</si>
  <si>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</si>
  <si>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</si>
  <si>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</si>
  <si>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</si>
  <si>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</si>
  <si>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</si>
  <si>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</si>
  <si>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</si>
  <si>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</si>
  <si>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</si>
  <si>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</si>
  <si>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</si>
  <si>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</si>
  <si>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</si>
  <si>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</si>
  <si>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</si>
  <si>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</si>
  <si>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</si>
  <si>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</si>
  <si>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</si>
  <si>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</si>
  <si>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</si>
  <si>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</si>
  <si>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</si>
  <si>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</si>
  <si>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</si>
  <si>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</si>
  <si>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</si>
  <si>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</si>
  <si>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</si>
  <si>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</si>
  <si>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</si>
  <si>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</si>
  <si>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</si>
  <si>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</si>
  <si>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</si>
  <si>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</si>
  <si>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</si>
  <si>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</si>
  <si>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</si>
  <si>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</si>
  <si>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</si>
  <si>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</si>
  <si>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</si>
  <si>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</si>
  <si>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</si>
  <si>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</si>
  <si>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</si>
  <si>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</si>
  <si>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</si>
  <si>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</si>
  <si>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</si>
  <si>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</si>
  <si>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</si>
  <si>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</si>
  <si>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</si>
  <si>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</si>
  <si>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</si>
  <si>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</si>
  <si>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</si>
  <si>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</si>
  <si>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</si>
  <si>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</si>
  <si>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</si>
  <si>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</si>
  <si>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</si>
  <si>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</si>
  <si>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</si>
  <si>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</si>
  <si>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</si>
  <si>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</si>
  <si>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</si>
  <si>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</si>
  <si>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</si>
  <si>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</si>
  <si>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</si>
  <si>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</si>
  <si>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</si>
  <si>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</si>
  <si>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</si>
  <si>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</si>
  <si>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</si>
  <si>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</si>
  <si>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</si>
  <si>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</si>
  <si>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</si>
  <si>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</si>
  <si>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</si>
  <si>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</si>
  <si>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</si>
  <si>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</si>
  <si>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</si>
  <si>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</si>
  <si>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</si>
  <si>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</si>
  <si>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</si>
  <si>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</si>
  <si>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</si>
  <si>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</si>
  <si>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</si>
  <si>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</si>
  <si>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</si>
  <si>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</si>
  <si>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</si>
  <si>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</si>
  <si>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</si>
  <si>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</si>
  <si>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</si>
  <si>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</si>
  <si>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</si>
  <si>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</si>
  <si>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</si>
  <si>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</si>
  <si>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</si>
  <si>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</si>
  <si>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</si>
  <si>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</si>
  <si>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</si>
  <si>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</si>
  <si>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</si>
  <si>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</si>
  <si>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</si>
  <si>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</si>
  <si>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</si>
  <si>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</si>
  <si>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</si>
  <si>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</si>
  <si>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</si>
  <si>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</si>
  <si>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</si>
  <si>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</si>
  <si>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</si>
  <si>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</si>
  <si>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</si>
  <si>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</si>
  <si>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</si>
  <si>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</si>
  <si>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</si>
  <si>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</si>
  <si>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</si>
  <si>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</si>
  <si>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</si>
  <si>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</si>
  <si>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</si>
  <si>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</si>
  <si>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</si>
  <si>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</si>
  <si>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</si>
  <si>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</si>
  <si>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</si>
  <si>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</si>
  <si>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</si>
  <si>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</si>
  <si>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</si>
  <si>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</si>
  <si>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</si>
  <si>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</si>
  <si>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</si>
  <si>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</si>
  <si>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</si>
  <si>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</si>
  <si>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</si>
  <si>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</si>
  <si>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</si>
  <si>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</si>
  <si>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</si>
  <si>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</si>
  <si>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</si>
  <si>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</si>
  <si>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</si>
  <si>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</si>
  <si>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</si>
  <si>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</si>
  <si>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</si>
  <si>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</si>
  <si>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</si>
  <si>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</si>
  <si>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</si>
  <si>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</si>
  <si>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</si>
  <si>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</si>
  <si>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</si>
  <si>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</si>
  <si>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</si>
  <si>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</si>
  <si>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</si>
  <si>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</si>
  <si>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</si>
  <si>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</si>
  <si>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</si>
  <si>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</si>
  <si>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</si>
  <si>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</si>
  <si>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</si>
  <si>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</si>
  <si>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</si>
  <si>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</si>
  <si>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</si>
  <si>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</si>
  <si>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</si>
  <si>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</si>
  <si>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</si>
  <si>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</si>
  <si>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</si>
  <si>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</si>
  <si>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</si>
  <si>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</si>
  <si>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</si>
  <si>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</si>
  <si>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</si>
  <si>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</si>
  <si>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</si>
  <si>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</si>
  <si>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</si>
  <si>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</si>
  <si>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</si>
  <si>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</si>
  <si>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</si>
  <si>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</si>
  <si>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</si>
  <si>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</si>
  <si>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</si>
  <si>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</si>
  <si>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</si>
  <si>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</si>
  <si>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</si>
  <si>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</si>
  <si>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</si>
  <si>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</si>
  <si>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</si>
  <si>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</si>
  <si>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</si>
  <si>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</si>
  <si>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</si>
  <si>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</si>
  <si>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</si>
  <si>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</si>
  <si>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</si>
  <si>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</si>
  <si>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</si>
  <si>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</si>
  <si>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</si>
  <si>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</si>
  <si>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</si>
  <si>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</si>
  <si>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</si>
  <si>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</si>
  <si>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</si>
  <si>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</si>
  <si>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</si>
  <si>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</si>
  <si>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</si>
  <si>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</si>
  <si>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</si>
  <si>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</si>
  <si>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</si>
  <si>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</si>
  <si>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</si>
  <si>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</si>
  <si>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</si>
  <si>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</si>
  <si>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</si>
  <si>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</si>
  <si>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</si>
  <si>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</si>
  <si>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</si>
  <si>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</si>
  <si>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</si>
  <si>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</si>
  <si>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</si>
  <si>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</si>
  <si>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</si>
  <si>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</si>
  <si>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</si>
  <si>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</si>
  <si>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</si>
  <si>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</si>
  <si>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</si>
  <si>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</si>
  <si>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</si>
  <si>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</si>
  <si>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</si>
  <si>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</si>
  <si>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</si>
  <si>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</si>
  <si>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</si>
  <si>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</si>
  <si>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</si>
  <si>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</si>
  <si>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</si>
  <si>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</si>
  <si>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</si>
  <si>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</si>
  <si>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</si>
  <si>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</si>
  <si>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</si>
  <si>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</si>
  <si>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</si>
  <si>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</si>
  <si>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</si>
  <si>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</si>
  <si>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</si>
  <si>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</si>
  <si>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</si>
  <si>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</si>
  <si>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</si>
  <si>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</si>
  <si>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</si>
  <si>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</si>
  <si>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</si>
  <si>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</si>
  <si>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</si>
  <si>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</si>
  <si>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</si>
  <si>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</si>
  <si>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</si>
  <si>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</si>
  <si>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</si>
  <si>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</si>
  <si>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</si>
  <si>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</si>
  <si>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</si>
  <si>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</si>
  <si>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</si>
  <si>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</si>
  <si>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</si>
  <si>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</si>
  <si>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</si>
  <si>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</si>
  <si>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</si>
  <si>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</si>
  <si>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</si>
  <si>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</si>
  <si>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</si>
  <si>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</si>
  <si>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</si>
  <si>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</si>
  <si>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</si>
  <si>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</si>
  <si>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</si>
  <si>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</si>
  <si>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</si>
  <si>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</si>
  <si>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</si>
  <si>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</si>
  <si>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</si>
  <si>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</si>
  <si>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</si>
  <si>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</si>
  <si>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</si>
  <si>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</si>
  <si>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</si>
  <si>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</si>
  <si>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</si>
  <si>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</si>
  <si>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</si>
  <si>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</si>
  <si>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</si>
  <si>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</si>
  <si>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</si>
  <si>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</si>
  <si>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</si>
  <si>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</si>
  <si>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</si>
  <si>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</si>
  <si>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</si>
  <si>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</si>
  <si>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</si>
  <si>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</si>
  <si>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</si>
  <si>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</si>
  <si>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</si>
  <si>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</si>
  <si>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</si>
  <si>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</si>
  <si>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</si>
  <si>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</si>
  <si>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</si>
  <si>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</si>
  <si>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</si>
  <si>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</si>
  <si>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</si>
  <si>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</si>
  <si>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</si>
  <si>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</si>
  <si>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</si>
  <si>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</si>
  <si>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</si>
  <si>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</si>
  <si>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</si>
  <si>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</si>
  <si>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</si>
  <si>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</si>
  <si>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</si>
  <si>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</si>
  <si>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</si>
  <si>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</si>
  <si>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</si>
  <si>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</si>
  <si>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</si>
  <si>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</si>
  <si>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</si>
  <si>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</si>
  <si>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</si>
  <si>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</si>
  <si>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</si>
  <si>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</si>
  <si>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</si>
  <si>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</si>
  <si>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</si>
  <si>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</si>
  <si>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</si>
  <si>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</si>
  <si>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</si>
  <si>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</si>
  <si>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</si>
  <si>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</si>
  <si>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</si>
  <si>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</si>
  <si>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</si>
  <si>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</si>
  <si>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</si>
  <si>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</si>
  <si>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</si>
  <si>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</si>
  <si>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</si>
  <si>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</si>
  <si>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</si>
  <si>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</si>
  <si>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</si>
  <si>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</si>
  <si>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</si>
  <si>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</si>
  <si>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</si>
  <si>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</si>
  <si>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</si>
  <si>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</si>
  <si>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</si>
  <si>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</si>
  <si>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</si>
  <si>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</si>
  <si>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</si>
  <si>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</si>
  <si>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</si>
  <si>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</si>
  <si>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</si>
  <si>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</si>
  <si>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</si>
  <si>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</si>
  <si>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</si>
  <si>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</si>
  <si>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</si>
  <si>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</si>
  <si>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</si>
  <si>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</si>
  <si>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</si>
  <si>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</si>
  <si>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</si>
  <si>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</si>
  <si>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</si>
  <si>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</si>
  <si>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</si>
  <si>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</si>
  <si>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</si>
  <si>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</si>
  <si>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</si>
  <si>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</si>
  <si>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</si>
  <si>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</si>
  <si>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</si>
  <si>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</si>
  <si>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</si>
  <si>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</si>
  <si>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</si>
  <si>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</si>
  <si>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</si>
  <si>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</si>
  <si>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</si>
  <si>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</si>
  <si>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</si>
  <si>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</si>
  <si>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</si>
  <si>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</si>
  <si>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</si>
  <si>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</si>
  <si>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</si>
  <si>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</si>
  <si>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</si>
  <si>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</si>
  <si>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</si>
  <si>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</si>
  <si>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</si>
  <si>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</si>
  <si>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</si>
  <si>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</si>
  <si>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</si>
  <si>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</si>
  <si>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</si>
  <si>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</si>
  <si>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</si>
  <si>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</si>
  <si>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</si>
  <si>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</si>
  <si>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</si>
  <si>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</si>
  <si>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</si>
  <si>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</si>
  <si>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</si>
  <si>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</si>
  <si>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</si>
  <si>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</si>
  <si>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</si>
  <si>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</si>
  <si>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</si>
  <si>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</si>
  <si>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</si>
  <si>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</si>
  <si>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</si>
  <si>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</si>
  <si>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</si>
  <si>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</si>
  <si>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</si>
  <si>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</si>
  <si>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</si>
  <si>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</si>
  <si>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</si>
  <si>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</si>
  <si>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</si>
  <si>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</si>
  <si>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</si>
  <si>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</si>
  <si>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</si>
  <si>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</si>
  <si>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</si>
  <si>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</si>
  <si>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</si>
  <si>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</si>
  <si>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</si>
  <si>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</si>
  <si>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</si>
  <si>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</si>
  <si>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</si>
  <si>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</si>
  <si>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</si>
  <si>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</si>
  <si>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</si>
  <si>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</si>
  <si>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</si>
  <si>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</si>
  <si>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</si>
  <si>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</si>
  <si>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</si>
  <si>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</si>
  <si>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</si>
  <si>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</si>
  <si>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</si>
  <si>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</si>
  <si>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</si>
  <si>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</si>
  <si>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</si>
  <si>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</si>
  <si>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</si>
  <si>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</si>
  <si>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</si>
  <si>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</si>
  <si>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</si>
  <si>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</si>
  <si>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</si>
  <si>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</si>
  <si>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</si>
  <si>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</si>
  <si>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</si>
  <si>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</si>
  <si>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</si>
  <si>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</si>
  <si>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</si>
  <si>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</si>
  <si>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</si>
  <si>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</si>
  <si>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</si>
  <si>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</si>
  <si>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</si>
  <si>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</si>
  <si>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</si>
  <si>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</si>
  <si>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</si>
  <si>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</si>
  <si>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</si>
  <si>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</si>
  <si>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</si>
  <si>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</si>
  <si>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</si>
  <si>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</si>
  <si>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</si>
  <si>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</si>
  <si>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</si>
  <si>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</si>
  <si>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</si>
  <si>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</si>
  <si>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</si>
  <si>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</si>
  <si>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</si>
  <si>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</si>
  <si>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</si>
  <si>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</si>
  <si>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</si>
  <si>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</si>
  <si>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</si>
  <si>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</si>
  <si>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</si>
  <si>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</si>
  <si>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</si>
  <si>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</si>
  <si>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</si>
  <si>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</si>
  <si>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</si>
  <si>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</si>
  <si>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</si>
  <si>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</si>
  <si>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</si>
  <si>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</si>
  <si>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</si>
  <si>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</si>
  <si>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</si>
  <si>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</si>
  <si>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</si>
  <si>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</si>
  <si>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</si>
  <si>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</si>
  <si>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</si>
  <si>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</si>
  <si>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</si>
  <si>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</si>
  <si>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</si>
  <si>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</si>
  <si>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</si>
  <si>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</si>
  <si>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</si>
  <si>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</si>
  <si>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</si>
  <si>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</si>
  <si>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</si>
  <si>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</si>
  <si>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</si>
  <si>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</si>
  <si>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</si>
  <si>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</si>
  <si>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</si>
  <si>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</si>
  <si>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</si>
  <si>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</si>
  <si>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</si>
  <si>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</si>
  <si>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</si>
  <si>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</si>
  <si>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</si>
  <si>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</si>
  <si>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</si>
  <si>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</si>
  <si>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</si>
  <si>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</si>
  <si>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</si>
  <si>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</si>
  <si>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</si>
  <si>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</si>
  <si>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</si>
  <si>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</si>
  <si>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</si>
  <si>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</si>
  <si>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</si>
  <si>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</si>
  <si>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</si>
  <si>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</si>
  <si>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</si>
  <si>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</si>
  <si>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</si>
  <si>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</si>
  <si>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</si>
  <si>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</si>
  <si>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</si>
  <si>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</si>
  <si>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</si>
  <si>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</si>
  <si>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</si>
  <si>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</si>
  <si>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</si>
  <si>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</si>
  <si>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</si>
  <si>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</si>
  <si>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</si>
  <si>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</si>
  <si>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</si>
  <si>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</si>
  <si>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</si>
  <si>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</si>
  <si>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</si>
  <si>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</si>
  <si>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</si>
  <si>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</si>
  <si>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</si>
  <si>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</si>
  <si>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</si>
  <si>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</si>
  <si>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</si>
  <si>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</si>
  <si>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</si>
  <si>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</si>
  <si>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</si>
  <si>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</si>
  <si>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</si>
  <si>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</si>
  <si>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</si>
  <si>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</si>
  <si>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</si>
  <si>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</si>
  <si>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</si>
  <si>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</si>
  <si>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</si>
  <si>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</si>
  <si>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</si>
  <si>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</si>
  <si>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</si>
  <si>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</si>
  <si>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</si>
  <si>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</si>
  <si>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</si>
  <si>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</si>
  <si>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</si>
  <si>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</si>
  <si>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</si>
  <si>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</si>
  <si>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</si>
  <si>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</si>
  <si>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</si>
  <si>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</si>
  <si>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</si>
  <si>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</si>
  <si>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</si>
  <si>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</si>
  <si>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</si>
  <si>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</si>
  <si>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</si>
  <si>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</si>
  <si>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</si>
  <si>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</si>
  <si>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</si>
  <si>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</si>
  <si>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</si>
  <si>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</si>
  <si>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</si>
  <si>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</si>
  <si>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</si>
  <si>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</si>
  <si>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</si>
  <si>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</si>
  <si>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</si>
  <si>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</si>
  <si>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</si>
  <si>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</si>
  <si>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</si>
  <si>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</si>
  <si>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</si>
  <si>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</si>
  <si>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</si>
  <si>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</si>
  <si>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</si>
  <si>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</si>
  <si>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</si>
  <si>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</si>
  <si>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</si>
  <si>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</si>
  <si>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</si>
  <si>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</si>
  <si>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</si>
  <si>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</si>
  <si>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</si>
  <si>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</si>
  <si>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</si>
  <si>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</si>
  <si>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</si>
  <si>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</si>
  <si>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</si>
  <si>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</si>
  <si>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</si>
  <si>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</si>
  <si>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</si>
  <si>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</si>
  <si>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</si>
  <si>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</si>
  <si>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</si>
  <si>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</si>
  <si>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</si>
  <si>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</si>
  <si>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</si>
  <si>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</si>
  <si>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</si>
  <si>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</si>
  <si>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</si>
  <si>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</si>
  <si>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</si>
  <si>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</si>
  <si>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</si>
  <si>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</si>
  <si>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</si>
  <si>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</si>
  <si>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</si>
  <si>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</si>
  <si>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</si>
  <si>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</si>
  <si>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</si>
  <si>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</si>
  <si>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</si>
  <si>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</si>
  <si>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</si>
  <si>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</si>
  <si>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</si>
  <si>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</si>
  <si>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</si>
  <si>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</si>
  <si>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</si>
  <si>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</si>
  <si>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</si>
  <si>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</si>
  <si>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</si>
  <si>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</si>
  <si>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</si>
  <si>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</si>
  <si>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</si>
  <si>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</si>
  <si>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</si>
  <si>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</si>
  <si>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</si>
  <si>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</si>
  <si>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</si>
  <si>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</si>
  <si>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</si>
  <si>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</si>
  <si>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</si>
  <si>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</si>
  <si>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</si>
  <si>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</si>
  <si>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</si>
  <si>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</si>
  <si>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</si>
  <si>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</si>
  <si>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</si>
  <si>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</si>
  <si>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</si>
  <si>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</si>
  <si>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</si>
  <si>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</si>
  <si>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</si>
  <si>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</si>
  <si>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</si>
  <si>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</si>
  <si>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</si>
  <si>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</si>
  <si>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</si>
  <si>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</si>
  <si>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</si>
  <si>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</si>
  <si>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</si>
  <si>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</si>
  <si>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</si>
  <si>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</si>
  <si>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</si>
  <si>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</si>
  <si>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</si>
  <si>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</si>
  <si>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</si>
  <si>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</si>
  <si>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</si>
  <si>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</si>
  <si>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</si>
  <si>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</si>
  <si>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</si>
  <si>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</si>
  <si>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</si>
  <si>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</si>
  <si>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</si>
  <si>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</si>
  <si>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</si>
  <si>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</si>
  <si>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</si>
  <si>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</si>
  <si>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</si>
  <si>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</si>
  <si>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</si>
  <si>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</si>
  <si>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</si>
  <si>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</si>
  <si>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</si>
  <si>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</si>
  <si>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</si>
  <si>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</si>
  <si>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</si>
  <si>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</si>
  <si>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</si>
  <si>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</si>
  <si>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</si>
  <si>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</si>
  <si>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</si>
  <si>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</si>
  <si>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</si>
  <si>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</si>
  <si>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</si>
  <si>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</si>
  <si>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</si>
  <si>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</si>
  <si>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</si>
  <si>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</si>
  <si>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</si>
  <si>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</si>
  <si>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</si>
  <si>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</si>
  <si>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</si>
  <si>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</si>
  <si>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</si>
  <si>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</si>
  <si>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</si>
  <si>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</si>
  <si>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</si>
  <si>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</si>
  <si>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</si>
  <si>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</si>
  <si>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</si>
  <si>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</si>
  <si>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</si>
  <si>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</si>
  <si>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</si>
  <si>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</si>
  <si>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</si>
  <si>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</si>
  <si>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</si>
  <si>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</si>
  <si>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</si>
  <si>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</si>
  <si>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</si>
  <si>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</si>
  <si>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</si>
  <si>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</si>
  <si>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</si>
  <si>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</si>
  <si>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</si>
  <si>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</si>
  <si>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</si>
  <si>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</si>
  <si>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</si>
  <si>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</si>
  <si>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</si>
  <si>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</si>
  <si>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</si>
  <si>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</si>
  <si>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</si>
  <si>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</si>
  <si>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</si>
  <si>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</si>
  <si>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</si>
  <si>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</si>
  <si>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</si>
  <si>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</si>
  <si>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</si>
  <si>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</si>
  <si>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</si>
  <si>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</si>
  <si>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</si>
  <si>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</si>
  <si>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</si>
  <si>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</si>
  <si>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</si>
  <si>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</si>
  <si>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</si>
  <si>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</si>
  <si>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</si>
  <si>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</si>
  <si>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</si>
  <si>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</si>
  <si>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</si>
  <si>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</si>
  <si>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</si>
  <si>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</si>
  <si>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</si>
  <si>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</si>
  <si>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</si>
  <si>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</si>
  <si>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</si>
  <si>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</si>
  <si>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</si>
  <si>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</si>
  <si>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</si>
  <si>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</si>
  <si>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</si>
  <si>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</si>
  <si>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</si>
  <si>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</si>
  <si>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</si>
  <si>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</si>
  <si>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</si>
  <si>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</si>
  <si>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</si>
  <si>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</si>
  <si>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</si>
  <si>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</si>
  <si>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</si>
  <si>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</si>
  <si>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</si>
  <si>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</si>
  <si>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</si>
  <si>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</si>
  <si>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</si>
  <si>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</si>
  <si>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</si>
  <si>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</si>
  <si>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</si>
  <si>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</si>
  <si>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</si>
  <si>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</si>
  <si>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</si>
  <si>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</si>
  <si>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</si>
  <si>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</si>
  <si>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</si>
  <si>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</si>
  <si>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</si>
  <si>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</si>
  <si>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</si>
  <si>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</si>
  <si>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</si>
  <si>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</si>
  <si>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</si>
  <si>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</si>
  <si>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</si>
  <si>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</si>
  <si>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</si>
  <si>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</si>
  <si>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</si>
  <si>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</si>
  <si>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</si>
  <si>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</si>
  <si>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</si>
  <si>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</si>
  <si>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</si>
  <si>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</si>
  <si>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</si>
  <si>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</si>
  <si>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</si>
  <si>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</si>
  <si>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</si>
  <si>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</si>
  <si>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</si>
  <si>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</si>
  <si>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</si>
  <si>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</si>
  <si>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</si>
  <si>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</si>
  <si>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</si>
  <si>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</si>
  <si>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</si>
  <si>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</si>
  <si>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</si>
  <si>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</si>
  <si>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</si>
  <si>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</si>
  <si>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</si>
  <si>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</si>
  <si>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</si>
  <si>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</si>
  <si>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</si>
  <si>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</si>
  <si>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</si>
  <si>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</si>
  <si>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</si>
  <si>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</si>
  <si>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</si>
  <si>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</si>
  <si>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</si>
  <si>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</si>
  <si>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</si>
  <si>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</si>
  <si>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</si>
  <si>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</si>
  <si>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</si>
  <si>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</si>
  <si>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</si>
  <si>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</si>
  <si>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</si>
  <si>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</si>
  <si>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</si>
  <si>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</si>
  <si>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</si>
  <si>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</si>
  <si>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</si>
  <si>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</si>
  <si>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</si>
  <si>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</si>
  <si>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</si>
  <si>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</si>
  <si>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</si>
  <si>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</si>
  <si>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</si>
  <si>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</si>
  <si>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</si>
  <si>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</si>
  <si>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</si>
  <si>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</si>
  <si>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</si>
  <si>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</si>
  <si>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</si>
  <si>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</si>
  <si>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</si>
  <si>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</si>
  <si>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</si>
  <si>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</si>
  <si>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</si>
  <si>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</si>
  <si>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</si>
  <si>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</si>
  <si>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</si>
  <si>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</si>
  <si>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</si>
  <si>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</si>
  <si>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</si>
  <si>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</si>
  <si>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</si>
  <si>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</si>
  <si>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</si>
  <si>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</si>
  <si>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</si>
  <si>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</si>
  <si>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</si>
  <si>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</si>
  <si>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</si>
  <si>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</si>
  <si>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</si>
  <si>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</si>
  <si>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</si>
  <si>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</si>
  <si>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</si>
  <si>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</si>
  <si>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</si>
  <si>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</si>
  <si>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</si>
  <si>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</si>
  <si>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</si>
  <si>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</si>
  <si>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</si>
  <si>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</si>
  <si>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</si>
  <si>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</si>
  <si>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</si>
  <si>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</si>
  <si>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</si>
  <si>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</si>
  <si>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</si>
  <si>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</si>
  <si>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</si>
  <si>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</si>
  <si>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</si>
  <si>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</si>
  <si>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</si>
  <si>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</si>
  <si>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</si>
  <si>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</si>
  <si>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</si>
  <si>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</si>
  <si>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</si>
  <si>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</si>
  <si>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</si>
  <si>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</si>
  <si>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</si>
  <si>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</si>
  <si>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</si>
  <si>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</si>
  <si>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</si>
  <si>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</si>
  <si>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</si>
  <si>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</si>
  <si>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</si>
  <si>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</si>
  <si>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</si>
  <si>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</si>
  <si>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</si>
  <si>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</si>
  <si>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</si>
  <si>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</si>
  <si>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</si>
  <si>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</si>
  <si>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</si>
  <si>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</si>
  <si>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</si>
  <si>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</si>
  <si>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</si>
  <si>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</si>
  <si>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</si>
  <si>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</si>
  <si>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</si>
  <si>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</si>
  <si>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</si>
  <si>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</si>
  <si>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</si>
  <si>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</si>
  <si>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</si>
  <si>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</si>
  <si>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</si>
  <si>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</si>
  <si>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</si>
  <si>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</si>
  <si>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</si>
  <si>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</si>
  <si>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</si>
  <si>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</si>
  <si>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</si>
  <si>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</si>
  <si>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</si>
  <si>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</si>
  <si>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</si>
  <si>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</si>
  <si>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</si>
  <si>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</si>
  <si>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</si>
  <si>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</si>
  <si>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</si>
  <si>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</si>
  <si>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</si>
  <si>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</si>
  <si>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</si>
  <si>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</si>
  <si>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</si>
  <si>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</si>
  <si>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</si>
  <si>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</si>
  <si>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</si>
  <si>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</si>
  <si>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</si>
  <si>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</si>
  <si>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</si>
  <si>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</si>
  <si>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</si>
  <si>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</si>
  <si>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</si>
  <si>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</si>
  <si>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</si>
  <si>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</si>
  <si>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</si>
  <si>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</si>
  <si>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</si>
  <si>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</si>
  <si>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</si>
  <si>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</si>
  <si>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</si>
  <si>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</si>
  <si>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</si>
  <si>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</si>
  <si>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</si>
  <si>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</si>
  <si>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</si>
  <si>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</si>
  <si>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</si>
  <si>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</si>
  <si>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</si>
  <si>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</si>
  <si>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</si>
  <si>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</si>
  <si>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</si>
  <si>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</si>
  <si>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</si>
  <si>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</si>
  <si>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</si>
  <si>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</si>
  <si>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</si>
  <si>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</si>
  <si>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</si>
  <si>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</si>
  <si>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</si>
  <si>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</si>
  <si>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</si>
  <si>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</si>
  <si>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</si>
  <si>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</si>
  <si>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</si>
  <si>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</si>
  <si>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</si>
  <si>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</si>
  <si>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</si>
  <si>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</si>
  <si>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</si>
  <si>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</si>
  <si>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</si>
  <si>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</si>
  <si>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</si>
  <si>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</si>
  <si>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</si>
  <si>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</si>
  <si>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</si>
  <si>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</si>
  <si>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</si>
  <si>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</si>
  <si>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</si>
  <si>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</si>
  <si>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</si>
  <si>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</si>
  <si>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</si>
  <si>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</si>
  <si>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</si>
  <si>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</si>
  <si>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</si>
  <si>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</si>
  <si>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</si>
  <si>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</si>
  <si>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</si>
  <si>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</si>
  <si>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</si>
  <si>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</si>
  <si>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</si>
  <si>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</si>
  <si>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</si>
  <si>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</si>
  <si>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</si>
  <si>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</si>
  <si>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</si>
  <si>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</si>
  <si>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</si>
  <si>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</si>
  <si>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</si>
  <si>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</si>
  <si>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</si>
  <si>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</si>
  <si>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</si>
  <si>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</si>
  <si>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</si>
  <si>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</si>
  <si>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</si>
  <si>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</si>
  <si>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</si>
  <si>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</si>
  <si>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</si>
  <si>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</si>
  <si>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</si>
  <si>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</si>
  <si>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</si>
  <si>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</si>
  <si>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</si>
  <si>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</si>
  <si>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</si>
  <si>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</si>
  <si>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</si>
  <si>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</si>
  <si>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</si>
  <si>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</si>
  <si>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</si>
  <si>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</si>
  <si>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</si>
  <si>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</si>
  <si>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</si>
  <si>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</si>
  <si>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</si>
  <si>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</si>
  <si>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</si>
  <si>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</si>
  <si>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</si>
  <si>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</si>
  <si>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</si>
  <si>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</si>
  <si>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</si>
  <si>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</si>
  <si>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</si>
  <si>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</si>
  <si>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</si>
  <si>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</si>
  <si>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</si>
  <si>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</si>
  <si>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</si>
  <si>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</si>
  <si>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</si>
  <si>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</si>
  <si>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</si>
  <si>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</si>
  <si>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</si>
  <si>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</si>
  <si>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</si>
  <si>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</si>
  <si>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</si>
  <si>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</si>
  <si>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</si>
  <si>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</si>
  <si>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</si>
  <si>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</si>
  <si>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</si>
  <si>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</si>
  <si>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</si>
  <si>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</si>
  <si>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</si>
  <si>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</si>
  <si>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</si>
  <si>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</si>
  <si>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</si>
  <si>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</si>
  <si>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</si>
  <si>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</si>
  <si>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</si>
  <si>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</si>
  <si>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</si>
  <si>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</si>
  <si>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</si>
  <si>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</si>
  <si>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</si>
  <si>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</si>
  <si>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</si>
  <si>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</si>
  <si>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</si>
  <si>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</si>
  <si>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</si>
  <si>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</si>
  <si>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</si>
  <si>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</si>
  <si>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</si>
  <si>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</si>
  <si>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</si>
  <si>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</si>
  <si>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</si>
  <si>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</si>
  <si>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</si>
  <si>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</si>
  <si>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</si>
  <si>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</si>
  <si>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</si>
  <si>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</si>
  <si>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</si>
  <si>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</si>
  <si>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</si>
  <si>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</si>
  <si>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</si>
  <si>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</si>
  <si>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</si>
  <si>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</si>
  <si>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</si>
  <si>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</si>
  <si>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</si>
  <si>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</si>
  <si>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</si>
  <si>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</si>
  <si>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</si>
  <si>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</si>
  <si>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</si>
  <si>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</si>
  <si>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</si>
  <si>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</si>
  <si>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</si>
  <si>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</si>
  <si>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</si>
  <si>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</si>
  <si>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</si>
  <si>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</si>
  <si>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</si>
  <si>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</si>
  <si>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</si>
  <si>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</si>
  <si>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</si>
  <si>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</si>
  <si>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</si>
  <si>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</si>
  <si>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</si>
  <si>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</si>
  <si>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</si>
  <si>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</si>
  <si>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</si>
  <si>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</si>
  <si>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</si>
  <si>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</si>
  <si>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</si>
  <si>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</si>
  <si>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</si>
  <si>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</si>
  <si>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</si>
  <si>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</si>
  <si>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</si>
  <si>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</si>
  <si>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</si>
  <si>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</si>
  <si>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</si>
  <si>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</si>
  <si>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</si>
  <si>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</si>
  <si>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</si>
  <si>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</si>
  <si>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</si>
  <si>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</si>
  <si>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</si>
  <si>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</si>
  <si>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</si>
  <si>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</si>
  <si>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</si>
  <si>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</si>
  <si>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</si>
  <si>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</si>
  <si>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</si>
  <si>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</si>
  <si>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</si>
  <si>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</si>
  <si>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</si>
  <si>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</si>
  <si>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</si>
  <si>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</si>
  <si>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</si>
  <si>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</si>
  <si>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</si>
  <si>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</si>
  <si>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</si>
  <si>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</si>
  <si>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</si>
  <si>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</si>
  <si>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</si>
  <si>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</si>
  <si>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</si>
  <si>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</si>
  <si>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</si>
  <si>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</si>
  <si>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</si>
  <si>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</si>
  <si>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</si>
  <si>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</si>
  <si>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</si>
  <si>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</si>
  <si>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</si>
  <si>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</si>
  <si>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</si>
  <si>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</si>
  <si>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</si>
  <si>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</si>
  <si>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</si>
  <si>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</si>
  <si>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</si>
  <si>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</si>
  <si>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</si>
  <si>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</si>
  <si>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</si>
  <si>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</si>
  <si>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</si>
  <si>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</si>
  <si>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</si>
  <si>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</si>
  <si>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</si>
  <si>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</si>
  <si>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</si>
  <si>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</si>
  <si>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</si>
  <si>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</si>
  <si>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</si>
  <si>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</si>
  <si>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</si>
  <si>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</si>
  <si>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</si>
  <si>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</si>
  <si>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</si>
  <si>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</si>
  <si>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</si>
  <si>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</si>
  <si>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</si>
  <si>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</si>
  <si>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</si>
  <si>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</si>
  <si>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</si>
  <si>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</si>
  <si>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</si>
  <si>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</si>
  <si>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</si>
  <si>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</si>
  <si>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</si>
  <si>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</si>
  <si>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</si>
  <si>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</si>
  <si>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</si>
  <si>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</si>
  <si>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</si>
  <si>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</si>
  <si>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</si>
  <si>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</si>
  <si>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</si>
  <si>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</si>
  <si>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</si>
  <si>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</si>
  <si>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</si>
  <si>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</si>
  <si>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</si>
  <si>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</si>
  <si>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</si>
  <si>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</si>
  <si>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</si>
  <si>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</si>
  <si>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</si>
  <si>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</si>
  <si>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</si>
  <si>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</si>
  <si>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</si>
  <si>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</si>
  <si>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</si>
  <si>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</si>
  <si>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</si>
  <si>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</si>
  <si>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</si>
  <si>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</si>
  <si>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</si>
  <si>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</si>
  <si>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</si>
  <si>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</si>
  <si>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</si>
  <si>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</si>
  <si>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</si>
  <si>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</si>
  <si>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</si>
  <si>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</si>
  <si>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</si>
  <si>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</si>
  <si>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</si>
  <si>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</si>
  <si>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</si>
  <si>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</si>
  <si>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</si>
  <si>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</si>
  <si>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</si>
  <si>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</si>
  <si>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</si>
  <si>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</si>
  <si>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</si>
  <si>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</si>
  <si>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</si>
  <si>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</si>
  <si>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</si>
  <si>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</si>
  <si>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</si>
  <si>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</si>
  <si>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</si>
  <si>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</si>
  <si>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</si>
  <si>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</si>
  <si>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</si>
  <si>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</si>
  <si>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</si>
  <si>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</si>
  <si>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</si>
  <si>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</si>
  <si>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</si>
  <si>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</si>
  <si>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</si>
  <si>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</si>
  <si>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</si>
  <si>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</si>
  <si>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</si>
  <si>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</si>
  <si>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</si>
  <si>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</si>
  <si>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</si>
  <si>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</si>
  <si>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</si>
  <si>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</si>
  <si>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</si>
  <si>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</si>
  <si>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</si>
  <si>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</si>
  <si>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</si>
  <si>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</si>
  <si>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</si>
  <si>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</si>
  <si>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</si>
  <si>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</si>
  <si>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</si>
  <si>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Category</t>
  </si>
  <si>
    <t xml:space="preserve"> </t>
  </si>
  <si>
    <t>Column Labels</t>
  </si>
  <si>
    <t>Count of Sub-Category</t>
  </si>
  <si>
    <t>(All)</t>
  </si>
  <si>
    <t>Row Labels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</si>
  <si>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</si>
  <si>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</si>
  <si>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</si>
  <si>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</si>
  <si>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</si>
  <si>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</si>
  <si>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</si>
  <si>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</si>
  <si>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</si>
  <si>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</si>
  <si>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</si>
  <si>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</si>
  <si>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</si>
  <si>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</si>
  <si>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</si>
  <si>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</si>
  <si>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</si>
  <si>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</si>
  <si>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</si>
  <si>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</si>
  <si>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</si>
  <si>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</si>
  <si>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</si>
  <si>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</si>
  <si>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Count of Parent Category</t>
  </si>
  <si>
    <t>Date Created Conversion</t>
  </si>
  <si>
    <t>Deadline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</si>
  <si>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</si>
  <si>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</si>
  <si>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</si>
  <si>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</si>
  <si>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</si>
  <si>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</si>
  <si>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</si>
  <si>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</si>
  <si>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</si>
  <si>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</si>
  <si>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</si>
  <si>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</si>
  <si>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</si>
  <si>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Count of Date Created Conversion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</si>
  <si>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</si>
  <si>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</si>
  <si>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</si>
  <si>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</si>
  <si>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</si>
  <si>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</si>
  <si>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</si>
  <si>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</si>
  <si>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</si>
  <si>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</si>
  <si>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</si>
  <si>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</si>
  <si>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</si>
  <si>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</si>
  <si>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</si>
  <si>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</si>
  <si>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</si>
  <si>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</si>
  <si>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</si>
  <si>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</si>
  <si>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</si>
  <si>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Backers_Count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</si>
  <si>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</si>
  <si>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</si>
  <si>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</si>
  <si>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</si>
  <si>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</si>
  <si>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</si>
  <si>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</si>
  <si>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</si>
  <si>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</si>
  <si>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Successful</t>
  </si>
  <si>
    <t>Failed</t>
  </si>
  <si>
    <t>Mean</t>
  </si>
  <si>
    <t>Median</t>
  </si>
  <si>
    <t>Minimum</t>
  </si>
  <si>
    <t>Maximum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</si>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</sst>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Nunito Sans"/>
    </font>
    <font>
      <sz val="12"/>
      <color rgb="FF2B2B2B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18" fillId="0" borderId="0" xfId="0" applyNumberFormat="1" applyFont="1"/>
    <xf numFmtId="0" fontId="16" fillId="0" borderId="0" xfId="0" applyFont="1"/>
    <xf numFmtId="0" fontId="19" fillId="0" borderId="0" xfId="0" applyFont="1" applyAlignment="1">
      <alignment horizontal="left" vertical="center" wrapText="1"/>
    </xf>
    <xf numFmtId="9" fontId="0" fillId="0" borderId="0" xfId="42" applyFont="1"/>
    <xf numFmtId="0" fontId="16" fillId="0" borderId="0" xfId="42" applyNumberFormat="1" applyFont="1" applyAlignment="1">
      <alignment horizontal="center"/>
    </xf>
    <xf numFmtId="0" fontId="0" fillId="0" borderId="0" xfId="42" applyNumberFormat="1" applyFont="1"/>
    <xf numFmtId="10" fontId="0" fillId="0" borderId="0" xfId="42" applyNumberFormat="1" applyFont="1"/>
    <xf numFmtId="44" fontId="0" fillId="0" borderId="0" xfId="43" applyFont="1"/>
    <xf numFmtId="0" fontId="0" fillId="33" borderId="0" xfId="0" applyFill="1"/>
    <xf numFmtId="0" fontId="0" fillId="34" borderId="0" xfId="0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ill>
        <patternFill>
          <bgColor rgb="FFFF7C8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E9C117"/>
        </patternFill>
      </fill>
    </dxf>
    <dxf>
      <fill>
        <patternFill>
          <bgColor rgb="FFFF7C8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E9C117"/>
        </patternFill>
      </fill>
    </dxf>
  </dxfs>
  <tableStyles count="0" defaultTableStyle="TableStyleMedium2" defaultPivotStyle="PivotStyleLight16"/>
  <colors>
    <mruColors>
      <color rgb="FFE9C117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 Breakdown!PivotTable5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Breakdown'!$B$3:$B$4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Breakdown'!$A$5:$A$14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Breakdown'!$B$5:$B$14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B9-4507-ABB6-3BF7F1F6892D}"/>
            </c:ext>
          </c:extLst>
        </c:ser>
        <c:ser>
          <c:idx val="1"/>
          <c:order val="1"/>
          <c:tx>
            <c:strRef>
              <c:f>'Category Breakdown'!$C$3:$C$4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Breakdown'!$A$5:$A$14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Breakdown'!$C$5:$C$14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B9-4507-ABB6-3BF7F1F6892D}"/>
            </c:ext>
          </c:extLst>
        </c:ser>
        <c:ser>
          <c:idx val="2"/>
          <c:order val="2"/>
          <c:tx>
            <c:strRef>
              <c:f>'Category Breakdown'!$D$3:$D$4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Breakdown'!$A$5:$A$14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Breakdown'!$D$5:$D$14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B9-4507-ABB6-3BF7F1F6892D}"/>
            </c:ext>
          </c:extLst>
        </c:ser>
        <c:ser>
          <c:idx val="3"/>
          <c:order val="3"/>
          <c:tx>
            <c:strRef>
              <c:f>'Category Breakdown'!$E$3:$E$4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Breakdown'!$A$5:$A$14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Breakdown'!$E$5:$E$14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CB9-4507-ABB6-3BF7F1F68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68531504"/>
        <c:axId val="1887473936"/>
      </c:barChart>
      <c:catAx>
        <c:axId val="166853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73936"/>
        <c:crosses val="autoZero"/>
        <c:auto val="1"/>
        <c:lblAlgn val="ctr"/>
        <c:lblOffset val="100"/>
        <c:noMultiLvlLbl val="0"/>
      </c:catAx>
      <c:valAx>
        <c:axId val="188747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531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 Breakdown!PivotTable1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Breakdown'!$B$3:$B$4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 Breakdown'!$A$5:$A$29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Breakdown'!$B$5:$B$29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B5-4388-822F-FC5D051933D3}"/>
            </c:ext>
          </c:extLst>
        </c:ser>
        <c:ser>
          <c:idx val="1"/>
          <c:order val="1"/>
          <c:tx>
            <c:strRef>
              <c:f>'Sub-Category Breakdown'!$C$3:$C$4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 Breakdown'!$A$5:$A$29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Breakdown'!$C$5:$C$29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B5-4388-822F-FC5D051933D3}"/>
            </c:ext>
          </c:extLst>
        </c:ser>
        <c:ser>
          <c:idx val="2"/>
          <c:order val="2"/>
          <c:tx>
            <c:strRef>
              <c:f>'Sub-Category Breakdown'!$D$3:$D$4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 Breakdown'!$A$5:$A$29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Breakdown'!$D$5:$D$29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B5-4388-822F-FC5D051933D3}"/>
            </c:ext>
          </c:extLst>
        </c:ser>
        <c:ser>
          <c:idx val="3"/>
          <c:order val="3"/>
          <c:tx>
            <c:strRef>
              <c:f>'Sub-Category Breakdown'!$E$3:$E$4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 Breakdown'!$A$5:$A$29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Breakdown'!$E$5:$E$29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B5-4388-822F-FC5D051933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7723280"/>
        <c:axId val="1773333392"/>
      </c:barChart>
      <c:catAx>
        <c:axId val="176772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333392"/>
        <c:crosses val="autoZero"/>
        <c:auto val="1"/>
        <c:lblAlgn val="ctr"/>
        <c:lblOffset val="100"/>
        <c:noMultiLvlLbl val="0"/>
      </c:catAx>
      <c:valAx>
        <c:axId val="177333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72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[CrowdfundingBook.xlsx]Date Created Breakdown!PivotTable2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Created Breakdown'!$B$4:$B$5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'Date Created Breakdown'!$A$6:$A$18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Breakdown'!$B$6:$B$18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8D-43C1-BC65-D012B590A6B1}"/>
            </c:ext>
          </c:extLst>
        </c:ser>
        <c:ser>
          <c:idx val="1"/>
          <c:order val="1"/>
          <c:tx>
            <c:strRef>
              <c:f>'Date Created Breakdown'!$C$4:$C$5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'Date Created Breakdown'!$A$6:$A$18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Breakdown'!$C$6:$C$18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8D-43C1-BC65-D012B590A6B1}"/>
            </c:ext>
          </c:extLst>
        </c:ser>
        <c:ser>
          <c:idx val="2"/>
          <c:order val="2"/>
          <c:tx>
            <c:strRef>
              <c:f>'Date Created Breakdown'!$D$4:$D$5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'Date Created Breakdown'!$A$6:$A$18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Breakdown'!$D$6:$D$18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8D-43C1-BC65-D012B590A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5347312"/>
        <c:axId val="1773362160"/>
      </c:lineChart>
      <c:catAx>
        <c:axId val="1575347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362160"/>
        <c:crosses val="autoZero"/>
        <c:auto val="1"/>
        <c:lblAlgn val="ctr"/>
        <c:lblOffset val="100"/>
        <c:noMultiLvlLbl val="0"/>
      </c:catAx>
      <c:valAx>
        <c:axId val="177336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347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A0F-42C7-8007-86D383B3CF6B}"/>
            </c:ext>
          </c:extLst>
        </c:ser>
        <c:ser>
          <c:idx val="5"/>
          <c:order val="5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A0F-42C7-8007-86D383B3CF6B}"/>
            </c:ext>
          </c:extLst>
        </c:ser>
        <c:ser>
          <c:idx val="6"/>
          <c:order val="6"/>
          <c:tx>
            <c:strRef>
              <c:f>'Crowdfunding Goal Analysis'!$H$1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A0F-42C7-8007-86D383B3C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8187584"/>
        <c:axId val="188748534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'Crowdfunding 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'Crowdfunding 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A0F-42C7-8007-86D383B3CF6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A0F-42C7-8007-86D383B3CF6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A0F-42C7-8007-86D383B3CF6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A0F-42C7-8007-86D383B3CF6B}"/>
                  </c:ext>
                </c:extLst>
              </c15:ser>
            </c15:filteredLineSeries>
          </c:ext>
        </c:extLst>
      </c:lineChart>
      <c:catAx>
        <c:axId val="195818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85344"/>
        <c:crosses val="autoZero"/>
        <c:auto val="1"/>
        <c:lblAlgn val="ctr"/>
        <c:lblOffset val="100"/>
        <c:noMultiLvlLbl val="0"/>
      </c:catAx>
      <c:valAx>
        <c:axId val="188748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187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</xdr:colOff>
      <xdr:row>2</xdr:row>
      <xdr:rowOff>19049</xdr:rowOff>
    </xdr:from>
    <xdr:to>
      <xdr:col>33</xdr:col>
      <xdr:colOff>600075</xdr:colOff>
      <xdr:row>26</xdr:row>
      <xdr:rowOff>123824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1B07DF-FB34-1163-DD82-2AC28495F4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2</xdr:row>
      <xdr:rowOff>161925</xdr:rowOff>
    </xdr:from>
    <xdr:to>
      <xdr:col>19</xdr:col>
      <xdr:colOff>561975</xdr:colOff>
      <xdr:row>28</xdr:row>
      <xdr:rowOff>139065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4D3D14-695F-0AC8-C414-F93E0F1296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</xdr:colOff>
      <xdr:row>2</xdr:row>
      <xdr:rowOff>190500</xdr:rowOff>
    </xdr:from>
    <xdr:to>
      <xdr:col>8</xdr:col>
      <xdr:colOff>3259137</xdr:colOff>
      <xdr:row>30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FF47AE-762A-75D5-27FC-8FF57A9246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671511</xdr:colOff>
      <xdr:row>2</xdr:row>
      <xdr:rowOff>228600</xdr:rowOff>
    </xdr:from>
    <xdr:to>
      <xdr:col>27</xdr:col>
      <xdr:colOff>104774</xdr:colOff>
      <xdr:row>18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32A372-E0AF-FC0E-F608-833ED044A9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an Dayrit" refreshedDate="45210.533634722226" createdVersion="8" refreshedVersion="8" minRefreshableVersion="3" recordCount="1000" xr:uid="{5C4B03BB-A1EB-4701-AE26-E050D09F6C63}">
  <cacheSource type="worksheet">
    <worksheetSource ref="A1:T1001" sheet="Crowdfunding"/>
  </cacheSource>
  <cacheFields count="20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ercent Funded" numFmtId="9">
      <sharedItems containsSemiMixedTypes="0" containsString="0" containsNumber="1" minValue="0" maxValue="0.36601815891814288"/>
    </cacheField>
    <cacheField name="Average Donation" numFmtId="0">
      <sharedItems containsMixedTypes="1" containsNumber="1" minValue="208724.49623029472" maxValue="1555822800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Count of Outcome" numFmtId="0">
      <sharedItems containsString="0" containsBlank="1" containsNumber="1" containsInteger="1" minValue="4" maxValue="344"/>
    </cacheField>
  </cacheFields>
  <extLst>
    <ext xmlns:x14="http://schemas.microsoft.com/office/spreadsheetml/2009/9/main" uri="{725AE2AE-9491-48be-B2B4-4EB974FC3084}">
      <x14:pivotCacheDefinition pivotCacheId="295161537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an Dayrit" refreshedDate="45215.524668981481" createdVersion="8" refreshedVersion="8" minRefreshableVersion="3" recordCount="1000" xr:uid="{7190B464-21AC-47CC-AF8E-EAF5AF6E731D}">
  <cacheSource type="worksheet">
    <worksheetSource ref="A1:S1001" sheet="Crowdfunding"/>
  </cacheSource>
  <cacheFields count="19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0.36601815891814288"/>
    </cacheField>
    <cacheField name="Average Donation" numFmtId="0">
      <sharedItems containsMixedTypes="1" containsNumber="1" minValue="208724.49623029472" maxValue="1555822800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Catego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an Dayrit" refreshedDate="45215.708482291666" createdVersion="8" refreshedVersion="8" minRefreshableVersion="3" recordCount="1000" xr:uid="{A76F214A-E646-4D5F-A5E6-CC93E1A07098}">
  <cacheSource type="worksheet">
    <worksheetSource ref="A1:V1001" sheet="Crowdfunding"/>
  </cacheSource>
  <cacheFields count="25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0.36601815891814288"/>
    </cacheField>
    <cacheField name="Average Donation" numFmtId="0">
      <sharedItems containsMixedTypes="1" containsNumber="1" minValue="208724.49623029472" maxValue="1555822800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Category" numFmtId="0">
      <sharedItems containsBlank="1"/>
    </cacheField>
    <cacheField name="Count of Outcome" numFmtId="0">
      <sharedItems containsString="0" containsBlank="1" containsNumber="1" containsInteger="1" minValue="4" maxValue="344" count="10">
        <n v="46"/>
        <n v="175"/>
        <n v="96"/>
        <n v="344"/>
        <n v="178"/>
        <n v="67"/>
        <n v="48"/>
        <n v="42"/>
        <n v="4"/>
        <m/>
      </sharedItems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4"/>
    </cacheField>
    <cacheField name="Deadline2" numFmtId="14">
      <sharedItems containsSemiMixedTypes="0" containsNonDate="0" containsDate="1" containsString="0" minDate="2010-01-09T06:00:00" maxDate="2020-02-10T06:00:00"/>
    </cacheField>
    <cacheField name="Months (Date Created Conversion)" numFmtId="0" databaseField="0">
      <fieldGroup base="20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20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20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x v="0"/>
    <n v="0.10138812267962843"/>
    <e v="#DIV/0!"/>
    <x v="0"/>
    <x v="0"/>
    <x v="0"/>
    <n v="46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x v="1"/>
    <n v="1.2269029136388152E-2"/>
    <n v="8915172.1518987343"/>
    <x v="1"/>
    <x v="1"/>
    <x v="1"/>
    <n v="175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x v="2"/>
    <n v="1.2479525778020436E-2"/>
    <n v="971818.10526315786"/>
    <x v="2"/>
    <x v="2"/>
    <x v="2"/>
    <n v="96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x v="1"/>
    <n v="0.22076019693649235"/>
    <n v="65373150"/>
    <x v="1"/>
    <x v="1"/>
    <x v="3"/>
    <n v="344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x v="3"/>
    <n v="2.2326100606990858E-2"/>
    <n v="29213388.679245282"/>
    <x v="3"/>
    <x v="3"/>
    <x v="4"/>
    <n v="178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x v="3"/>
    <n v="7.0602393528113927E-2"/>
    <n v="7741841.3793103453"/>
    <x v="3"/>
    <x v="3"/>
    <x v="5"/>
    <n v="67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x v="4"/>
    <n v="5.7398004941011591E-3"/>
    <n v="83631400"/>
    <x v="4"/>
    <x v="4"/>
    <x v="6"/>
    <n v="48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x v="3"/>
    <n v="1.2004651802573497E-2"/>
    <n v="6341915.4185022023"/>
    <x v="3"/>
    <x v="3"/>
    <x v="7"/>
    <n v="42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x v="3"/>
    <n v="1.3485987216407952E-2"/>
    <n v="1810032.2033898304"/>
    <x v="3"/>
    <x v="3"/>
    <x v="8"/>
    <n v="4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x v="5"/>
    <n v="0.30713989347960535"/>
    <n v="31450090.90909091"/>
    <x v="1"/>
    <x v="5"/>
    <x v="9"/>
    <m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x v="6"/>
    <n v="0.32355460686149223"/>
    <n v="5845041.8181818184"/>
    <x v="4"/>
    <x v="6"/>
    <x v="9"/>
    <m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x v="3"/>
    <n v="4.034099345299294E-2"/>
    <n v="47613466.666666664"/>
    <x v="3"/>
    <x v="3"/>
    <x v="9"/>
    <m/>
  </r>
  <r>
    <n v="12"/>
    <s v="Kim Ltd"/>
    <s v="Assimilated hybrid intranet"/>
    <n v="6300"/>
    <n v="5629"/>
    <x v="0"/>
    <n v="55"/>
    <x v="1"/>
    <s v="USD"/>
    <n v="1571720400"/>
    <n v="1572411600"/>
    <b v="0"/>
    <b v="0"/>
    <x v="6"/>
    <n v="4.3977287563360508E-2"/>
    <n v="28589301.818181816"/>
    <x v="4"/>
    <x v="6"/>
    <x v="9"/>
    <m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x v="7"/>
    <n v="7.0741334800561023E-2"/>
    <n v="14965897.959183674"/>
    <x v="1"/>
    <x v="7"/>
    <x v="9"/>
    <m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x v="7"/>
    <n v="0.17499445535342389"/>
    <n v="6666714"/>
    <x v="1"/>
    <x v="7"/>
    <x v="9"/>
    <m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x v="8"/>
    <n v="2.1929523992269842E-2"/>
    <n v="3487396.4601769913"/>
    <x v="2"/>
    <x v="8"/>
    <x v="9"/>
    <m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x v="9"/>
    <n v="0.13671177119420841"/>
    <n v="13922712"/>
    <x v="5"/>
    <x v="9"/>
    <x v="9"/>
    <m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x v="10"/>
    <n v="6.6727833847693716E-3"/>
    <n v="1036748.1184947959"/>
    <x v="4"/>
    <x v="10"/>
    <x v="9"/>
    <m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x v="3"/>
    <n v="4.4988787950502963E-2"/>
    <n v="11385733.333333334"/>
    <x v="3"/>
    <x v="3"/>
    <x v="9"/>
    <m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x v="3"/>
    <n v="0.11669937961403362"/>
    <n v="2304881.3056379822"/>
    <x v="3"/>
    <x v="3"/>
    <x v="9"/>
    <m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x v="6"/>
    <n v="0"/>
    <n v="1007538.3954154728"/>
    <x v="4"/>
    <x v="6"/>
    <x v="9"/>
    <m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x v="3"/>
    <n v="0.22366643002612185"/>
    <n v="2359000"/>
    <x v="3"/>
    <x v="3"/>
    <x v="9"/>
    <m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x v="3"/>
    <n v="8.5110205895773103E-2"/>
    <n v="1712390.5617977527"/>
    <x v="3"/>
    <x v="3"/>
    <x v="9"/>
    <m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x v="4"/>
    <n v="0.29517638588912887"/>
    <n v="10948588.732394366"/>
    <x v="4"/>
    <x v="4"/>
    <x v="9"/>
    <m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x v="8"/>
    <n v="1.2313596519356719E-2"/>
    <n v="525065.31986531988"/>
    <x v="2"/>
    <x v="8"/>
    <x v="9"/>
    <m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x v="11"/>
    <n v="0.1323433316882322"/>
    <n v="8020998.7730061347"/>
    <x v="6"/>
    <x v="11"/>
    <x v="9"/>
    <m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x v="3"/>
    <n v="0.15217090107247611"/>
    <n v="1037395.9459459459"/>
    <x v="3"/>
    <x v="3"/>
    <x v="9"/>
    <m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x v="1"/>
    <n v="4.7872061914533408E-2"/>
    <n v="96302640"/>
    <x v="1"/>
    <x v="1"/>
    <x v="9"/>
    <m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x v="3"/>
    <n v="0.15700462481014385"/>
    <n v="571028.10810810816"/>
    <x v="3"/>
    <x v="3"/>
    <x v="9"/>
    <m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x v="12"/>
    <n v="0.22557822042281817"/>
    <n v="956113.82316313824"/>
    <x v="4"/>
    <x v="12"/>
    <x v="9"/>
    <m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x v="10"/>
    <n v="2.7715866178559471E-2"/>
    <n v="12086093.023255814"/>
    <x v="4"/>
    <x v="10"/>
    <x v="9"/>
    <m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x v="11"/>
    <n v="0.16661459960429031"/>
    <n v="6435366.3716814155"/>
    <x v="6"/>
    <x v="11"/>
    <x v="9"/>
    <m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x v="4"/>
    <n v="0.15392289603078457"/>
    <n v="657952.66579973989"/>
    <x v="4"/>
    <x v="4"/>
    <x v="9"/>
    <m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x v="3"/>
    <n v="0.22657936522095948"/>
    <n v="261244.8053146337"/>
    <x v="3"/>
    <x v="3"/>
    <x v="9"/>
    <m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x v="4"/>
    <n v="2.8988518131110235E-2"/>
    <n v="9034407.2727272734"/>
    <x v="4"/>
    <x v="4"/>
    <x v="9"/>
    <m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x v="6"/>
    <n v="0.2344371415414242"/>
    <n v="789570.68702290079"/>
    <x v="4"/>
    <x v="6"/>
    <x v="9"/>
    <m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x v="3"/>
    <n v="0.16604296604296603"/>
    <n v="81303525"/>
    <x v="3"/>
    <x v="3"/>
    <x v="9"/>
    <m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x v="13"/>
    <n v="0.18179525681732212"/>
    <n v="14702736.448598132"/>
    <x v="5"/>
    <x v="13"/>
    <x v="9"/>
    <m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x v="14"/>
    <n v="3.3556577788341889E-2"/>
    <n v="9610522.3880597018"/>
    <x v="7"/>
    <x v="14"/>
    <x v="9"/>
    <m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x v="3"/>
    <n v="8.8561080709546089E-2"/>
    <n v="15488386.363636363"/>
    <x v="3"/>
    <x v="3"/>
    <x v="9"/>
    <m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x v="8"/>
    <n v="0.12868087988373569"/>
    <n v="6451290.9090909092"/>
    <x v="2"/>
    <x v="8"/>
    <x v="9"/>
    <m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x v="1"/>
    <n v="0.16680344192486896"/>
    <n v="12152983.783783784"/>
    <x v="1"/>
    <x v="1"/>
    <x v="9"/>
    <m/>
  </r>
  <r>
    <n v="42"/>
    <s v="Werner-Bryant"/>
    <s v="Virtual uniform frame"/>
    <n v="1800"/>
    <n v="7991"/>
    <x v="1"/>
    <n v="222"/>
    <x v="1"/>
    <s v="USD"/>
    <n v="1309755600"/>
    <n v="1310533200"/>
    <b v="0"/>
    <b v="0"/>
    <x v="0"/>
    <n v="5.9369854956146016E-2"/>
    <n v="5903302.702702703"/>
    <x v="0"/>
    <x v="0"/>
    <x v="9"/>
    <m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x v="15"/>
    <n v="9.8309033422511224E-2"/>
    <n v="226587.31487443656"/>
    <x v="5"/>
    <x v="15"/>
    <x v="9"/>
    <m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x v="13"/>
    <n v="5.5641464947036277E-3"/>
    <n v="15845767.346938776"/>
    <x v="5"/>
    <x v="13"/>
    <x v="9"/>
    <m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x v="3"/>
    <n v="8.7925898683060014E-2"/>
    <n v="30820050"/>
    <x v="3"/>
    <x v="3"/>
    <x v="9"/>
    <m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x v="1"/>
    <n v="0.15542422083754509"/>
    <n v="13919047.826086957"/>
    <x v="1"/>
    <x v="1"/>
    <x v="9"/>
    <m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x v="3"/>
    <n v="0.18566414902642361"/>
    <n v="9386987.9194630869"/>
    <x v="3"/>
    <x v="3"/>
    <x v="9"/>
    <m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x v="3"/>
    <n v="7.224037986399745E-2"/>
    <n v="590804.27807486628"/>
    <x v="3"/>
    <x v="3"/>
    <x v="9"/>
    <m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x v="1"/>
    <n v="0.24762851599277041"/>
    <n v="5199469.3069306929"/>
    <x v="1"/>
    <x v="1"/>
    <x v="9"/>
    <m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x v="16"/>
    <n v="0.1758991930101011"/>
    <n v="1377752400"/>
    <x v="1"/>
    <x v="16"/>
    <x v="9"/>
    <m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x v="8"/>
    <n v="0.10371958976741422"/>
    <n v="909479.754601227"/>
    <x v="2"/>
    <x v="8"/>
    <x v="9"/>
    <m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x v="3"/>
    <n v="2.6904849318830873E-2"/>
    <n v="17131632"/>
    <x v="3"/>
    <x v="3"/>
    <x v="9"/>
    <m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x v="6"/>
    <n v="0.2405891349329769"/>
    <n v="6717376.0765550239"/>
    <x v="4"/>
    <x v="6"/>
    <x v="9"/>
    <m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x v="8"/>
    <n v="3.3851762422176454E-2"/>
    <n v="12677190"/>
    <x v="2"/>
    <x v="8"/>
    <x v="9"/>
    <m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x v="17"/>
    <n v="2.8181384786279424E-2"/>
    <n v="11705029.007633587"/>
    <x v="1"/>
    <x v="17"/>
    <x v="9"/>
    <m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x v="8"/>
    <n v="4.2565482434137519E-2"/>
    <n v="8667526.8292682935"/>
    <x v="2"/>
    <x v="8"/>
    <x v="9"/>
    <m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x v="11"/>
    <n v="6.8925079874116002E-2"/>
    <n v="7488949.253731343"/>
    <x v="6"/>
    <x v="11"/>
    <x v="9"/>
    <m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x v="3"/>
    <n v="7.7848001776531325E-2"/>
    <n v="6843292.8909952603"/>
    <x v="3"/>
    <x v="3"/>
    <x v="9"/>
    <m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x v="3"/>
    <n v="8.6559060930365639E-2"/>
    <n v="11707340.625"/>
    <x v="3"/>
    <x v="3"/>
    <x v="9"/>
    <m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x v="3"/>
    <n v="1.9307245311959497E-2"/>
    <n v="839225.25"/>
    <x v="3"/>
    <x v="3"/>
    <x v="9"/>
    <m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x v="3"/>
    <n v="0.26592352272412167"/>
    <n v="577772.03728362184"/>
    <x v="3"/>
    <x v="3"/>
    <x v="9"/>
    <m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x v="2"/>
    <n v="6.0272885489051683E-3"/>
    <n v="5757296.3855421683"/>
    <x v="2"/>
    <x v="2"/>
    <x v="9"/>
    <m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x v="3"/>
    <n v="3.4713768107207686E-2"/>
    <n v="298774800"/>
    <x v="3"/>
    <x v="3"/>
    <x v="9"/>
    <m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x v="2"/>
    <n v="8.4677789251095523E-2"/>
    <n v="40310621.052631579"/>
    <x v="2"/>
    <x v="2"/>
    <x v="9"/>
    <m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x v="3"/>
    <n v="4.6662778101824849E-2"/>
    <n v="5494545.762711864"/>
    <x v="3"/>
    <x v="3"/>
    <x v="9"/>
    <m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x v="3"/>
    <n v="3.024216412926509E-2"/>
    <n v="119075100"/>
    <x v="3"/>
    <x v="3"/>
    <x v="9"/>
    <m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x v="8"/>
    <n v="3.4166424654492031E-2"/>
    <n v="311151.58671586716"/>
    <x v="2"/>
    <x v="8"/>
    <x v="9"/>
    <m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x v="3"/>
    <n v="0.27051592278784886"/>
    <n v="6118668.2926829271"/>
    <x v="3"/>
    <x v="3"/>
    <x v="9"/>
    <m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x v="3"/>
    <n v="0.2272385503517185"/>
    <n v="76216235.294117644"/>
    <x v="3"/>
    <x v="3"/>
    <x v="9"/>
    <m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x v="3"/>
    <n v="0.32880309527467766"/>
    <n v="522388.36363636365"/>
    <x v="3"/>
    <x v="3"/>
    <x v="9"/>
    <m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x v="3"/>
    <n v="2.1941553187696274E-2"/>
    <n v="20729463.157894738"/>
    <x v="3"/>
    <x v="3"/>
    <x v="9"/>
    <m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x v="10"/>
    <n v="0.21664288776945587"/>
    <n v="26645133.333333332"/>
    <x v="4"/>
    <x v="10"/>
    <x v="9"/>
    <m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x v="17"/>
    <n v="1.7510834829050474E-2"/>
    <n v="16823700"/>
    <x v="1"/>
    <x v="17"/>
    <x v="9"/>
    <m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x v="16"/>
    <n v="5.9216418739035711E-3"/>
    <n v="17166367.05882353"/>
    <x v="1"/>
    <x v="16"/>
    <x v="9"/>
    <m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x v="14"/>
    <n v="4.5128369056041444E-2"/>
    <n v="9013658.8235294111"/>
    <x v="7"/>
    <x v="14"/>
    <x v="9"/>
    <m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x v="3"/>
    <n v="0.29746986060688918"/>
    <n v="846925.65320665087"/>
    <x v="3"/>
    <x v="3"/>
    <x v="9"/>
    <m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x v="10"/>
    <n v="9.4091027468419297E-2"/>
    <n v="22978092.857142858"/>
    <x v="4"/>
    <x v="10"/>
    <x v="9"/>
    <m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x v="18"/>
    <n v="5.669831535130513E-3"/>
    <n v="4618003.6363636367"/>
    <x v="5"/>
    <x v="18"/>
    <x v="9"/>
    <m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x v="3"/>
    <n v="2.8251447298102205E-2"/>
    <n v="1825247.2553699284"/>
    <x v="3"/>
    <x v="3"/>
    <x v="9"/>
    <m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x v="11"/>
    <n v="0.17234239646889579"/>
    <n v="11862793.700787401"/>
    <x v="6"/>
    <x v="11"/>
    <x v="9"/>
    <m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x v="1"/>
    <n v="0.14291226615980449"/>
    <n v="3682668.6131386859"/>
    <x v="1"/>
    <x v="1"/>
    <x v="9"/>
    <m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x v="11"/>
    <n v="3.9077219376718354E-2"/>
    <n v="8601720"/>
    <x v="6"/>
    <x v="11"/>
    <x v="9"/>
    <m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x v="5"/>
    <n v="0.12933410084630553"/>
    <n v="1471582.8"/>
    <x v="1"/>
    <x v="5"/>
    <x v="9"/>
    <m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x v="8"/>
    <n v="6.431195586056096E-2"/>
    <n v="3594426.7379679144"/>
    <x v="2"/>
    <x v="8"/>
    <x v="9"/>
    <m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x v="7"/>
    <n v="5.2534085592253414E-2"/>
    <n v="18540963.380281691"/>
    <x v="1"/>
    <x v="7"/>
    <x v="9"/>
    <m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x v="3"/>
    <n v="7.8506168521542644E-2"/>
    <n v="7053393.1034482755"/>
    <x v="3"/>
    <x v="3"/>
    <x v="9"/>
    <m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x v="1"/>
    <n v="7.28552037452561E-2"/>
    <n v="877537.65182186232"/>
    <x v="1"/>
    <x v="1"/>
    <x v="9"/>
    <m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x v="18"/>
    <n v="0.13300116627916642"/>
    <n v="12664258.407079646"/>
    <x v="5"/>
    <x v="18"/>
    <x v="9"/>
    <m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x v="3"/>
    <n v="1.3592304490274423E-2"/>
    <n v="13244587.5"/>
    <x v="3"/>
    <x v="3"/>
    <x v="9"/>
    <m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x v="3"/>
    <n v="0"/>
    <n v="13739433.96226415"/>
    <x v="3"/>
    <x v="3"/>
    <x v="9"/>
    <m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x v="18"/>
    <n v="0.16451999089264335"/>
    <n v="2169188.2179675996"/>
    <x v="5"/>
    <x v="18"/>
    <x v="9"/>
    <m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x v="11"/>
    <n v="6.7644314918108104E-3"/>
    <n v="2564971.0843373495"/>
    <x v="6"/>
    <x v="11"/>
    <x v="9"/>
    <m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x v="3"/>
    <n v="2.5586558527919998E-2"/>
    <n v="2214843.9344262294"/>
    <x v="3"/>
    <x v="3"/>
    <x v="9"/>
    <m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x v="2"/>
    <n v="6.1134177942140204E-2"/>
    <n v="8642020"/>
    <x v="2"/>
    <x v="2"/>
    <x v="9"/>
    <m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x v="4"/>
    <n v="3.8497056579215719E-2"/>
    <n v="58208666.666666664"/>
    <x v="4"/>
    <x v="4"/>
    <x v="9"/>
    <m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x v="3"/>
    <n v="8.6140517064685715E-2"/>
    <n v="558067.95366795361"/>
    <x v="3"/>
    <x v="3"/>
    <x v="9"/>
    <m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x v="0"/>
    <n v="0.32508170938798853"/>
    <n v="12742247.78761062"/>
    <x v="0"/>
    <x v="0"/>
    <x v="9"/>
    <m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x v="11"/>
    <n v="2.4033827612364403E-2"/>
    <n v="1178949.8360655739"/>
    <x v="6"/>
    <x v="11"/>
    <x v="9"/>
    <m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x v="3"/>
    <n v="0.17683735536686129"/>
    <n v="8654882.9268292692"/>
    <x v="3"/>
    <x v="3"/>
    <x v="9"/>
    <m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x v="3"/>
    <n v="0.11790746992950117"/>
    <n v="1320555600"/>
    <x v="3"/>
    <x v="3"/>
    <x v="9"/>
    <m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x v="5"/>
    <n v="4.2457050144808862E-2"/>
    <n v="8689653.658536585"/>
    <x v="1"/>
    <x v="5"/>
    <x v="9"/>
    <m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x v="8"/>
    <n v="3.9625912516363382E-2"/>
    <n v="4544282.1428571427"/>
    <x v="2"/>
    <x v="8"/>
    <x v="9"/>
    <m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x v="5"/>
    <n v="6.0377527260733088E-2"/>
    <n v="34829027.027027026"/>
    <x v="1"/>
    <x v="5"/>
    <x v="9"/>
    <m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x v="7"/>
    <n v="5.7772717315686985E-3"/>
    <n v="780178.40375586855"/>
    <x v="1"/>
    <x v="7"/>
    <x v="9"/>
    <m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x v="2"/>
    <n v="0.11394418317582483"/>
    <n v="14383515.789473685"/>
    <x v="2"/>
    <x v="2"/>
    <x v="9"/>
    <m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x v="3"/>
    <n v="2.7552447231323461E-2"/>
    <n v="10669053.06122449"/>
    <x v="3"/>
    <x v="3"/>
    <x v="9"/>
    <m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x v="3"/>
    <n v="9.6348896356453134E-2"/>
    <n v="17743353.488372091"/>
    <x v="3"/>
    <x v="3"/>
    <x v="9"/>
    <m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x v="4"/>
    <n v="0.23969616891021919"/>
    <n v="16107050.602409638"/>
    <x v="4"/>
    <x v="4"/>
    <x v="9"/>
    <m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x v="19"/>
    <n v="1.2436070823423339E-2"/>
    <n v="23161320"/>
    <x v="4"/>
    <x v="19"/>
    <x v="9"/>
    <m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x v="0"/>
    <n v="0.10683034825287867"/>
    <n v="5196904.0540540544"/>
    <x v="0"/>
    <x v="0"/>
    <x v="9"/>
    <m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x v="15"/>
    <n v="3.844870168880582E-2"/>
    <n v="1995278.6982248521"/>
    <x v="5"/>
    <x v="15"/>
    <x v="9"/>
    <m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x v="2"/>
    <n v="9.1989502975604903E-2"/>
    <n v="3906239.3351800554"/>
    <x v="2"/>
    <x v="2"/>
    <x v="9"/>
    <m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x v="0"/>
    <n v="4.0180909762765213E-2"/>
    <n v="11494635.114503818"/>
    <x v="0"/>
    <x v="0"/>
    <x v="9"/>
    <m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x v="8"/>
    <n v="5.5570348588165827E-3"/>
    <n v="12340257.142857144"/>
    <x v="2"/>
    <x v="8"/>
    <x v="9"/>
    <m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x v="13"/>
    <n v="0.20014582052638352"/>
    <n v="458208.95883777237"/>
    <x v="5"/>
    <x v="13"/>
    <x v="9"/>
    <m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x v="3"/>
    <n v="5.989383817184041E-3"/>
    <n v="19762175.342465755"/>
    <x v="3"/>
    <x v="3"/>
    <x v="9"/>
    <m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x v="19"/>
    <n v="3.9372123989380461E-2"/>
    <n v="4789767.2727272725"/>
    <x v="4"/>
    <x v="19"/>
    <x v="9"/>
    <m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x v="14"/>
    <n v="3.7275762988273668E-2"/>
    <n v="20764692.537313432"/>
    <x v="7"/>
    <x v="14"/>
    <x v="9"/>
    <m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x v="4"/>
    <n v="0.10469780057635113"/>
    <n v="9119244.1558441557"/>
    <x v="4"/>
    <x v="4"/>
    <x v="9"/>
    <m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x v="20"/>
    <n v="2.4180568394485822E-2"/>
    <n v="802240.40404040401"/>
    <x v="6"/>
    <x v="20"/>
    <x v="9"/>
    <m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x v="11"/>
    <n v="7.9519417265398601E-2"/>
    <n v="1565457.80730897"/>
    <x v="6"/>
    <x v="11"/>
    <x v="9"/>
    <m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x v="13"/>
    <n v="0.16462159896349365"/>
    <n v="419073.16209034546"/>
    <x v="5"/>
    <x v="13"/>
    <x v="9"/>
    <m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x v="3"/>
    <n v="1.7896290993691558E-2"/>
    <n v="2188223.5649546827"/>
    <x v="3"/>
    <x v="3"/>
    <x v="9"/>
    <m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x v="14"/>
    <n v="0.29396742785433821"/>
    <n v="16620242.553191489"/>
    <x v="7"/>
    <x v="14"/>
    <x v="9"/>
    <m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x v="3"/>
    <n v="2.2480487639244373E-2"/>
    <n v="8542660"/>
    <x v="3"/>
    <x v="3"/>
    <x v="9"/>
    <m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x v="3"/>
    <n v="0.16444269343428289"/>
    <n v="1903837.2093023255"/>
    <x v="3"/>
    <x v="3"/>
    <x v="9"/>
    <m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x v="3"/>
    <n v="2.0351113234159345E-2"/>
    <n v="1895683.9285714286"/>
    <x v="3"/>
    <x v="3"/>
    <x v="9"/>
    <m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x v="1"/>
    <n v="8.75526508529368E-2"/>
    <n v="2413549.6240601502"/>
    <x v="1"/>
    <x v="1"/>
    <x v="9"/>
    <m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x v="0"/>
    <n v="0.1517980478771043"/>
    <n v="25910967.272727273"/>
    <x v="0"/>
    <x v="0"/>
    <x v="9"/>
    <m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x v="6"/>
    <n v="0.10503141394107875"/>
    <n v="2478407.5046904315"/>
    <x v="4"/>
    <x v="6"/>
    <x v="9"/>
    <m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x v="2"/>
    <n v="8.1056224962199747E-2"/>
    <n v="567674.17110110517"/>
    <x v="2"/>
    <x v="2"/>
    <x v="9"/>
    <m/>
  </r>
  <r>
    <n v="132"/>
    <s v="Flowers and Sons"/>
    <s v="Virtual static core"/>
    <n v="3300"/>
    <n v="3834"/>
    <x v="1"/>
    <n v="89"/>
    <x v="1"/>
    <s v="USD"/>
    <n v="1515736800"/>
    <n v="1517119200"/>
    <b v="0"/>
    <b v="1"/>
    <x v="3"/>
    <n v="9.1203169310133517E-2"/>
    <n v="17046283.146067414"/>
    <x v="3"/>
    <x v="3"/>
    <x v="9"/>
    <m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x v="21"/>
    <n v="0.14475390465433149"/>
    <n v="8270603.773584906"/>
    <x v="1"/>
    <x v="21"/>
    <x v="9"/>
    <m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x v="4"/>
    <n v="0.32355603489782947"/>
    <n v="1396482.1276595744"/>
    <x v="4"/>
    <x v="4"/>
    <x v="9"/>
    <m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x v="3"/>
    <n v="3.1439063697128213E-2"/>
    <n v="11650123.076923076"/>
    <x v="3"/>
    <x v="3"/>
    <x v="9"/>
    <m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x v="6"/>
    <n v="7.3945316411495418E-2"/>
    <n v="24192310.344827585"/>
    <x v="4"/>
    <x v="6"/>
    <x v="9"/>
    <m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x v="9"/>
    <n v="4.0300349549559633E-2"/>
    <n v="25737192"/>
    <x v="5"/>
    <x v="9"/>
    <x v="9"/>
    <m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x v="20"/>
    <n v="3.8433924343887538E-2"/>
    <n v="11733276.521739131"/>
    <x v="6"/>
    <x v="20"/>
    <x v="9"/>
    <m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x v="8"/>
    <n v="9.669889123641115E-2"/>
    <n v="4389493.2515337421"/>
    <x v="2"/>
    <x v="8"/>
    <x v="9"/>
    <m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x v="4"/>
    <n v="2.8429686278411918E-2"/>
    <n v="8171883.8709677421"/>
    <x v="4"/>
    <x v="4"/>
    <x v="9"/>
    <m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x v="2"/>
    <n v="3.6148479881111667E-2"/>
    <n v="1339499.1596638656"/>
    <x v="2"/>
    <x v="2"/>
    <x v="9"/>
    <m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x v="2"/>
    <n v="0.26560926825186454"/>
    <n v="11429323.076923076"/>
    <x v="2"/>
    <x v="2"/>
    <x v="9"/>
    <m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x v="7"/>
    <n v="0.1352428877737612"/>
    <n v="18277560"/>
    <x v="1"/>
    <x v="7"/>
    <x v="9"/>
    <m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x v="3"/>
    <n v="4.428646886914963E-2"/>
    <n v="11566213.333333334"/>
    <x v="3"/>
    <x v="3"/>
    <x v="9"/>
    <m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x v="8"/>
    <n v="3.0636863806375023E-2"/>
    <n v="1836585.9375"/>
    <x v="2"/>
    <x v="8"/>
    <x v="9"/>
    <m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x v="3"/>
    <n v="0.13083653610270668"/>
    <n v="25930588.235294119"/>
    <x v="3"/>
    <x v="3"/>
    <x v="9"/>
    <m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x v="3"/>
    <n v="3.5366497611533411E-2"/>
    <n v="7368404.0201005023"/>
    <x v="3"/>
    <x v="3"/>
    <x v="9"/>
    <m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x v="8"/>
    <n v="5.1806885039083012E-2"/>
    <n v="14034919.626168225"/>
    <x v="2"/>
    <x v="8"/>
    <x v="9"/>
    <m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x v="7"/>
    <n v="0.33107839235972941"/>
    <n v="6982116.923076923"/>
    <x v="1"/>
    <x v="7"/>
    <x v="9"/>
    <m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x v="1"/>
    <n v="5.5924501922404758E-3"/>
    <n v="1545026400"/>
    <x v="1"/>
    <x v="1"/>
    <x v="9"/>
    <m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x v="5"/>
    <n v="0.3142288684936782"/>
    <n v="958893.2515337423"/>
    <x v="1"/>
    <x v="5"/>
    <x v="9"/>
    <m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x v="7"/>
    <n v="4.0663984780051413E-2"/>
    <n v="440733.41232227487"/>
    <x v="1"/>
    <x v="7"/>
    <x v="9"/>
    <m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x v="3"/>
    <n v="3.8382292968843705E-2"/>
    <n v="237835.09945432143"/>
    <x v="3"/>
    <x v="3"/>
    <x v="9"/>
    <m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x v="7"/>
    <n v="0.13582777431920018"/>
    <n v="1383396.0339943343"/>
    <x v="1"/>
    <x v="7"/>
    <x v="9"/>
    <m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x v="3"/>
    <n v="0.10208798282653267"/>
    <n v="1064312.5628140704"/>
    <x v="3"/>
    <x v="3"/>
    <x v="9"/>
    <m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x v="1"/>
    <n v="0.13205527063306288"/>
    <n v="4148615.303430079"/>
    <x v="1"/>
    <x v="1"/>
    <x v="9"/>
    <m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x v="14"/>
    <n v="7.4676789520357209E-2"/>
    <n v="46314000"/>
    <x v="7"/>
    <x v="14"/>
    <x v="9"/>
    <m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x v="1"/>
    <n v="5.9604523983370341E-3"/>
    <n v="35357092.682926826"/>
    <x v="1"/>
    <x v="1"/>
    <x v="9"/>
    <m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x v="3"/>
    <n v="0.10009894038783705"/>
    <n v="854046.12850082375"/>
    <x v="3"/>
    <x v="3"/>
    <x v="9"/>
    <m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x v="8"/>
    <n v="8.8823710379189347E-2"/>
    <n v="9498314.6341463421"/>
    <x v="2"/>
    <x v="8"/>
    <x v="9"/>
    <m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x v="2"/>
    <n v="3.592554430941873E-2"/>
    <n v="19246704"/>
    <x v="2"/>
    <x v="2"/>
    <x v="9"/>
    <m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x v="1"/>
    <n v="0.16784860056229281"/>
    <n v="9852489.171974523"/>
    <x v="1"/>
    <x v="1"/>
    <x v="9"/>
    <m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x v="14"/>
    <n v="0.28089284307946377"/>
    <n v="6149239.0243902439"/>
    <x v="7"/>
    <x v="14"/>
    <x v="9"/>
    <m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x v="3"/>
    <n v="5.7315759684572268E-3"/>
    <n v="1079889.1117478509"/>
    <x v="3"/>
    <x v="3"/>
    <x v="9"/>
    <m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x v="2"/>
    <n v="0.18412806490514289"/>
    <n v="600290.66241021547"/>
    <x v="2"/>
    <x v="2"/>
    <x v="9"/>
    <m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x v="14"/>
    <n v="2.6728587895290756E-2"/>
    <n v="5300586.8852459015"/>
    <x v="7"/>
    <x v="14"/>
    <x v="9"/>
    <m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x v="3"/>
    <n v="6.3027030717799096E-2"/>
    <n v="9395235.6164383553"/>
    <x v="3"/>
    <x v="3"/>
    <x v="9"/>
    <m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x v="7"/>
    <n v="0.12790692275907536"/>
    <n v="1625967.3298429318"/>
    <x v="1"/>
    <x v="7"/>
    <x v="9"/>
    <m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x v="12"/>
    <n v="0.18054954768576856"/>
    <n v="1059454.1436464088"/>
    <x v="4"/>
    <x v="12"/>
    <x v="9"/>
    <m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x v="7"/>
    <n v="4.02733795358493E-2"/>
    <n v="22423002.985074628"/>
    <x v="1"/>
    <x v="7"/>
    <x v="9"/>
    <m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x v="18"/>
    <n v="0.13622958813770542"/>
    <n v="279438480"/>
    <x v="5"/>
    <x v="18"/>
    <x v="9"/>
    <m/>
  </r>
  <r>
    <n v="172"/>
    <s v="Nixon Inc"/>
    <s v="Centralized national firmware"/>
    <n v="800"/>
    <n v="663"/>
    <x v="0"/>
    <n v="26"/>
    <x v="1"/>
    <s v="USD"/>
    <n v="1405746000"/>
    <n v="1407042000"/>
    <b v="0"/>
    <b v="1"/>
    <x v="4"/>
    <n v="9.2193041986247878E-2"/>
    <n v="54117000"/>
    <x v="4"/>
    <x v="4"/>
    <x v="9"/>
    <m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x v="3"/>
    <n v="3.7871117224257504E-2"/>
    <n v="877239.97437540034"/>
    <x v="3"/>
    <x v="3"/>
    <x v="9"/>
    <m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x v="8"/>
    <n v="5.9832916580449102E-3"/>
    <n v="30085575"/>
    <x v="2"/>
    <x v="8"/>
    <x v="9"/>
    <m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x v="3"/>
    <n v="0.11147481671437756"/>
    <n v="1304655.9292035399"/>
    <x v="3"/>
    <x v="3"/>
    <x v="9"/>
    <m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x v="3"/>
    <n v="5.2794568025556481E-2"/>
    <n v="1884471.0997442454"/>
    <x v="3"/>
    <x v="3"/>
    <x v="9"/>
    <m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x v="3"/>
    <n v="0.16746772059685497"/>
    <n v="471690.69003285869"/>
    <x v="3"/>
    <x v="3"/>
    <x v="9"/>
    <m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x v="0"/>
    <n v="5.163449471105002E-2"/>
    <n v="7174988.5714285718"/>
    <x v="0"/>
    <x v="0"/>
    <x v="9"/>
    <m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x v="3"/>
    <n v="6.33665039379642E-3"/>
    <n v="385519.59287531808"/>
    <x v="3"/>
    <x v="3"/>
    <x v="9"/>
    <m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x v="8"/>
    <n v="3.4036276998567636E-2"/>
    <n v="602594.209776934"/>
    <x v="2"/>
    <x v="8"/>
    <x v="9"/>
    <m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x v="2"/>
    <n v="0.10319202554958114"/>
    <n v="11093002.94117647"/>
    <x v="2"/>
    <x v="2"/>
    <x v="9"/>
    <m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x v="3"/>
    <n v="8.8582745280777309E-2"/>
    <n v="470752.62206148281"/>
    <x v="3"/>
    <x v="3"/>
    <x v="9"/>
    <m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x v="1"/>
    <n v="8.7476063240707766E-2"/>
    <n v="14943390.697674418"/>
    <x v="1"/>
    <x v="1"/>
    <x v="9"/>
    <m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x v="3"/>
    <n v="5.5496333773450094E-3"/>
    <n v="4579252.9411764704"/>
    <x v="3"/>
    <x v="3"/>
    <x v="9"/>
    <m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x v="19"/>
    <n v="6.2272816264527381E-2"/>
    <n v="80375684.210526317"/>
    <x v="4"/>
    <x v="19"/>
    <x v="9"/>
    <m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x v="3"/>
    <n v="9.2517160648339702E-2"/>
    <n v="1582525.0564334085"/>
    <x v="3"/>
    <x v="3"/>
    <x v="9"/>
    <m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x v="12"/>
    <n v="0.17740903490542592"/>
    <n v="945918.72399445216"/>
    <x v="4"/>
    <x v="12"/>
    <x v="9"/>
    <m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x v="3"/>
    <n v="6.0952380952380954E-3"/>
    <n v="40502468.571428575"/>
    <x v="3"/>
    <x v="3"/>
    <x v="9"/>
    <m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x v="3"/>
    <n v="0"/>
    <n v="3304016.3265306121"/>
    <x v="3"/>
    <x v="3"/>
    <x v="9"/>
    <m/>
  </r>
  <r>
    <n v="190"/>
    <s v="Cook LLC"/>
    <s v="Up-sized dynamic throughput"/>
    <n v="3700"/>
    <n v="2538"/>
    <x v="0"/>
    <n v="24"/>
    <x v="1"/>
    <s v="USD"/>
    <n v="1370322000"/>
    <n v="1370408400"/>
    <b v="0"/>
    <b v="1"/>
    <x v="3"/>
    <n v="6.3050874174099226E-3"/>
    <n v="57100350"/>
    <x v="3"/>
    <x v="3"/>
    <x v="9"/>
    <m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x v="3"/>
    <n v="1.6697084735385993E-2"/>
    <n v="18053790.69767442"/>
    <x v="3"/>
    <x v="3"/>
    <x v="9"/>
    <m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x v="1"/>
    <n v="2.4618098918598716E-2"/>
    <n v="5778562.9629629627"/>
    <x v="1"/>
    <x v="1"/>
    <x v="9"/>
    <m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x v="7"/>
    <n v="2.2689617845384435E-2"/>
    <n v="23438603.076923076"/>
    <x v="1"/>
    <x v="7"/>
    <x v="9"/>
    <m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x v="16"/>
    <n v="9.5853105116409112E-2"/>
    <n v="11457057.142857144"/>
    <x v="1"/>
    <x v="16"/>
    <x v="9"/>
    <m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x v="5"/>
    <n v="3.9456162559389746E-2"/>
    <n v="2926422.1374045801"/>
    <x v="1"/>
    <x v="5"/>
    <x v="9"/>
    <m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x v="8"/>
    <n v="0.11145519916506369"/>
    <n v="14745204"/>
    <x v="2"/>
    <x v="8"/>
    <x v="9"/>
    <m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x v="6"/>
    <n v="8.0737207597947933E-2"/>
    <n v="753847.96380090492"/>
    <x v="4"/>
    <x v="6"/>
    <x v="9"/>
    <m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x v="5"/>
    <n v="0.19558637976917434"/>
    <n v="7640335.7142857146"/>
    <x v="1"/>
    <x v="5"/>
    <x v="9"/>
    <m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x v="1"/>
    <n v="2.4062743603947293E-2"/>
    <n v="110506984.61538461"/>
    <x v="1"/>
    <x v="1"/>
    <x v="9"/>
    <m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x v="3"/>
    <n v="7.4864520739457291E-2"/>
    <n v="1270443600"/>
    <x v="3"/>
    <x v="3"/>
    <x v="9"/>
    <m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x v="2"/>
    <n v="0.11059086754951629"/>
    <n v="8967003.8216560502"/>
    <x v="2"/>
    <x v="2"/>
    <x v="9"/>
    <m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x v="0"/>
    <n v="2.6230869908547165E-2"/>
    <n v="16071673.170731707"/>
    <x v="0"/>
    <x v="0"/>
    <x v="9"/>
    <m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x v="3"/>
    <n v="1.1639241703403023E-2"/>
    <n v="330103.51267229882"/>
    <x v="3"/>
    <x v="3"/>
    <x v="9"/>
    <m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x v="17"/>
    <n v="6.6369295351660473E-2"/>
    <n v="32566770"/>
    <x v="1"/>
    <x v="17"/>
    <x v="9"/>
    <m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x v="3"/>
    <n v="6.7335501474133114E-2"/>
    <n v="19259865"/>
    <x v="3"/>
    <x v="3"/>
    <x v="9"/>
    <m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x v="13"/>
    <n v="6.1361195861528231E-2"/>
    <n v="22246105.263157893"/>
    <x v="5"/>
    <x v="13"/>
    <x v="9"/>
    <m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x v="1"/>
    <n v="0.11254158763355521"/>
    <n v="35747916.279069766"/>
    <x v="1"/>
    <x v="1"/>
    <x v="9"/>
    <m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x v="4"/>
    <n v="0.13730566242830786"/>
    <n v="736619.97077447642"/>
    <x v="4"/>
    <x v="4"/>
    <x v="9"/>
    <m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x v="4"/>
    <n v="4.1353540773852747E-2"/>
    <n v="1810786.6336633663"/>
    <x v="4"/>
    <x v="4"/>
    <x v="9"/>
    <m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x v="22"/>
    <n v="0.15647749094268618"/>
    <n v="6596681.4159292039"/>
    <x v="4"/>
    <x v="22"/>
    <x v="9"/>
    <m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x v="3"/>
    <n v="0.15052487711054954"/>
    <n v="849017.35384615383"/>
    <x v="3"/>
    <x v="3"/>
    <x v="9"/>
    <m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x v="3"/>
    <n v="0.25212041490250886"/>
    <n v="9406928.5714285709"/>
    <x v="3"/>
    <x v="3"/>
    <x v="9"/>
    <m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x v="7"/>
    <n v="5.3901430203233534E-2"/>
    <n v="300702.82117043599"/>
    <x v="1"/>
    <x v="7"/>
    <x v="9"/>
    <m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x v="1"/>
    <n v="4.0430699254558986E-2"/>
    <n v="7774014.5454545459"/>
    <x v="1"/>
    <x v="1"/>
    <x v="9"/>
    <m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x v="3"/>
    <n v="1.1148116665040899E-2"/>
    <n v="10840632.167832168"/>
    <x v="3"/>
    <x v="3"/>
    <x v="9"/>
    <m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x v="3"/>
    <n v="1.307168183526413E-2"/>
    <n v="728437.68595041323"/>
    <x v="3"/>
    <x v="3"/>
    <x v="9"/>
    <m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x v="22"/>
    <n v="4.9960563536652777E-2"/>
    <n v="1667243.2548179871"/>
    <x v="4"/>
    <x v="22"/>
    <x v="9"/>
    <m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x v="12"/>
    <n v="0.22237846853181156"/>
    <n v="3334833.2493702769"/>
    <x v="4"/>
    <x v="12"/>
    <x v="9"/>
    <m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x v="10"/>
    <n v="7.708016069072389E-2"/>
    <n v="874678.36257309944"/>
    <x v="4"/>
    <x v="10"/>
    <x v="9"/>
    <m/>
  </r>
  <r>
    <n v="220"/>
    <s v="Owens-Le"/>
    <s v="Focused composite approach"/>
    <n v="7900"/>
    <n v="667"/>
    <x v="0"/>
    <n v="17"/>
    <x v="1"/>
    <s v="USD"/>
    <n v="1309496400"/>
    <n v="1311051600"/>
    <b v="1"/>
    <b v="0"/>
    <x v="3"/>
    <n v="0.1187632130947439"/>
    <n v="77120682.35294117"/>
    <x v="3"/>
    <x v="3"/>
    <x v="9"/>
    <m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x v="0"/>
    <n v="1.2893070780272528E-2"/>
    <n v="615157.22808627808"/>
    <x v="0"/>
    <x v="0"/>
    <x v="9"/>
    <m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x v="14"/>
    <n v="6.1180009431918113E-3"/>
    <n v="10234147.826086957"/>
    <x v="7"/>
    <x v="14"/>
    <x v="9"/>
    <m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x v="3"/>
    <n v="8.2957022830463995E-2"/>
    <n v="1567469.387755102"/>
    <x v="3"/>
    <x v="3"/>
    <x v="9"/>
    <m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x v="22"/>
    <n v="0.27569989772834502"/>
    <n v="393830.38397328882"/>
    <x v="4"/>
    <x v="22"/>
    <x v="9"/>
    <m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x v="1"/>
    <n v="0"/>
    <n v="237941.02040816325"/>
    <x v="1"/>
    <x v="1"/>
    <x v="9"/>
    <m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x v="14"/>
    <n v="0.25157731611199724"/>
    <n v="11374103.571428571"/>
    <x v="7"/>
    <x v="14"/>
    <x v="9"/>
    <m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x v="20"/>
    <n v="3.6209562844965237E-2"/>
    <n v="1518753.3404029692"/>
    <x v="6"/>
    <x v="20"/>
    <x v="9"/>
    <m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x v="10"/>
    <n v="0.14667739041365468"/>
    <n v="597560.61588330637"/>
    <x v="4"/>
    <x v="10"/>
    <x v="9"/>
    <m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x v="20"/>
    <n v="0.27716492997495407"/>
    <n v="588177.3422187377"/>
    <x v="6"/>
    <x v="20"/>
    <x v="9"/>
    <m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x v="11"/>
    <n v="0"/>
    <n v="15600118.811881188"/>
    <x v="6"/>
    <x v="11"/>
    <x v="9"/>
    <m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x v="3"/>
    <n v="0.36601815891814288"/>
    <n v="20509307.462686568"/>
    <x v="3"/>
    <x v="3"/>
    <x v="9"/>
    <m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x v="3"/>
    <n v="5.879859765344597E-3"/>
    <n v="15972926.086956521"/>
    <x v="3"/>
    <x v="3"/>
    <x v="9"/>
    <m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x v="10"/>
    <n v="0.10569980704280017"/>
    <n v="21116729.032258064"/>
    <x v="4"/>
    <x v="10"/>
    <x v="9"/>
    <m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x v="11"/>
    <n v="4.0229403383580178E-2"/>
    <n v="10093844.295302013"/>
    <x v="6"/>
    <x v="11"/>
    <x v="9"/>
    <m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x v="10"/>
    <n v="2.9052454206069056E-2"/>
    <n v="16167365.217391305"/>
    <x v="4"/>
    <x v="10"/>
    <x v="9"/>
    <m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x v="1"/>
    <n v="3.8733506558182106E-2"/>
    <n v="27404273.684210528"/>
    <x v="1"/>
    <x v="1"/>
    <x v="9"/>
    <m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x v="10"/>
    <n v="1.2356961732034134E-2"/>
    <n v="4250987.2340425532"/>
    <x v="4"/>
    <x v="10"/>
    <x v="9"/>
    <m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x v="3"/>
    <n v="0.14274091097249383"/>
    <n v="15622589.69072165"/>
    <x v="3"/>
    <x v="3"/>
    <x v="9"/>
    <m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x v="8"/>
    <n v="2.3986267861649205E-2"/>
    <n v="35150487.804878049"/>
    <x v="2"/>
    <x v="8"/>
    <x v="9"/>
    <m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x v="3"/>
    <n v="6.744357923074977E-3"/>
    <n v="718137.44394618832"/>
    <x v="3"/>
    <x v="3"/>
    <x v="9"/>
    <m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x v="9"/>
    <n v="6.1830650999466719E-2"/>
    <n v="830302.37529691216"/>
    <x v="5"/>
    <x v="9"/>
    <x v="9"/>
    <m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x v="1"/>
    <n v="5.7816139857242307E-2"/>
    <n v="5981025.5999999996"/>
    <x v="1"/>
    <x v="1"/>
    <x v="9"/>
    <m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x v="3"/>
    <n v="1.7051025192889722E-2"/>
    <n v="6388245.3781512603"/>
    <x v="3"/>
    <x v="3"/>
    <x v="9"/>
    <m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x v="3"/>
    <n v="0.31970079284771946"/>
    <n v="26600128.301886793"/>
    <x v="3"/>
    <x v="3"/>
    <x v="9"/>
    <m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x v="3"/>
    <n v="6.185359768873723E-3"/>
    <n v="6527725.2336448599"/>
    <x v="3"/>
    <x v="3"/>
    <x v="9"/>
    <m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x v="2"/>
    <n v="2.5122143337529084E-2"/>
    <n v="6198308.1081081079"/>
    <x v="2"/>
    <x v="2"/>
    <x v="9"/>
    <m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x v="13"/>
    <n v="8.7426598085357507E-2"/>
    <n v="787517.19745222933"/>
    <x v="5"/>
    <x v="13"/>
    <x v="9"/>
    <m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x v="20"/>
    <n v="3.0422415235545546E-2"/>
    <n v="6515768.8073394494"/>
    <x v="6"/>
    <x v="20"/>
    <x v="9"/>
    <m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x v="18"/>
    <n v="4.2586199029643036E-2"/>
    <n v="219765.38283062645"/>
    <x v="5"/>
    <x v="18"/>
    <x v="9"/>
    <m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x v="1"/>
    <n v="0.2391649725814442"/>
    <n v="1267423200"/>
    <x v="1"/>
    <x v="1"/>
    <x v="9"/>
    <m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x v="3"/>
    <n v="1.275245883346883E-2"/>
    <n v="13417877.227722771"/>
    <x v="3"/>
    <x v="3"/>
    <x v="9"/>
    <m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x v="3"/>
    <n v="3.124373498022532E-2"/>
    <n v="23442528.813559324"/>
    <x v="3"/>
    <x v="3"/>
    <x v="9"/>
    <m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x v="6"/>
    <n v="7.9616733889360386E-2"/>
    <n v="976236.40449438198"/>
    <x v="4"/>
    <x v="6"/>
    <x v="9"/>
    <m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x v="9"/>
    <n v="1.161558230366036E-2"/>
    <n v="16907154.545454547"/>
    <x v="5"/>
    <x v="9"/>
    <x v="9"/>
    <m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x v="1"/>
    <n v="3.3286177914620949E-2"/>
    <n v="765037.12433706538"/>
    <x v="1"/>
    <x v="1"/>
    <x v="9"/>
    <m/>
  </r>
  <r>
    <n v="256"/>
    <s v="Smith-Reid"/>
    <s v="Optimized actuating toolset"/>
    <n v="4100"/>
    <n v="959"/>
    <x v="0"/>
    <n v="15"/>
    <x v="4"/>
    <s v="GBP"/>
    <n v="1453615200"/>
    <n v="1456812000"/>
    <b v="0"/>
    <b v="0"/>
    <x v="1"/>
    <n v="0.2199206502518686"/>
    <n v="97120800"/>
    <x v="1"/>
    <x v="1"/>
    <x v="9"/>
    <m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x v="3"/>
    <n v="8.8516152216074534E-2"/>
    <n v="14822491.304347826"/>
    <x v="3"/>
    <x v="3"/>
    <x v="9"/>
    <m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x v="3"/>
    <n v="0.1166639931168244"/>
    <n v="7972606.4516129028"/>
    <x v="3"/>
    <x v="3"/>
    <x v="9"/>
    <m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x v="14"/>
    <n v="0.12115608410782892"/>
    <n v="9830347.826086957"/>
    <x v="7"/>
    <x v="14"/>
    <x v="9"/>
    <m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x v="1"/>
    <n v="7.6867848687775076E-2"/>
    <n v="5171820.6896551726"/>
    <x v="1"/>
    <x v="1"/>
    <x v="9"/>
    <m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x v="1"/>
    <n v="2.6942906297623692E-2"/>
    <n v="2826118.9427312776"/>
    <x v="1"/>
    <x v="1"/>
    <x v="9"/>
    <m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x v="7"/>
    <n v="0.1725372655608429"/>
    <n v="12189028.037383178"/>
    <x v="1"/>
    <x v="7"/>
    <x v="9"/>
    <m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x v="14"/>
    <n v="0"/>
    <n v="6346818.0904522613"/>
    <x v="7"/>
    <x v="14"/>
    <x v="9"/>
    <m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x v="3"/>
    <n v="0.10159859031955933"/>
    <n v="247102.90275761974"/>
    <x v="3"/>
    <x v="3"/>
    <x v="9"/>
    <m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x v="3"/>
    <n v="0.26185410560457051"/>
    <n v="16925609.30232558"/>
    <x v="3"/>
    <x v="3"/>
    <x v="9"/>
    <m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x v="17"/>
    <n v="0.2014498283098054"/>
    <n v="445691.76618478942"/>
    <x v="1"/>
    <x v="17"/>
    <x v="9"/>
    <m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x v="3"/>
    <n v="0.10258651240497424"/>
    <n v="488598.55491329479"/>
    <x v="3"/>
    <x v="3"/>
    <x v="9"/>
    <m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x v="4"/>
    <n v="0.29481368042197043"/>
    <n v="28193850"/>
    <x v="4"/>
    <x v="4"/>
    <x v="9"/>
    <m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x v="19"/>
    <n v="0.11714010793624231"/>
    <n v="17824468.965517242"/>
    <x v="4"/>
    <x v="19"/>
    <x v="9"/>
    <m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x v="11"/>
    <n v="1.3382178284070191E-2"/>
    <n v="683302.85714285716"/>
    <x v="6"/>
    <x v="11"/>
    <x v="9"/>
    <m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x v="14"/>
    <n v="0.18478503837269952"/>
    <n v="23805678.688524589"/>
    <x v="7"/>
    <x v="14"/>
    <x v="9"/>
    <m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x v="3"/>
    <n v="0.13821922951994159"/>
    <n v="826238.01478352689"/>
    <x v="3"/>
    <x v="3"/>
    <x v="9"/>
    <m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x v="3"/>
    <n v="1.7215448952607303E-2"/>
    <n v="5340012.7659574468"/>
    <x v="3"/>
    <x v="3"/>
    <x v="9"/>
    <m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x v="3"/>
    <n v="2.8610256777054574E-2"/>
    <n v="100692000"/>
    <x v="3"/>
    <x v="3"/>
    <x v="9"/>
    <m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x v="18"/>
    <n v="4.4463691459034352E-2"/>
    <n v="13407051.72413793"/>
    <x v="5"/>
    <x v="18"/>
    <x v="9"/>
    <m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x v="11"/>
    <n v="3.2364117902481518E-2"/>
    <n v="10039425.563909775"/>
    <x v="6"/>
    <x v="11"/>
    <x v="9"/>
    <m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x v="3"/>
    <n v="1.3505110840383657E-2"/>
    <n v="15417932.530120483"/>
    <x v="3"/>
    <x v="3"/>
    <x v="9"/>
    <m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x v="2"/>
    <n v="0.15953797801566663"/>
    <n v="14901863.736263737"/>
    <x v="2"/>
    <x v="2"/>
    <x v="9"/>
    <m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x v="3"/>
    <n v="1.6875540544658073E-2"/>
    <n v="2813571.4285714286"/>
    <x v="3"/>
    <x v="3"/>
    <x v="9"/>
    <m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x v="10"/>
    <n v="3.4302865718573571E-2"/>
    <n v="3846723.6641221372"/>
    <x v="4"/>
    <x v="10"/>
    <x v="9"/>
    <m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x v="3"/>
    <n v="0.13600255241370734"/>
    <n v="646584.093113482"/>
    <x v="3"/>
    <x v="3"/>
    <x v="9"/>
    <m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x v="19"/>
    <n v="3.5021669658100947E-2"/>
    <n v="11133419.54887218"/>
    <x v="4"/>
    <x v="19"/>
    <x v="9"/>
    <m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x v="1"/>
    <n v="2.9496422329774914E-2"/>
    <n v="50517806.896551721"/>
    <x v="1"/>
    <x v="1"/>
    <x v="9"/>
    <m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x v="2"/>
    <n v="3.2338998946287618E-2"/>
    <n v="10123336.363636363"/>
    <x v="2"/>
    <x v="2"/>
    <x v="9"/>
    <m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x v="3"/>
    <n v="0.22281890344758504"/>
    <n v="5814042.5196850393"/>
    <x v="3"/>
    <x v="3"/>
    <x v="9"/>
    <m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x v="3"/>
    <n v="4.0868156408272883E-2"/>
    <n v="8046117.3913043477"/>
    <x v="3"/>
    <x v="3"/>
    <x v="9"/>
    <m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x v="5"/>
    <n v="0"/>
    <n v="8126120.4545454541"/>
    <x v="1"/>
    <x v="5"/>
    <x v="9"/>
    <m/>
  </r>
  <r>
    <n v="288"/>
    <s v="Garcia Ltd"/>
    <s v="Secured global success"/>
    <n v="5600"/>
    <n v="5476"/>
    <x v="0"/>
    <n v="137"/>
    <x v="3"/>
    <s v="DKK"/>
    <n v="1331701200"/>
    <n v="1331787600"/>
    <b v="0"/>
    <b v="1"/>
    <x v="16"/>
    <n v="6.4879418896671417E-3"/>
    <n v="9721077.372262774"/>
    <x v="1"/>
    <x v="16"/>
    <x v="9"/>
    <m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x v="3"/>
    <n v="1.8017792570163036E-2"/>
    <n v="4269546.5875370922"/>
    <x v="3"/>
    <x v="3"/>
    <x v="9"/>
    <m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x v="4"/>
    <n v="0.20208133247378601"/>
    <n v="1509831.2775330397"/>
    <x v="4"/>
    <x v="4"/>
    <x v="9"/>
    <m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x v="2"/>
    <n v="2.6208527053479043E-2"/>
    <n v="12327106.542056074"/>
    <x v="2"/>
    <x v="2"/>
    <x v="9"/>
    <m/>
  </r>
  <r>
    <n v="292"/>
    <s v="Ho-Harris"/>
    <s v="Versatile cohesive encoding"/>
    <n v="7300"/>
    <n v="717"/>
    <x v="0"/>
    <n v="10"/>
    <x v="1"/>
    <s v="USD"/>
    <n v="1331874000"/>
    <n v="1333429200"/>
    <b v="0"/>
    <b v="0"/>
    <x v="0"/>
    <n v="0.11676780235968266"/>
    <n v="133342920"/>
    <x v="0"/>
    <x v="0"/>
    <x v="9"/>
    <m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x v="3"/>
    <n v="6.0454584892511189E-2"/>
    <n v="40219762.5"/>
    <x v="3"/>
    <x v="3"/>
    <x v="9"/>
    <m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x v="3"/>
    <n v="6.7535198925045281E-2"/>
    <n v="8423881.9672131147"/>
    <x v="3"/>
    <x v="3"/>
    <x v="9"/>
    <m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x v="3"/>
    <n v="0.15657688029033159"/>
    <n v="724595.18324607331"/>
    <x v="3"/>
    <x v="3"/>
    <x v="9"/>
    <m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x v="3"/>
    <n v="0.12273874778582089"/>
    <n v="40804105.263157897"/>
    <x v="3"/>
    <x v="3"/>
    <x v="9"/>
    <m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x v="3"/>
    <n v="5.5955360057198818E-2"/>
    <n v="13369776.923076924"/>
    <x v="3"/>
    <x v="3"/>
    <x v="9"/>
    <m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x v="1"/>
    <n v="0.1065318087667522"/>
    <n v="20250250"/>
    <x v="1"/>
    <x v="1"/>
    <x v="9"/>
    <m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x v="0"/>
    <n v="0.33183599444551515"/>
    <n v="29833053.06122449"/>
    <x v="0"/>
    <x v="0"/>
    <x v="9"/>
    <m/>
  </r>
  <r>
    <n v="300"/>
    <s v="Cooke PLC"/>
    <s v="Focused executive core"/>
    <n v="100"/>
    <n v="5"/>
    <x v="0"/>
    <n v="1"/>
    <x v="3"/>
    <s v="DKK"/>
    <n v="1504069200"/>
    <n v="1504155600"/>
    <b v="0"/>
    <b v="1"/>
    <x v="9"/>
    <n v="5.7444165467918631E-3"/>
    <n v="1504155600"/>
    <x v="5"/>
    <x v="9"/>
    <x v="9"/>
    <m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x v="4"/>
    <n v="0.10282607487355172"/>
    <n v="4835239.322033898"/>
    <x v="4"/>
    <x v="4"/>
    <x v="9"/>
    <m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x v="3"/>
    <n v="7.8756952762236043E-2"/>
    <n v="6273771.4285714282"/>
    <x v="3"/>
    <x v="3"/>
    <x v="9"/>
    <m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x v="7"/>
    <n v="2.9749066623034701E-2"/>
    <n v="45393075"/>
    <x v="1"/>
    <x v="7"/>
    <x v="9"/>
    <m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x v="4"/>
    <n v="0.24089011836419941"/>
    <n v="10380904.225352112"/>
    <x v="4"/>
    <x v="4"/>
    <x v="9"/>
    <m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x v="3"/>
    <n v="0.24290238730588173"/>
    <n v="17198894.117647059"/>
    <x v="3"/>
    <x v="3"/>
    <x v="9"/>
    <m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x v="3"/>
    <n v="1.7279903232541898E-2"/>
    <n v="214323942.85714287"/>
    <x v="3"/>
    <x v="3"/>
    <x v="9"/>
    <m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x v="13"/>
    <n v="0.12905550193179954"/>
    <n v="2034426.1001517451"/>
    <x v="5"/>
    <x v="13"/>
    <x v="9"/>
    <m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x v="3"/>
    <n v="6.6303287814284493E-3"/>
    <n v="1622900.6226650062"/>
    <x v="3"/>
    <x v="3"/>
    <x v="9"/>
    <m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x v="7"/>
    <n v="0.13124902588613599"/>
    <n v="17577456"/>
    <x v="1"/>
    <x v="7"/>
    <x v="9"/>
    <m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x v="11"/>
    <n v="0.10878279418805258"/>
    <n v="79510725"/>
    <x v="6"/>
    <x v="11"/>
    <x v="9"/>
    <m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x v="3"/>
    <n v="7.9886826995090282E-2"/>
    <n v="10734485.950413223"/>
    <x v="3"/>
    <x v="3"/>
    <x v="9"/>
    <m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x v="3"/>
    <n v="4.3741228972315443E-2"/>
    <n v="369663.81614110101"/>
    <x v="3"/>
    <x v="3"/>
    <x v="9"/>
    <m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x v="1"/>
    <n v="1.2989332510675609E-2"/>
    <n v="5966346.1883408073"/>
    <x v="1"/>
    <x v="1"/>
    <x v="9"/>
    <m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x v="4"/>
    <n v="2.7828474558976652E-2"/>
    <n v="11675178.947368421"/>
    <x v="4"/>
    <x v="4"/>
    <x v="9"/>
    <m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x v="3"/>
    <n v="0.17885547911939373"/>
    <n v="45271393.548387095"/>
    <x v="3"/>
    <x v="3"/>
    <x v="9"/>
    <m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x v="0"/>
    <n v="5.4887001385896788E-3"/>
    <n v="14576200"/>
    <x v="0"/>
    <x v="0"/>
    <x v="9"/>
    <m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x v="3"/>
    <n v="7.5143603761997094E-2"/>
    <n v="49862040"/>
    <x v="3"/>
    <x v="3"/>
    <x v="9"/>
    <m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x v="1"/>
    <n v="1.2410604861854455E-2"/>
    <n v="81913552.941176474"/>
    <x v="1"/>
    <x v="1"/>
    <x v="9"/>
    <m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x v="2"/>
    <n v="0.16179911628468779"/>
    <n v="20057231.25"/>
    <x v="2"/>
    <x v="2"/>
    <x v="9"/>
    <m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x v="13"/>
    <n v="5.9586042521262012E-2"/>
    <n v="16322265"/>
    <x v="5"/>
    <x v="13"/>
    <x v="9"/>
    <m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x v="12"/>
    <n v="5.3102485030354148E-2"/>
    <n v="527684.44084278774"/>
    <x v="4"/>
    <x v="12"/>
    <x v="9"/>
    <m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x v="3"/>
    <n v="8.7024919250916266E-2"/>
    <n v="249958.97832817337"/>
    <x v="3"/>
    <x v="3"/>
    <x v="9"/>
    <m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x v="4"/>
    <n v="1.2379142177026891E-2"/>
    <n v="53694969.230769232"/>
    <x v="4"/>
    <x v="4"/>
    <x v="9"/>
    <m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x v="3"/>
    <n v="7.2257779628825833E-2"/>
    <n v="4677197.3941368079"/>
    <x v="3"/>
    <x v="3"/>
    <x v="9"/>
    <m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x v="3"/>
    <n v="0.12995665757127015"/>
    <n v="20974142.465753425"/>
    <x v="3"/>
    <x v="3"/>
    <x v="9"/>
    <m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x v="10"/>
    <n v="3.5724386359238476E-2"/>
    <n v="11340843.75"/>
    <x v="4"/>
    <x v="10"/>
    <x v="9"/>
    <m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x v="3"/>
    <n v="2.2055326706013983E-2"/>
    <n v="47494363.636363633"/>
    <x v="3"/>
    <x v="3"/>
    <x v="9"/>
    <m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x v="1"/>
    <n v="6.1572046290983895E-2"/>
    <n v="632735.76403113478"/>
    <x v="1"/>
    <x v="1"/>
    <x v="9"/>
    <m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x v="11"/>
    <n v="6.4150228170697918E-2"/>
    <n v="7025937.4407582935"/>
    <x v="6"/>
    <x v="11"/>
    <x v="9"/>
    <m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x v="4"/>
    <n v="5.7115931061071205E-3"/>
    <n v="1092273.7906137183"/>
    <x v="4"/>
    <x v="4"/>
    <x v="9"/>
    <m/>
  </r>
  <r>
    <n v="331"/>
    <s v="Rose-Silva"/>
    <s v="Intuitive static portal"/>
    <n v="3300"/>
    <n v="14643"/>
    <x v="1"/>
    <n v="190"/>
    <x v="1"/>
    <s v="USD"/>
    <n v="1324274400"/>
    <n v="1324360800"/>
    <b v="0"/>
    <b v="0"/>
    <x v="0"/>
    <n v="6.5243275864881175E-3"/>
    <n v="6970320"/>
    <x v="0"/>
    <x v="0"/>
    <x v="9"/>
    <m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x v="8"/>
    <n v="6.3322366251289536E-3"/>
    <n v="2903262.1276595746"/>
    <x v="2"/>
    <x v="8"/>
    <x v="9"/>
    <m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x v="3"/>
    <n v="0.15681662256199158"/>
    <n v="6107165.2173913047"/>
    <x v="3"/>
    <x v="3"/>
    <x v="9"/>
    <m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x v="1"/>
    <n v="3.9905936007981188E-2"/>
    <n v="1362236.1185983827"/>
    <x v="1"/>
    <x v="1"/>
    <x v="9"/>
    <m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x v="1"/>
    <n v="7.1368770672925158E-2"/>
    <n v="689847.04336399469"/>
    <x v="1"/>
    <x v="1"/>
    <x v="9"/>
    <m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x v="1"/>
    <n v="6.6852740126685951E-3"/>
    <n v="1205670.8955223882"/>
    <x v="1"/>
    <x v="1"/>
    <x v="9"/>
    <m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x v="3"/>
    <n v="5.4911112636419797E-3"/>
    <n v="1437021.3698630137"/>
    <x v="3"/>
    <x v="3"/>
    <x v="9"/>
    <m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x v="3"/>
    <n v="0.19669282863410492"/>
    <n v="781291.59763313609"/>
    <x v="3"/>
    <x v="3"/>
    <x v="9"/>
    <m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x v="3"/>
    <n v="8.0551393467186094E-2"/>
    <n v="1158719.8149575945"/>
    <x v="3"/>
    <x v="3"/>
    <x v="9"/>
    <m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x v="14"/>
    <n v="6.527308627470179E-3"/>
    <n v="3368335.8778625955"/>
    <x v="7"/>
    <x v="14"/>
    <x v="9"/>
    <m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x v="7"/>
    <n v="4.197848602591172E-2"/>
    <n v="1146652.9832935561"/>
    <x v="1"/>
    <x v="7"/>
    <x v="9"/>
    <m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x v="3"/>
    <n v="7.5442240844114841E-2"/>
    <n v="4193089.0243902439"/>
    <x v="3"/>
    <x v="3"/>
    <x v="9"/>
    <m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x v="3"/>
    <n v="0.33066616754792316"/>
    <n v="9451836.7346938774"/>
    <x v="3"/>
    <x v="3"/>
    <x v="9"/>
    <m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x v="11"/>
    <n v="0.22787802828536027"/>
    <n v="1831393.7349397591"/>
    <x v="6"/>
    <x v="11"/>
    <x v="9"/>
    <m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x v="6"/>
    <n v="6.0149622185185648E-3"/>
    <n v="4339892.4471299089"/>
    <x v="4"/>
    <x v="6"/>
    <x v="9"/>
    <m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x v="7"/>
    <n v="0.3160518420794296"/>
    <n v="60332112"/>
    <x v="1"/>
    <x v="7"/>
    <x v="9"/>
    <m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x v="2"/>
    <n v="0.1456553733177563"/>
    <n v="7464439.7905759159"/>
    <x v="2"/>
    <x v="2"/>
    <x v="9"/>
    <m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x v="0"/>
    <n v="7.5523216127111381E-2"/>
    <n v="427317.82945736434"/>
    <x v="0"/>
    <x v="0"/>
    <x v="9"/>
    <m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x v="3"/>
    <n v="0.17279903232541896"/>
    <n v="1627952.7627302276"/>
    <x v="3"/>
    <x v="3"/>
    <x v="9"/>
    <m/>
  </r>
  <r>
    <n v="350"/>
    <s v="Shannon Ltd"/>
    <s v="Pre-emptive neutral capacity"/>
    <n v="100"/>
    <n v="5"/>
    <x v="0"/>
    <n v="1"/>
    <x v="1"/>
    <s v="USD"/>
    <n v="1432098000"/>
    <n v="1433653200"/>
    <b v="0"/>
    <b v="1"/>
    <x v="17"/>
    <n v="0.10859592011161247"/>
    <n v="1433653200"/>
    <x v="1"/>
    <x v="17"/>
    <x v="9"/>
    <m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x v="1"/>
    <n v="8.3977116235825738E-2"/>
    <n v="716146.05067064089"/>
    <x v="1"/>
    <x v="1"/>
    <x v="9"/>
    <m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x v="3"/>
    <n v="4.7771889228931851E-2"/>
    <n v="43865672.727272727"/>
    <x v="3"/>
    <x v="3"/>
    <x v="9"/>
    <m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x v="3"/>
    <n v="5.5302979678459258E-3"/>
    <n v="917433.47034644743"/>
    <x v="3"/>
    <x v="3"/>
    <x v="9"/>
    <m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x v="4"/>
    <n v="4.3883822803392633E-2"/>
    <n v="17234865"/>
    <x v="4"/>
    <x v="4"/>
    <x v="9"/>
    <m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x v="8"/>
    <n v="0.23271711779849608"/>
    <n v="17308381.395348836"/>
    <x v="2"/>
    <x v="8"/>
    <x v="9"/>
    <m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x v="3"/>
    <n v="5.8619510527087096E-2"/>
    <n v="33182460"/>
    <x v="3"/>
    <x v="3"/>
    <x v="9"/>
    <m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x v="11"/>
    <n v="0.14986923908889496"/>
    <n v="35205278.048780486"/>
    <x v="6"/>
    <x v="11"/>
    <x v="9"/>
    <m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x v="14"/>
    <n v="1.6898354053375329E-2"/>
    <n v="66701582.608695649"/>
    <x v="7"/>
    <x v="14"/>
    <x v="9"/>
    <m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x v="10"/>
    <n v="4.6012648000503947E-2"/>
    <n v="7032224.5989304809"/>
    <x v="4"/>
    <x v="10"/>
    <x v="9"/>
    <m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x v="3"/>
    <n v="9.3487587853291254E-2"/>
    <n v="450459.54782608693"/>
    <x v="3"/>
    <x v="3"/>
    <x v="9"/>
    <m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x v="3"/>
    <n v="0.13756570792602976"/>
    <n v="17152568.181818184"/>
    <x v="3"/>
    <x v="3"/>
    <x v="9"/>
    <m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x v="1"/>
    <n v="0.25331222398133491"/>
    <n v="6803095.2879581153"/>
    <x v="1"/>
    <x v="1"/>
    <x v="9"/>
    <m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x v="1"/>
    <n v="6.5209240149329169E-3"/>
    <n v="9532748.2014388498"/>
    <x v="1"/>
    <x v="1"/>
    <x v="9"/>
    <m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x v="7"/>
    <n v="0.17026375489597098"/>
    <n v="8187193.5483870972"/>
    <x v="1"/>
    <x v="7"/>
    <x v="9"/>
    <m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x v="3"/>
    <n v="0.15730369809342093"/>
    <n v="13261821.428571429"/>
    <x v="3"/>
    <x v="3"/>
    <x v="9"/>
    <m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x v="3"/>
    <n v="6.6767931362566556E-3"/>
    <n v="12813077.227722771"/>
    <x v="3"/>
    <x v="3"/>
    <x v="9"/>
    <m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x v="3"/>
    <n v="0.14694309965900032"/>
    <n v="18875808"/>
    <x v="3"/>
    <x v="3"/>
    <x v="9"/>
    <m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x v="4"/>
    <n v="0.15441207323384198"/>
    <n v="6256957.2815533979"/>
    <x v="4"/>
    <x v="4"/>
    <x v="9"/>
    <m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x v="19"/>
    <n v="0.24752344192597062"/>
    <n v="8852189.6103896108"/>
    <x v="4"/>
    <x v="19"/>
    <x v="9"/>
    <m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x v="3"/>
    <n v="3.3331095829215174E-2"/>
    <n v="260781.56218571909"/>
    <x v="3"/>
    <x v="3"/>
    <x v="9"/>
    <m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x v="3"/>
    <n v="0.30932111224082026"/>
    <n v="656147.9779411765"/>
    <x v="3"/>
    <x v="3"/>
    <x v="9"/>
    <m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x v="4"/>
    <n v="0.12163045626624906"/>
    <n v="8416714.7928994074"/>
    <x v="4"/>
    <x v="4"/>
    <x v="9"/>
    <m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x v="3"/>
    <n v="4.5989676275794339E-2"/>
    <n v="713977.77777777775"/>
    <x v="3"/>
    <x v="3"/>
    <x v="9"/>
    <m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x v="4"/>
    <n v="2.7921651844923144E-2"/>
    <n v="3509338.775510204"/>
    <x v="4"/>
    <x v="4"/>
    <x v="9"/>
    <m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x v="7"/>
    <n v="0.34107244737543629"/>
    <n v="57996000"/>
    <x v="1"/>
    <x v="7"/>
    <x v="9"/>
    <m/>
  </r>
  <r>
    <n v="376"/>
    <s v="Perry PLC"/>
    <s v="Mandatory uniform matrix"/>
    <n v="3400"/>
    <n v="12275"/>
    <x v="1"/>
    <n v="131"/>
    <x v="1"/>
    <s v="USD"/>
    <n v="1404622800"/>
    <n v="1405141200"/>
    <b v="0"/>
    <b v="0"/>
    <x v="1"/>
    <n v="3.690670548705318E-2"/>
    <n v="10726268.702290077"/>
    <x v="1"/>
    <x v="1"/>
    <x v="9"/>
    <m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x v="3"/>
    <n v="7.7189301608606722E-2"/>
    <n v="12385303.937007874"/>
    <x v="3"/>
    <x v="3"/>
    <x v="9"/>
    <m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x v="4"/>
    <n v="0.21502689015002369"/>
    <n v="4310315.4929577466"/>
    <x v="4"/>
    <x v="4"/>
    <x v="9"/>
    <m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x v="3"/>
    <n v="9.1930569232993531E-2"/>
    <n v="30020563.636363637"/>
    <x v="3"/>
    <x v="3"/>
    <x v="9"/>
    <m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x v="3"/>
    <n v="3.1487715854852126E-2"/>
    <n v="16338042.857142856"/>
    <x v="3"/>
    <x v="3"/>
    <x v="9"/>
    <m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x v="3"/>
    <n v="0.27720514938695984"/>
    <n v="9275574.1935483869"/>
    <x v="3"/>
    <x v="3"/>
    <x v="9"/>
    <m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x v="14"/>
    <n v="0.1088500328221042"/>
    <n v="22533904.47761194"/>
    <x v="7"/>
    <x v="14"/>
    <x v="9"/>
    <m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x v="0"/>
    <n v="3.3444349995122698E-2"/>
    <n v="8204000"/>
    <x v="0"/>
    <x v="0"/>
    <x v="9"/>
    <m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x v="4"/>
    <n v="0.15691060454169026"/>
    <n v="310281.14190456347"/>
    <x v="4"/>
    <x v="4"/>
    <x v="9"/>
    <m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x v="9"/>
    <n v="0.17793388180834574"/>
    <n v="1369041.6886543536"/>
    <x v="5"/>
    <x v="9"/>
    <x v="9"/>
    <m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x v="3"/>
    <n v="8.1156708531880783E-2"/>
    <n v="1197158.4269662921"/>
    <x v="3"/>
    <x v="3"/>
    <x v="9"/>
    <m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x v="8"/>
    <n v="3.2251388825431299E-2"/>
    <n v="3160163.2075471696"/>
    <x v="2"/>
    <x v="8"/>
    <x v="9"/>
    <m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x v="7"/>
    <n v="1.3035047985270396E-2"/>
    <n v="9143652.4137931038"/>
    <x v="1"/>
    <x v="7"/>
    <x v="9"/>
    <m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x v="3"/>
    <n v="0.18136343947798628"/>
    <n v="1120293.75"/>
    <x v="3"/>
    <x v="3"/>
    <x v="9"/>
    <m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x v="14"/>
    <n v="9.3977847332987002E-2"/>
    <n v="27606888"/>
    <x v="7"/>
    <x v="14"/>
    <x v="9"/>
    <m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x v="9"/>
    <n v="1.2434524457155292E-2"/>
    <n v="9204317.8807947021"/>
    <x v="5"/>
    <x v="9"/>
    <x v="9"/>
    <m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x v="8"/>
    <n v="1.3350912034178335E-2"/>
    <n v="805016.41791044781"/>
    <x v="2"/>
    <x v="8"/>
    <x v="9"/>
    <m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x v="17"/>
    <n v="5.7589725992882868E-3"/>
    <n v="490472.04968944099"/>
    <x v="1"/>
    <x v="17"/>
    <x v="9"/>
    <m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x v="4"/>
    <n v="6.2832982079509908E-2"/>
    <n v="40468764.705882356"/>
    <x v="4"/>
    <x v="4"/>
    <x v="9"/>
    <m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x v="3"/>
    <n v="6.5290133028646051E-3"/>
    <n v="6015501.8181818184"/>
    <x v="3"/>
    <x v="3"/>
    <x v="9"/>
    <m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x v="6"/>
    <n v="4.492058181511905E-2"/>
    <n v="959729.92518703244"/>
    <x v="4"/>
    <x v="6"/>
    <x v="9"/>
    <m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x v="1"/>
    <n v="3.7859169148983719E-2"/>
    <n v="3017188.5462555066"/>
    <x v="1"/>
    <x v="1"/>
    <x v="9"/>
    <m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x v="10"/>
    <n v="1.1325536016384277E-2"/>
    <n v="12405921.951219512"/>
    <x v="4"/>
    <x v="10"/>
    <x v="9"/>
    <m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x v="7"/>
    <n v="4.6644122007696277E-2"/>
    <n v="1378566.6312433581"/>
    <x v="1"/>
    <x v="7"/>
    <x v="9"/>
    <m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x v="14"/>
    <n v="0.13807639704286384"/>
    <n v="1378530000"/>
    <x v="7"/>
    <x v="14"/>
    <x v="9"/>
    <m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x v="3"/>
    <n v="0"/>
    <n v="5258034.7826086953"/>
    <x v="3"/>
    <x v="3"/>
    <x v="9"/>
    <m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x v="12"/>
    <n v="0.30628370342614164"/>
    <n v="33247260"/>
    <x v="4"/>
    <x v="12"/>
    <x v="9"/>
    <m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x v="3"/>
    <n v="0.2442133588099121"/>
    <n v="423466.26865671639"/>
    <x v="3"/>
    <x v="3"/>
    <x v="9"/>
    <m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x v="3"/>
    <n v="1.71582996125084E-2"/>
    <n v="675412.78497988381"/>
    <x v="3"/>
    <x v="3"/>
    <x v="9"/>
    <m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x v="3"/>
    <n v="0.28270615757570045"/>
    <n v="3522777.9310344825"/>
    <x v="3"/>
    <x v="3"/>
    <x v="9"/>
    <m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x v="4"/>
    <n v="7.6261896061390819E-2"/>
    <n v="2109399.0697674421"/>
    <x v="4"/>
    <x v="4"/>
    <x v="9"/>
    <m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x v="3"/>
    <n v="3.8499173871893999E-2"/>
    <n v="3246999.1735537192"/>
    <x v="3"/>
    <x v="3"/>
    <x v="9"/>
    <m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x v="4"/>
    <n v="0.11783970363314536"/>
    <n v="9533290.9090909082"/>
    <x v="4"/>
    <x v="4"/>
    <x v="9"/>
    <m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x v="1"/>
    <n v="2.3155909219187566E-2"/>
    <n v="2090808.4033613445"/>
    <x v="1"/>
    <x v="1"/>
    <x v="9"/>
    <m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x v="20"/>
    <n v="0"/>
    <n v="1287306.2106210622"/>
    <x v="6"/>
    <x v="20"/>
    <x v="9"/>
    <m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x v="3"/>
    <n v="1.1550539626773189E-2"/>
    <n v="18246424.390243903"/>
    <x v="3"/>
    <x v="3"/>
    <x v="9"/>
    <m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x v="13"/>
    <n v="6.2215171169489686E-2"/>
    <n v="10370095.52238806"/>
    <x v="5"/>
    <x v="13"/>
    <x v="9"/>
    <m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x v="10"/>
    <n v="0.1511567691640191"/>
    <n v="1419312.3966942148"/>
    <x v="4"/>
    <x v="10"/>
    <x v="9"/>
    <m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x v="0"/>
    <n v="5.4350749162800312E-2"/>
    <n v="231477.31489903585"/>
    <x v="0"/>
    <x v="0"/>
    <x v="9"/>
    <m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x v="3"/>
    <n v="0.11073295445293035"/>
    <n v="3176801.913875598"/>
    <x v="3"/>
    <x v="3"/>
    <x v="9"/>
    <m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x v="4"/>
    <n v="6.0035020428583344E-2"/>
    <n v="900640.44475330086"/>
    <x v="4"/>
    <x v="4"/>
    <x v="9"/>
    <m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x v="3"/>
    <n v="0.13477624107428576"/>
    <n v="102886560"/>
    <x v="3"/>
    <x v="3"/>
    <x v="9"/>
    <m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x v="4"/>
    <n v="6.4657088437426761E-3"/>
    <n v="668517.65882941475"/>
    <x v="4"/>
    <x v="4"/>
    <x v="9"/>
    <m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x v="2"/>
    <n v="3.9138304985241595E-2"/>
    <n v="254670.76686527004"/>
    <x v="2"/>
    <x v="2"/>
    <x v="9"/>
    <m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x v="3"/>
    <n v="8.0727896533745944E-2"/>
    <n v="15952940.425531914"/>
    <x v="3"/>
    <x v="3"/>
    <x v="9"/>
    <m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x v="8"/>
    <n v="0.17294845895716884"/>
    <n v="12722918.644067796"/>
    <x v="2"/>
    <x v="8"/>
    <x v="9"/>
    <m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x v="3"/>
    <n v="0.13590457233945563"/>
    <n v="6210772.682926829"/>
    <x v="3"/>
    <x v="3"/>
    <x v="9"/>
    <m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x v="0"/>
    <n v="1.3124041329793489E-2"/>
    <n v="8128644.444444444"/>
    <x v="0"/>
    <x v="0"/>
    <x v="9"/>
    <m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x v="7"/>
    <n v="3.4015132009420301E-2"/>
    <n v="18368024.096385542"/>
    <x v="1"/>
    <x v="7"/>
    <x v="9"/>
    <m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x v="14"/>
    <n v="3.6048575455426189E-2"/>
    <n v="15636717.391304348"/>
    <x v="7"/>
    <x v="14"/>
    <x v="9"/>
    <m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x v="3"/>
    <n v="4.4407086102168022E-2"/>
    <n v="6221687.6712328764"/>
    <x v="3"/>
    <x v="3"/>
    <x v="9"/>
    <m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x v="3"/>
    <n v="0.19600386903470646"/>
    <n v="559520.66508313536"/>
    <x v="3"/>
    <x v="3"/>
    <x v="9"/>
    <m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x v="10"/>
    <n v="4.6616165820361273E-2"/>
    <n v="1737628.9156626507"/>
    <x v="4"/>
    <x v="10"/>
    <x v="9"/>
    <m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x v="14"/>
    <n v="0.17353298678459669"/>
    <n v="652211.2254443405"/>
    <x v="7"/>
    <x v="14"/>
    <x v="9"/>
    <m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x v="3"/>
    <n v="0.18714008214899194"/>
    <n v="18722271.428571429"/>
    <x v="3"/>
    <x v="3"/>
    <x v="9"/>
    <m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x v="3"/>
    <n v="9.602236756326768E-2"/>
    <n v="16288429.787234042"/>
    <x v="3"/>
    <x v="3"/>
    <x v="9"/>
    <m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x v="3"/>
    <n v="0.12351619734800431"/>
    <n v="15392690.109890111"/>
    <x v="3"/>
    <x v="3"/>
    <x v="9"/>
    <m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x v="4"/>
    <n v="9.9786394748740986E-2"/>
    <n v="1750936.3636363635"/>
    <x v="4"/>
    <x v="4"/>
    <x v="9"/>
    <m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x v="3"/>
    <n v="8.1698154497045733E-2"/>
    <n v="148178160"/>
    <x v="3"/>
    <x v="3"/>
    <x v="9"/>
    <m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x v="3"/>
    <n v="7.3084946023722161E-2"/>
    <n v="828756.56742556917"/>
    <x v="3"/>
    <x v="3"/>
    <x v="9"/>
    <m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x v="17"/>
    <n v="5.5536400639594214E-3"/>
    <n v="6248284.3373493971"/>
    <x v="1"/>
    <x v="17"/>
    <x v="9"/>
    <m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x v="10"/>
    <n v="1.7973533971227369E-2"/>
    <n v="7512393.75"/>
    <x v="4"/>
    <x v="10"/>
    <x v="9"/>
    <m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x v="3"/>
    <n v="0.1899914913407216"/>
    <n v="5526174.8987854254"/>
    <x v="3"/>
    <x v="3"/>
    <x v="9"/>
    <m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x v="22"/>
    <n v="4.1152363582349777E-2"/>
    <n v="645013.86829481029"/>
    <x v="4"/>
    <x v="22"/>
    <x v="9"/>
    <m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x v="19"/>
    <n v="5.7646163047368339E-2"/>
    <n v="478972.46885978919"/>
    <x v="4"/>
    <x v="19"/>
    <x v="9"/>
    <m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x v="8"/>
    <n v="0.18115697845256354"/>
    <n v="41807362.5"/>
    <x v="2"/>
    <x v="8"/>
    <x v="9"/>
    <m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x v="3"/>
    <n v="9.189482828350512E-2"/>
    <n v="10529446.153846154"/>
    <x v="3"/>
    <x v="3"/>
    <x v="9"/>
    <m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x v="3"/>
    <n v="0.12766922471743386"/>
    <n v="14305160"/>
    <x v="3"/>
    <x v="3"/>
    <x v="9"/>
    <m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x v="7"/>
    <n v="1.3175917716393861E-2"/>
    <n v="4431271.6216216218"/>
    <x v="1"/>
    <x v="7"/>
    <x v="9"/>
    <m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x v="3"/>
    <n v="0.1405034707702601"/>
    <n v="7606884.7058823528"/>
    <x v="3"/>
    <x v="3"/>
    <x v="9"/>
    <m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x v="8"/>
    <n v="1.274514489636604E-2"/>
    <n v="7290232.2580645159"/>
    <x v="2"/>
    <x v="8"/>
    <x v="9"/>
    <m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x v="19"/>
    <n v="9.1328110507013713E-2"/>
    <n v="3451128.9293849659"/>
    <x v="4"/>
    <x v="19"/>
    <x v="9"/>
    <m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x v="11"/>
    <n v="1.265085485516089E-2"/>
    <n v="2257997.3553719008"/>
    <x v="6"/>
    <x v="11"/>
    <x v="9"/>
    <m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x v="11"/>
    <n v="9.4416220103463469E-2"/>
    <n v="18061827.906976745"/>
    <x v="6"/>
    <x v="11"/>
    <x v="9"/>
    <m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x v="10"/>
    <n v="0.12926450134991407"/>
    <n v="1542088800"/>
    <x v="4"/>
    <x v="10"/>
    <x v="9"/>
    <m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x v="1"/>
    <n v="0.17850759017152565"/>
    <n v="239121.66719694561"/>
    <x v="1"/>
    <x v="1"/>
    <x v="9"/>
    <m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x v="6"/>
    <n v="6.7584882388224453E-3"/>
    <n v="41241251.612903222"/>
    <x v="4"/>
    <x v="6"/>
    <x v="9"/>
    <m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x v="22"/>
    <n v="0.2392588810270625"/>
    <n v="1256659.1024555461"/>
    <x v="4"/>
    <x v="22"/>
    <x v="9"/>
    <m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x v="6"/>
    <n v="0.22527156291587344"/>
    <n v="35524246.153846152"/>
    <x v="4"/>
    <x v="6"/>
    <x v="9"/>
    <m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x v="3"/>
    <n v="0.15091657211597612"/>
    <n v="353834.50496377784"/>
    <x v="3"/>
    <x v="3"/>
    <x v="9"/>
    <m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x v="7"/>
    <n v="0"/>
    <n v="945945.42056074762"/>
    <x v="1"/>
    <x v="7"/>
    <x v="9"/>
    <m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x v="3"/>
    <n v="1.1703977157737914E-2"/>
    <n v="32099869.565217391"/>
    <x v="3"/>
    <x v="3"/>
    <x v="9"/>
    <m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x v="3"/>
    <n v="0.29939695329577642"/>
    <n v="600733.01886792458"/>
    <x v="3"/>
    <x v="3"/>
    <x v="9"/>
    <m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x v="4"/>
    <n v="0.15213984694731397"/>
    <n v="13541965.714285715"/>
    <x v="4"/>
    <x v="4"/>
    <x v="9"/>
    <m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x v="3"/>
    <n v="2.0228980824611924E-2"/>
    <n v="25631784"/>
    <x v="3"/>
    <x v="3"/>
    <x v="9"/>
    <m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x v="6"/>
    <n v="0.12354671738945787"/>
    <n v="673264.0384615385"/>
    <x v="4"/>
    <x v="6"/>
    <x v="9"/>
    <m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x v="20"/>
    <n v="0.24149600419440426"/>
    <n v="2547306.1682242989"/>
    <x v="6"/>
    <x v="20"/>
    <x v="9"/>
    <m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x v="10"/>
    <n v="2.4890714207930806E-2"/>
    <n v="659769.69121140137"/>
    <x v="4"/>
    <x v="10"/>
    <x v="9"/>
    <m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x v="3"/>
    <n v="7.9666538631158162E-2"/>
    <n v="623784.23645320197"/>
    <x v="3"/>
    <x v="3"/>
    <x v="9"/>
    <m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x v="18"/>
    <n v="5.1257955661868353E-2"/>
    <n v="18972630"/>
    <x v="5"/>
    <x v="18"/>
    <x v="9"/>
    <m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x v="8"/>
    <n v="0.14520011047834494"/>
    <n v="32632885.714285713"/>
    <x v="2"/>
    <x v="8"/>
    <x v="9"/>
    <m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x v="2"/>
    <n v="4.1760503512356634E-2"/>
    <n v="10423476.258992806"/>
    <x v="2"/>
    <x v="2"/>
    <x v="9"/>
    <m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x v="3"/>
    <n v="8.8887860094211874E-2"/>
    <n v="97287525"/>
    <x v="3"/>
    <x v="3"/>
    <x v="9"/>
    <m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x v="6"/>
    <n v="1.2067669456477196E-2"/>
    <n v="9006905.660377359"/>
    <x v="4"/>
    <x v="6"/>
    <x v="9"/>
    <m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x v="8"/>
    <n v="4.0822872472262316E-2"/>
    <n v="3890097.6377952755"/>
    <x v="2"/>
    <x v="8"/>
    <x v="9"/>
    <m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x v="0"/>
    <n v="0"/>
    <n v="6886261.8556701029"/>
    <x v="0"/>
    <x v="0"/>
    <x v="9"/>
    <m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x v="1"/>
    <n v="0.30056425372632417"/>
    <n v="2707732.1739130435"/>
    <x v="1"/>
    <x v="1"/>
    <x v="9"/>
    <m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x v="5"/>
    <n v="5.6470986854024845E-3"/>
    <n v="14434675.471698113"/>
    <x v="1"/>
    <x v="5"/>
    <x v="9"/>
    <m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x v="19"/>
    <n v="6.090041260029537E-3"/>
    <n v="9991521.1267605629"/>
    <x v="4"/>
    <x v="19"/>
    <x v="9"/>
    <m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x v="18"/>
    <n v="2.5187000359439486E-2"/>
    <n v="6504654.0284360191"/>
    <x v="5"/>
    <x v="18"/>
    <x v="9"/>
    <m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x v="13"/>
    <n v="3.3796708106750659E-2"/>
    <n v="1369996.0714285714"/>
    <x v="5"/>
    <x v="13"/>
    <x v="9"/>
    <m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x v="22"/>
    <n v="0.17820360862307461"/>
    <n v="11605284.955752213"/>
    <x v="4"/>
    <x v="22"/>
    <x v="9"/>
    <m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x v="8"/>
    <n v="7.2713134062316165E-2"/>
    <n v="517748.18577648769"/>
    <x v="2"/>
    <x v="8"/>
    <x v="9"/>
    <m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x v="0"/>
    <n v="1.1509990911903009E-2"/>
    <n v="8679058.9595375732"/>
    <x v="0"/>
    <x v="0"/>
    <x v="9"/>
    <m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x v="14"/>
    <n v="6.1027186902146452E-2"/>
    <n v="14586910.344827587"/>
    <x v="7"/>
    <x v="14"/>
    <x v="9"/>
    <m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x v="3"/>
    <n v="0.25722669345155391"/>
    <n v="920527.95838751621"/>
    <x v="3"/>
    <x v="3"/>
    <x v="9"/>
    <m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x v="13"/>
    <n v="7.145525114896796E-2"/>
    <n v="147890400"/>
    <x v="5"/>
    <x v="13"/>
    <x v="9"/>
    <m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x v="3"/>
    <n v="3.8372459537611862E-2"/>
    <n v="2846092.4187725633"/>
    <x v="3"/>
    <x v="3"/>
    <x v="9"/>
    <m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x v="0"/>
    <n v="0.30086806577139652"/>
    <n v="897812.97709923668"/>
    <x v="0"/>
    <x v="0"/>
    <x v="9"/>
    <m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x v="3"/>
    <n v="0.22705613870730293"/>
    <n v="2413094.4444444445"/>
    <x v="3"/>
    <x v="3"/>
    <x v="9"/>
    <m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x v="18"/>
    <n v="8.4994152212925736E-2"/>
    <n v="72469885.714285716"/>
    <x v="5"/>
    <x v="18"/>
    <x v="9"/>
    <m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x v="3"/>
    <n v="0.19101413552838803"/>
    <n v="637474.68030690541"/>
    <x v="3"/>
    <x v="3"/>
    <x v="9"/>
    <m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x v="3"/>
    <n v="0.10098459984852311"/>
    <n v="12660417.391304348"/>
    <x v="3"/>
    <x v="3"/>
    <x v="9"/>
    <m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x v="8"/>
    <n v="3.3699061761955446E-2"/>
    <n v="15086668.235294119"/>
    <x v="2"/>
    <x v="8"/>
    <x v="9"/>
    <m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x v="23"/>
    <n v="3.8425119049252769E-2"/>
    <n v="10934550"/>
    <x v="8"/>
    <x v="23"/>
    <x v="9"/>
    <m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x v="0"/>
    <n v="0.16365367315948626"/>
    <n v="562792.14081047894"/>
    <x v="0"/>
    <x v="0"/>
    <x v="9"/>
    <m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x v="12"/>
    <n v="0.23701162203418044"/>
    <n v="2149429.9159663864"/>
    <x v="4"/>
    <x v="12"/>
    <x v="9"/>
    <m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x v="14"/>
    <n v="7.1917737172941421E-2"/>
    <n v="24420431.25"/>
    <x v="7"/>
    <x v="14"/>
    <x v="9"/>
    <m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x v="8"/>
    <n v="6.4845761653999226E-3"/>
    <n v="4971935.8208955228"/>
    <x v="2"/>
    <x v="8"/>
    <x v="9"/>
    <m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x v="3"/>
    <n v="2.4643883054506623E-2"/>
    <n v="7193446.153846154"/>
    <x v="3"/>
    <x v="3"/>
    <x v="9"/>
    <m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x v="10"/>
    <n v="9.8224968883389149E-2"/>
    <n v="27718733.333333332"/>
    <x v="4"/>
    <x v="10"/>
    <x v="9"/>
    <m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x v="8"/>
    <n v="0"/>
    <n v="12351780"/>
    <x v="2"/>
    <x v="8"/>
    <x v="9"/>
    <m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x v="2"/>
    <n v="1.2168225720587116E-2"/>
    <n v="2452961.6580310883"/>
    <x v="2"/>
    <x v="2"/>
    <x v="9"/>
    <m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x v="4"/>
    <n v="2.9629263836248938E-2"/>
    <n v="703885.13513513515"/>
    <x v="4"/>
    <x v="4"/>
    <x v="9"/>
    <m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x v="3"/>
    <n v="0.17692172003717463"/>
    <e v="#DIV/0!"/>
    <x v="3"/>
    <x v="3"/>
    <x v="9"/>
    <m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x v="4"/>
    <n v="1.2677317373999351E-2"/>
    <n v="759040.75723830739"/>
    <x v="4"/>
    <x v="4"/>
    <x v="9"/>
    <m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x v="11"/>
    <n v="0.18651666724729807"/>
    <n v="7235864.5161290327"/>
    <x v="6"/>
    <x v="11"/>
    <x v="9"/>
    <m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x v="6"/>
    <n v="0.12035715987191993"/>
    <n v="3124901.7391304346"/>
    <x v="4"/>
    <x v="6"/>
    <x v="9"/>
    <m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x v="1"/>
    <n v="6.033834728238598E-3"/>
    <n v="23096961.290322579"/>
    <x v="1"/>
    <x v="1"/>
    <x v="9"/>
    <m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x v="15"/>
    <n v="0.26602630146829609"/>
    <n v="3937601.1527377521"/>
    <x v="5"/>
    <x v="15"/>
    <x v="9"/>
    <m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x v="3"/>
    <n v="9.7180340988667055E-2"/>
    <n v="598451.58227848099"/>
    <x v="3"/>
    <x v="3"/>
    <x v="9"/>
    <m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x v="2"/>
    <n v="0.31004400199314003"/>
    <n v="72090378.947368428"/>
    <x v="2"/>
    <x v="2"/>
    <x v="9"/>
    <m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x v="3"/>
    <n v="0.11836848767816924"/>
    <n v="419648.56439704675"/>
    <x v="3"/>
    <x v="3"/>
    <x v="9"/>
    <m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x v="3"/>
    <n v="6.4661269246830924E-2"/>
    <n v="1062844.1971383148"/>
    <x v="3"/>
    <x v="3"/>
    <x v="9"/>
    <m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x v="6"/>
    <n v="0.13572965292325384"/>
    <n v="11677987.786259541"/>
    <x v="4"/>
    <x v="6"/>
    <x v="9"/>
    <m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x v="3"/>
    <n v="5.5241878868370106E-2"/>
    <n v="4322913.8121546963"/>
    <x v="3"/>
    <x v="3"/>
    <x v="9"/>
    <m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x v="11"/>
    <n v="6.1514959669254562E-3"/>
    <n v="5877082.8451882843"/>
    <x v="6"/>
    <x v="11"/>
    <x v="9"/>
    <m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x v="19"/>
    <n v="1.3457855883185812E-2"/>
    <n v="36690891.428571425"/>
    <x v="4"/>
    <x v="19"/>
    <x v="9"/>
    <m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x v="1"/>
    <n v="3.1161870335457531E-2"/>
    <n v="2626404.5454545454"/>
    <x v="1"/>
    <x v="1"/>
    <x v="9"/>
    <m/>
  </r>
  <r>
    <n v="515"/>
    <s v="Cox LLC"/>
    <s v="Phased 24hour flexibility"/>
    <n v="8600"/>
    <n v="4797"/>
    <x v="0"/>
    <n v="133"/>
    <x v="0"/>
    <s v="CAD"/>
    <n v="1324620000"/>
    <n v="1324792800"/>
    <b v="0"/>
    <b v="1"/>
    <x v="3"/>
    <n v="1.3045250713412148E-2"/>
    <n v="9960848.1203007512"/>
    <x v="3"/>
    <x v="3"/>
    <x v="9"/>
    <m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x v="9"/>
    <n v="0.25628560107684917"/>
    <n v="1518148.9361702127"/>
    <x v="5"/>
    <x v="9"/>
    <x v="9"/>
    <m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x v="0"/>
    <n v="2.8916429110169187E-2"/>
    <n v="19158876.923076924"/>
    <x v="0"/>
    <x v="0"/>
    <x v="9"/>
    <m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x v="10"/>
    <n v="1.137316785374106E-2"/>
    <n v="151953840"/>
    <x v="4"/>
    <x v="10"/>
    <x v="9"/>
    <m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x v="1"/>
    <n v="8.5141319386374356E-2"/>
    <n v="801977.66497461929"/>
    <x v="1"/>
    <x v="1"/>
    <x v="9"/>
    <m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x v="3"/>
    <n v="1.666184553080706E-2"/>
    <n v="48622162.5"/>
    <x v="3"/>
    <x v="3"/>
    <x v="9"/>
    <m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x v="6"/>
    <n v="3.5219104407524168E-2"/>
    <n v="3990370.7317073173"/>
    <x v="4"/>
    <x v="6"/>
    <x v="9"/>
    <m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x v="12"/>
    <n v="7.7298627680960658E-2"/>
    <n v="7027897.3821989531"/>
    <x v="4"/>
    <x v="12"/>
    <x v="9"/>
    <m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x v="12"/>
    <n v="3.4077936240181295E-2"/>
    <n v="14248476.404494382"/>
    <x v="4"/>
    <x v="12"/>
    <x v="9"/>
    <m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x v="3"/>
    <n v="8.8283980136104459E-2"/>
    <n v="643446.79130874178"/>
    <x v="3"/>
    <x v="3"/>
    <x v="9"/>
    <m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x v="8"/>
    <n v="2.6780483722487241E-2"/>
    <n v="20489485.714285713"/>
    <x v="2"/>
    <x v="8"/>
    <x v="9"/>
    <m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x v="3"/>
    <n v="0.22030038254863726"/>
    <n v="9893240.8163265307"/>
    <x v="3"/>
    <x v="3"/>
    <x v="9"/>
    <m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x v="10"/>
    <n v="0.21382433736728784"/>
    <n v="239763.55263157896"/>
    <x v="4"/>
    <x v="10"/>
    <x v="9"/>
    <m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x v="7"/>
    <n v="0.28068424581702506"/>
    <n v="17363430"/>
    <x v="1"/>
    <x v="7"/>
    <x v="9"/>
    <m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x v="11"/>
    <n v="0.17283728347114877"/>
    <n v="155790800"/>
    <x v="6"/>
    <x v="11"/>
    <x v="9"/>
    <m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x v="13"/>
    <n v="9.4262076627213129E-2"/>
    <n v="719977.80269058293"/>
    <x v="5"/>
    <x v="13"/>
    <x v="9"/>
    <m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x v="11"/>
    <n v="0.3495575911736708"/>
    <n v="381590.10989010992"/>
    <x v="6"/>
    <x v="11"/>
    <x v="9"/>
    <m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x v="3"/>
    <n v="5.6959772160911359E-3"/>
    <n v="12039257.142857144"/>
    <x v="3"/>
    <x v="3"/>
    <x v="9"/>
    <m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x v="7"/>
    <n v="0.22626982152444053"/>
    <n v="621168.80072137062"/>
    <x v="1"/>
    <x v="7"/>
    <x v="9"/>
    <m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x v="6"/>
    <n v="5.6305645814027144E-3"/>
    <n v="6315096.2962962966"/>
    <x v="4"/>
    <x v="6"/>
    <x v="9"/>
    <m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x v="3"/>
    <n v="1.1305689352631518E-2"/>
    <n v="7567360.3960396042"/>
    <x v="3"/>
    <x v="3"/>
    <x v="9"/>
    <m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x v="13"/>
    <n v="0.17514068793241366"/>
    <n v="9177660"/>
    <x v="5"/>
    <x v="13"/>
    <x v="9"/>
    <m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x v="4"/>
    <n v="0.12940826196733379"/>
    <n v="1461589.7338403042"/>
    <x v="4"/>
    <x v="4"/>
    <x v="9"/>
    <m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x v="20"/>
    <n v="0.10018654526005454"/>
    <n v="1065747.2222222222"/>
    <x v="6"/>
    <x v="20"/>
    <x v="9"/>
    <m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x v="0"/>
    <n v="3.3189129638123246E-2"/>
    <n v="20291890.90909091"/>
    <x v="0"/>
    <x v="0"/>
    <x v="9"/>
    <m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x v="14"/>
    <n v="0.12460206395767306"/>
    <n v="6183794.3319838056"/>
    <x v="7"/>
    <x v="14"/>
    <x v="9"/>
    <m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x v="20"/>
    <n v="0.15666228983025743"/>
    <n v="3635845.0632911394"/>
    <x v="6"/>
    <x v="20"/>
    <x v="9"/>
    <m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x v="7"/>
    <n v="0.17833524052965566"/>
    <n v="29714987.755102042"/>
    <x v="1"/>
    <x v="7"/>
    <x v="9"/>
    <m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x v="11"/>
    <n v="9.3989624589774445E-2"/>
    <n v="7667620"/>
    <x v="6"/>
    <x v="11"/>
    <x v="9"/>
    <m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x v="1"/>
    <n v="7.7342971457468795E-2"/>
    <n v="17301857.142857142"/>
    <x v="1"/>
    <x v="1"/>
    <x v="9"/>
    <m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x v="3"/>
    <n v="0.10955752454773285"/>
    <n v="586982.00743494427"/>
    <x v="3"/>
    <x v="3"/>
    <x v="9"/>
    <m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x v="3"/>
    <n v="1.686226108869315E-2"/>
    <n v="17470677.272727273"/>
    <x v="3"/>
    <x v="3"/>
    <x v="9"/>
    <m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x v="6"/>
    <n v="7.2902902446803655E-2"/>
    <n v="9123092.307692308"/>
    <x v="4"/>
    <x v="6"/>
    <x v="9"/>
    <m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x v="3"/>
    <n v="7.6958558309674338E-2"/>
    <n v="489316.58291457285"/>
    <x v="3"/>
    <x v="3"/>
    <x v="9"/>
    <m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x v="8"/>
    <n v="5.677084291560331E-2"/>
    <n v="1798549.6062992127"/>
    <x v="2"/>
    <x v="8"/>
    <x v="9"/>
    <m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x v="7"/>
    <n v="0.13609970182530534"/>
    <n v="1332306000"/>
    <x v="1"/>
    <x v="7"/>
    <x v="9"/>
    <m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x v="2"/>
    <n v="0.24354232308933438"/>
    <n v="511878.80532565672"/>
    <x v="2"/>
    <x v="2"/>
    <x v="9"/>
    <m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x v="3"/>
    <n v="1.1674571324334184E-2"/>
    <n v="16090356.521739131"/>
    <x v="3"/>
    <x v="3"/>
    <x v="9"/>
    <m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x v="1"/>
    <n v="6.6772389616893413E-3"/>
    <n v="1258788.326848249"/>
    <x v="1"/>
    <x v="1"/>
    <x v="9"/>
    <m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x v="7"/>
    <n v="3.4976755031551947E-2"/>
    <n v="2676255.5956678702"/>
    <x v="1"/>
    <x v="7"/>
    <x v="9"/>
    <m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x v="1"/>
    <n v="0.19180547212762281"/>
    <n v="10363653.333333334"/>
    <x v="1"/>
    <x v="1"/>
    <x v="9"/>
    <m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x v="18"/>
    <n v="4.5982422671524019E-2"/>
    <n v="10785983.606557377"/>
    <x v="5"/>
    <x v="18"/>
    <x v="9"/>
    <m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x v="22"/>
    <n v="1.7953097532695833E-2"/>
    <n v="6534032.5791855203"/>
    <x v="4"/>
    <x v="22"/>
    <x v="9"/>
    <m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x v="3"/>
    <n v="0.25486618907066538"/>
    <n v="11587342.857142856"/>
    <x v="3"/>
    <x v="3"/>
    <x v="9"/>
    <m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x v="3"/>
    <n v="4.1139666719723772E-2"/>
    <n v="1439059.4911937378"/>
    <x v="3"/>
    <x v="3"/>
    <x v="9"/>
    <m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x v="10"/>
    <n v="0.26150200212470376"/>
    <n v="417076.48725212464"/>
    <x v="4"/>
    <x v="10"/>
    <x v="9"/>
    <m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x v="3"/>
    <n v="1.3102546534512927E-2"/>
    <n v="6661618.1818181816"/>
    <x v="3"/>
    <x v="3"/>
    <x v="9"/>
    <m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x v="1"/>
    <n v="1.1131389823590661E-2"/>
    <n v="59713061.538461536"/>
    <x v="1"/>
    <x v="1"/>
    <x v="9"/>
    <m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x v="4"/>
    <n v="0.11205580379028757"/>
    <n v="18162550.588235293"/>
    <x v="4"/>
    <x v="4"/>
    <x v="9"/>
    <m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x v="3"/>
    <n v="4.8457805113812751E-2"/>
    <n v="797255.19553072623"/>
    <x v="3"/>
    <x v="3"/>
    <x v="9"/>
    <m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x v="3"/>
    <n v="0.130776649829173"/>
    <n v="367926.80756395997"/>
    <x v="3"/>
    <x v="3"/>
    <x v="9"/>
    <m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x v="5"/>
    <n v="0.13620879745677658"/>
    <n v="39412897.297297299"/>
    <x v="1"/>
    <x v="5"/>
    <x v="9"/>
    <m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x v="1"/>
    <n v="1.229920900712073E-2"/>
    <n v="5758775.409836066"/>
    <x v="1"/>
    <x v="1"/>
    <x v="9"/>
    <m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x v="3"/>
    <n v="0.30394709069162035"/>
    <n v="247694.59459459459"/>
    <x v="3"/>
    <x v="3"/>
    <x v="9"/>
    <m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x v="10"/>
    <n v="8.0078744098363394E-2"/>
    <n v="2199936.1629881156"/>
    <x v="4"/>
    <x v="10"/>
    <x v="9"/>
    <m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x v="1"/>
    <n v="3.653134846340015E-2"/>
    <n v="520944.44036697247"/>
    <x v="1"/>
    <x v="1"/>
    <x v="9"/>
    <m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x v="12"/>
    <n v="0.28304372373125902"/>
    <n v="41107165.714285716"/>
    <x v="4"/>
    <x v="12"/>
    <x v="9"/>
    <m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x v="1"/>
    <n v="9.5772779081628831E-2"/>
    <n v="15370200"/>
    <x v="1"/>
    <x v="1"/>
    <x v="9"/>
    <m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x v="23"/>
    <n v="1.2351619734800432E-2"/>
    <n v="4663932"/>
    <x v="8"/>
    <x v="23"/>
    <x v="9"/>
    <m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x v="0"/>
    <n v="5.4832828414371683E-2"/>
    <n v="10948350"/>
    <x v="0"/>
    <x v="0"/>
    <x v="9"/>
    <m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x v="3"/>
    <n v="1.8506856533305915E-2"/>
    <n v="2510432.2580645164"/>
    <x v="3"/>
    <x v="3"/>
    <x v="9"/>
    <m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x v="3"/>
    <n v="9.7541431259524594E-2"/>
    <n v="23609137.5"/>
    <x v="3"/>
    <x v="3"/>
    <x v="9"/>
    <m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x v="17"/>
    <n v="0.17254654325295934"/>
    <n v="35190972.972972974"/>
    <x v="1"/>
    <x v="17"/>
    <x v="9"/>
    <m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x v="22"/>
    <n v="1.9595995884840862E-2"/>
    <n v="5399911.8367346935"/>
    <x v="4"/>
    <x v="22"/>
    <x v="9"/>
    <m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x v="17"/>
    <n v="7.8982659466812197E-2"/>
    <n v="15100344.827586208"/>
    <x v="1"/>
    <x v="17"/>
    <x v="9"/>
    <m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x v="3"/>
    <n v="4.9605481405695324E-2"/>
    <n v="447395.89216944802"/>
    <x v="3"/>
    <x v="3"/>
    <x v="9"/>
    <m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x v="2"/>
    <n v="9.9382448507468871E-2"/>
    <n v="18385200"/>
    <x v="2"/>
    <x v="2"/>
    <x v="9"/>
    <m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x v="11"/>
    <n v="3.0127363428895656E-2"/>
    <n v="34151057.142857142"/>
    <x v="6"/>
    <x v="11"/>
    <x v="9"/>
    <m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x v="4"/>
    <n v="0.11045954419193971"/>
    <n v="1464451.4851485149"/>
    <x v="4"/>
    <x v="4"/>
    <x v="9"/>
    <m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x v="2"/>
    <n v="9.0584349935970879E-2"/>
    <n v="828604.83570985741"/>
    <x v="2"/>
    <x v="2"/>
    <x v="9"/>
    <m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x v="18"/>
    <n v="6.8091094535973382E-2"/>
    <n v="9336414.7058823537"/>
    <x v="5"/>
    <x v="18"/>
    <x v="9"/>
    <m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x v="1"/>
    <n v="0.12725841831181661"/>
    <n v="9935501.538461538"/>
    <x v="1"/>
    <x v="1"/>
    <x v="9"/>
    <m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x v="0"/>
    <n v="0.29002293204578966"/>
    <n v="9951069.2307692301"/>
    <x v="0"/>
    <x v="0"/>
    <x v="9"/>
    <m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x v="3"/>
    <n v="0.21098183117483418"/>
    <n v="929950"/>
    <x v="3"/>
    <x v="3"/>
    <x v="9"/>
    <m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x v="4"/>
    <n v="4.2114868303297248E-2"/>
    <n v="14085070.588235294"/>
    <x v="4"/>
    <x v="4"/>
    <x v="9"/>
    <m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x v="15"/>
    <n v="6.6970061338487999E-2"/>
    <n v="16512697.674418604"/>
    <x v="5"/>
    <x v="15"/>
    <x v="9"/>
    <m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x v="11"/>
    <n v="6.7548360404276947E-2"/>
    <n v="12548505.882352941"/>
    <x v="6"/>
    <x v="11"/>
    <x v="9"/>
    <m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x v="3"/>
    <n v="5.5486340341908885E-2"/>
    <n v="5542306.7193675889"/>
    <x v="3"/>
    <x v="3"/>
    <x v="9"/>
    <m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x v="10"/>
    <n v="8.0469404861693211E-2"/>
    <n v="348710.23464802798"/>
    <x v="4"/>
    <x v="10"/>
    <x v="9"/>
    <m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x v="3"/>
    <n v="1.766866829774651E-2"/>
    <n v="9345622.9299363066"/>
    <x v="3"/>
    <x v="3"/>
    <x v="9"/>
    <m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x v="3"/>
    <n v="0.14301077404581453"/>
    <n v="779944.75138121552"/>
    <x v="3"/>
    <x v="3"/>
    <x v="9"/>
    <m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x v="6"/>
    <n v="4.1505462415321444E-2"/>
    <n v="7965914.7540983604"/>
    <x v="4"/>
    <x v="6"/>
    <x v="9"/>
    <m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x v="3"/>
    <n v="9.8807448983792831E-2"/>
    <n v="720075.68555758684"/>
    <x v="3"/>
    <x v="3"/>
    <x v="9"/>
    <m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x v="1"/>
    <n v="0.19627472821872222"/>
    <n v="530960.39850560401"/>
    <x v="1"/>
    <x v="1"/>
    <x v="9"/>
    <m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x v="4"/>
    <n v="4.8548844689211536E-2"/>
    <n v="17370878.048780486"/>
    <x v="4"/>
    <x v="4"/>
    <x v="9"/>
    <m/>
  </r>
  <r>
    <n v="600"/>
    <s v="Brown-George"/>
    <s v="Cross-platform tertiary array"/>
    <n v="100"/>
    <n v="5"/>
    <x v="0"/>
    <n v="1"/>
    <x v="4"/>
    <s v="GBP"/>
    <n v="1375160400"/>
    <n v="1376197200"/>
    <b v="0"/>
    <b v="0"/>
    <x v="0"/>
    <n v="7.539484121270508E-2"/>
    <n v="1376197200"/>
    <x v="0"/>
    <x v="0"/>
    <x v="9"/>
    <m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x v="8"/>
    <n v="0.10480753175693899"/>
    <n v="7231416.4948453605"/>
    <x v="2"/>
    <x v="8"/>
    <x v="9"/>
    <m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x v="3"/>
    <n v="6.6300174037956849E-2"/>
    <n v="1258272.6315789474"/>
    <x v="3"/>
    <x v="3"/>
    <x v="9"/>
    <m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x v="3"/>
    <n v="0.1499649387527453"/>
    <n v="15273494.117647059"/>
    <x v="3"/>
    <x v="3"/>
    <x v="9"/>
    <m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x v="3"/>
    <n v="0.14003500875218805"/>
    <n v="454144.34721736086"/>
    <x v="3"/>
    <x v="3"/>
    <x v="9"/>
    <m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x v="9"/>
    <n v="0.2455936509677886"/>
    <n v="13527050.46728972"/>
    <x v="5"/>
    <x v="9"/>
    <x v="9"/>
    <m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x v="1"/>
    <n v="6.4968108810466038E-2"/>
    <n v="9114232.5"/>
    <x v="1"/>
    <x v="1"/>
    <x v="9"/>
    <m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x v="0"/>
    <n v="1.2382207799243138E-2"/>
    <n v="625885.02242152463"/>
    <x v="0"/>
    <x v="0"/>
    <x v="9"/>
    <m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x v="17"/>
    <n v="2.2270164938409075E-2"/>
    <n v="4912017.7215189878"/>
    <x v="1"/>
    <x v="17"/>
    <x v="9"/>
    <m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x v="22"/>
    <n v="9.490711663805497E-2"/>
    <n v="13240061.538461538"/>
    <x v="4"/>
    <x v="22"/>
    <x v="9"/>
    <m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x v="3"/>
    <n v="8.9227386434250572E-2"/>
    <n v="211808.80424601937"/>
    <x v="3"/>
    <x v="3"/>
    <x v="9"/>
    <m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x v="3"/>
    <n v="7.5418533580887695E-2"/>
    <n v="91717680"/>
    <x v="3"/>
    <x v="3"/>
    <x v="9"/>
    <m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x v="5"/>
    <n v="0.15458802152491438"/>
    <n v="6717712.5"/>
    <x v="1"/>
    <x v="5"/>
    <x v="9"/>
    <m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x v="3"/>
    <n v="5.1711631047088702E-2"/>
    <n v="57865430.769230768"/>
    <x v="3"/>
    <x v="3"/>
    <x v="9"/>
    <m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x v="3"/>
    <n v="0.10478976553289962"/>
    <n v="2054868.0497925312"/>
    <x v="3"/>
    <x v="3"/>
    <x v="9"/>
    <m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x v="3"/>
    <n v="5.9100927145794596E-2"/>
    <n v="8604529.4117647056"/>
    <x v="3"/>
    <x v="3"/>
    <x v="9"/>
    <m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x v="7"/>
    <n v="6.262443344457868E-3"/>
    <n v="5797225.2100840332"/>
    <x v="1"/>
    <x v="7"/>
    <x v="9"/>
    <m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x v="3"/>
    <n v="6.1632490594625132E-2"/>
    <n v="25504036.363636363"/>
    <x v="3"/>
    <x v="3"/>
    <x v="9"/>
    <m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x v="9"/>
    <n v="0.13268290628216706"/>
    <n v="1142975.959933222"/>
    <x v="5"/>
    <x v="9"/>
    <x v="9"/>
    <m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x v="3"/>
    <n v="6.6224251872904621E-3"/>
    <n v="2013494.4444444445"/>
    <x v="3"/>
    <x v="3"/>
    <x v="9"/>
    <m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x v="14"/>
    <n v="2.3542972054982649E-2"/>
    <n v="11471090.625"/>
    <x v="7"/>
    <x v="14"/>
    <x v="9"/>
    <m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x v="3"/>
    <n v="2.9313120308374029E-2"/>
    <n v="687581.52985074627"/>
    <x v="3"/>
    <x v="3"/>
    <x v="9"/>
    <m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x v="7"/>
    <n v="0.14742397860462259"/>
    <n v="23843981.25"/>
    <x v="1"/>
    <x v="7"/>
    <x v="9"/>
    <m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x v="3"/>
    <n v="3.0062153502366143E-2"/>
    <n v="533774.52655031567"/>
    <x v="3"/>
    <x v="3"/>
    <x v="9"/>
    <m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x v="14"/>
    <n v="3.6451451223401828E-2"/>
    <n v="3293250"/>
    <x v="7"/>
    <x v="14"/>
    <x v="9"/>
    <m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x v="3"/>
    <n v="7.6551884406654544E-2"/>
    <n v="25505070.967741936"/>
    <x v="3"/>
    <x v="3"/>
    <x v="9"/>
    <m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x v="3"/>
    <n v="6.0483024151207564E-2"/>
    <n v="6806495.2380952379"/>
    <x v="3"/>
    <x v="3"/>
    <x v="9"/>
    <m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x v="0"/>
    <n v="0.16242326487681491"/>
    <n v="8303493.506493507"/>
    <x v="0"/>
    <x v="0"/>
    <x v="9"/>
    <m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x v="7"/>
    <n v="2.0152882002076867E-2"/>
    <n v="13400287.5"/>
    <x v="1"/>
    <x v="7"/>
    <x v="9"/>
    <m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x v="3"/>
    <n v="1.1772871869458473E-2"/>
    <n v="1957272"/>
    <x v="3"/>
    <x v="3"/>
    <x v="9"/>
    <m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x v="3"/>
    <n v="6.1052743557663623E-2"/>
    <n v="17903875.862068966"/>
    <x v="3"/>
    <x v="3"/>
    <x v="9"/>
    <m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x v="3"/>
    <n v="2.2245446055951933E-2"/>
    <n v="507320.27424094023"/>
    <x v="3"/>
    <x v="3"/>
    <x v="9"/>
    <m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x v="3"/>
    <n v="0.11016998745639633"/>
    <n v="5095191.3669064753"/>
    <x v="3"/>
    <x v="3"/>
    <x v="9"/>
    <m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x v="10"/>
    <n v="2.3885944614465925E-2"/>
    <n v="13783062.857142856"/>
    <x v="4"/>
    <x v="10"/>
    <x v="9"/>
    <m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x v="19"/>
    <n v="8.1158440115457545E-2"/>
    <n v="899654.76477683953"/>
    <x v="4"/>
    <x v="19"/>
    <x v="9"/>
    <m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x v="19"/>
    <n v="0.20297126646660635"/>
    <n v="601566.99029126216"/>
    <x v="4"/>
    <x v="19"/>
    <x v="9"/>
    <m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x v="10"/>
    <n v="0.29302121147991989"/>
    <n v="511042.39631336404"/>
    <x v="4"/>
    <x v="10"/>
    <x v="9"/>
    <m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x v="3"/>
    <n v="4.6731019174321306E-2"/>
    <n v="22766067.692307692"/>
    <x v="3"/>
    <x v="3"/>
    <x v="9"/>
    <m/>
  </r>
  <r>
    <n v="638"/>
    <s v="Weaver Ltd"/>
    <s v="Monitored 24/7 approach"/>
    <n v="81600"/>
    <n v="9318"/>
    <x v="0"/>
    <n v="94"/>
    <x v="1"/>
    <s v="USD"/>
    <n v="1280206800"/>
    <n v="1281243600"/>
    <b v="0"/>
    <b v="1"/>
    <x v="3"/>
    <n v="8.0986915551456221E-2"/>
    <n v="13630251.063829787"/>
    <x v="3"/>
    <x v="3"/>
    <x v="9"/>
    <m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x v="6"/>
    <n v="0"/>
    <n v="34061200"/>
    <x v="4"/>
    <x v="6"/>
    <x v="9"/>
    <m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x v="3"/>
    <n v="1.7837765522572206E-2"/>
    <n v="5655081.7120622564"/>
    <x v="3"/>
    <x v="3"/>
    <x v="9"/>
    <m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x v="3"/>
    <n v="0.16238559196929436"/>
    <n v="7680340.2061855672"/>
    <x v="3"/>
    <x v="3"/>
    <x v="9"/>
    <m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x v="8"/>
    <n v="5.0329237092647736E-2"/>
    <n v="11982976.744186046"/>
    <x v="2"/>
    <x v="8"/>
    <x v="9"/>
    <m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x v="3"/>
    <n v="0.10424981254384055"/>
    <n v="3973065.6"/>
    <x v="3"/>
    <x v="3"/>
    <x v="9"/>
    <m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x v="3"/>
    <n v="8.9469196035396242E-2"/>
    <n v="528174.59016393439"/>
    <x v="3"/>
    <x v="3"/>
    <x v="9"/>
    <m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x v="1"/>
    <n v="0.11797614728292038"/>
    <n v="327816.13796040026"/>
    <x v="1"/>
    <x v="1"/>
    <x v="9"/>
    <m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x v="11"/>
    <n v="6.9720826191790375E-2"/>
    <n v="467959.24528301886"/>
    <x v="6"/>
    <x v="11"/>
    <x v="9"/>
    <m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x v="18"/>
    <n v="0.13612998522895126"/>
    <n v="84740200"/>
    <x v="5"/>
    <x v="18"/>
    <x v="9"/>
    <m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x v="0"/>
    <n v="0.10372721662900954"/>
    <n v="2075895.4356846474"/>
    <x v="0"/>
    <x v="0"/>
    <x v="9"/>
    <m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x v="3"/>
    <n v="7.3814563277813966E-2"/>
    <n v="2140367.4418604653"/>
    <x v="3"/>
    <x v="3"/>
    <x v="9"/>
    <m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x v="17"/>
    <n v="0.16605974563132175"/>
    <n v="1407128400"/>
    <x v="1"/>
    <x v="17"/>
    <x v="9"/>
    <m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x v="12"/>
    <n v="9.3033352456855789E-2"/>
    <n v="360482.10961737332"/>
    <x v="4"/>
    <x v="12"/>
    <x v="9"/>
    <m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x v="2"/>
    <n v="0.25267054649799109"/>
    <n v="3604128.1173594133"/>
    <x v="2"/>
    <x v="2"/>
    <x v="9"/>
    <m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x v="2"/>
    <n v="1.1834873921608754E-2"/>
    <n v="6240446.153846154"/>
    <x v="2"/>
    <x v="2"/>
    <x v="9"/>
    <m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x v="16"/>
    <n v="2.999182722708062E-2"/>
    <n v="477726.92307692306"/>
    <x v="1"/>
    <x v="16"/>
    <x v="9"/>
    <m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x v="14"/>
    <n v="7.5219976103750363E-2"/>
    <n v="5642250"/>
    <x v="7"/>
    <x v="14"/>
    <x v="9"/>
    <m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x v="0"/>
    <n v="2.8525380457261849E-2"/>
    <n v="3005700"/>
    <x v="0"/>
    <x v="0"/>
    <x v="9"/>
    <m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x v="22"/>
    <n v="9.1286425423269479E-2"/>
    <n v="108266914.28571428"/>
    <x v="4"/>
    <x v="22"/>
    <x v="9"/>
    <m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x v="1"/>
    <n v="0.13791277017286566"/>
    <n v="3699738.4615384615"/>
    <x v="1"/>
    <x v="1"/>
    <x v="9"/>
    <m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x v="4"/>
    <n v="6.66611115740355E-3"/>
    <n v="1728259.2"/>
    <x v="4"/>
    <x v="4"/>
    <x v="9"/>
    <m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x v="3"/>
    <n v="5.3995005461994768E-2"/>
    <n v="18713127.272727273"/>
    <x v="3"/>
    <x v="3"/>
    <x v="9"/>
    <m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x v="17"/>
    <n v="0.19446162488892729"/>
    <n v="1775934.5744680851"/>
    <x v="1"/>
    <x v="17"/>
    <x v="9"/>
    <m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x v="3"/>
    <n v="2.2378561338237971E-2"/>
    <n v="11791456.488549618"/>
    <x v="3"/>
    <x v="3"/>
    <x v="9"/>
    <m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x v="3"/>
    <n v="0.15447429765965842"/>
    <n v="14809365.517241379"/>
    <x v="3"/>
    <x v="3"/>
    <x v="9"/>
    <m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x v="17"/>
    <n v="6.4976202465846886E-2"/>
    <n v="1251723.0479774224"/>
    <x v="1"/>
    <x v="17"/>
    <x v="9"/>
    <m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x v="4"/>
    <n v="9.2322656694354313E-2"/>
    <n v="4821313.2352941176"/>
    <x v="4"/>
    <x v="4"/>
    <x v="9"/>
    <m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x v="3"/>
    <n v="3.7624140066312546E-2"/>
    <n v="55134288"/>
    <x v="3"/>
    <x v="3"/>
    <x v="9"/>
    <m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x v="23"/>
    <n v="5.5136219646362415E-2"/>
    <n v="3367787.1121718376"/>
    <x v="8"/>
    <x v="23"/>
    <x v="9"/>
    <m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x v="3"/>
    <n v="7.7154499205683721E-2"/>
    <n v="17695184.210526317"/>
    <x v="3"/>
    <x v="3"/>
    <x v="9"/>
    <m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x v="3"/>
    <n v="5.1893512590182996E-2"/>
    <n v="924880.19740900677"/>
    <x v="3"/>
    <x v="3"/>
    <x v="9"/>
    <m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x v="7"/>
    <n v="7.1190211345939933E-2"/>
    <n v="1323720.9809264306"/>
    <x v="1"/>
    <x v="7"/>
    <x v="9"/>
    <m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x v="3"/>
    <n v="2.6988352838977932E-2"/>
    <n v="1193753.9608574091"/>
    <x v="3"/>
    <x v="3"/>
    <x v="9"/>
    <m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x v="3"/>
    <n v="5.6782020919442872E-2"/>
    <n v="343828.45528455282"/>
    <x v="3"/>
    <x v="3"/>
    <x v="9"/>
    <m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x v="7"/>
    <n v="0.12421472388102005"/>
    <n v="25215703.44827586"/>
    <x v="1"/>
    <x v="7"/>
    <x v="9"/>
    <m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x v="14"/>
    <n v="0.30910461053641158"/>
    <n v="1081930.0492610838"/>
    <x v="7"/>
    <x v="14"/>
    <x v="9"/>
    <m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x v="23"/>
    <n v="3.856705042412277E-2"/>
    <n v="4739525.0755287008"/>
    <x v="8"/>
    <x v="23"/>
    <x v="9"/>
    <m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x v="14"/>
    <n v="5.7658273294876689E-2"/>
    <n v="1153344.6153846155"/>
    <x v="7"/>
    <x v="14"/>
    <x v="9"/>
    <m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x v="13"/>
    <n v="0.29425251279385406"/>
    <n v="13265286.486486487"/>
    <x v="5"/>
    <x v="13"/>
    <x v="9"/>
    <m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x v="6"/>
    <n v="1.1163673406734485E-2"/>
    <n v="7200234.4186046515"/>
    <x v="4"/>
    <x v="6"/>
    <x v="9"/>
    <m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x v="0"/>
    <n v="2.7491849812024478E-2"/>
    <n v="4330046.2809917359"/>
    <x v="0"/>
    <x v="0"/>
    <x v="9"/>
    <m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x v="20"/>
    <n v="1.0962358003206491E-2"/>
    <n v="533494.41624365479"/>
    <x v="6"/>
    <x v="20"/>
    <x v="9"/>
    <m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x v="3"/>
    <n v="3.914085816331523E-2"/>
    <n v="799617.13940856967"/>
    <x v="3"/>
    <x v="3"/>
    <x v="9"/>
    <m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x v="3"/>
    <n v="5.6073892930016661E-2"/>
    <n v="13471060.194174757"/>
    <x v="3"/>
    <x v="3"/>
    <x v="9"/>
    <m/>
  </r>
  <r>
    <n v="683"/>
    <s v="Jones PLC"/>
    <s v="Virtual systemic intranet"/>
    <n v="2300"/>
    <n v="8244"/>
    <x v="1"/>
    <n v="147"/>
    <x v="1"/>
    <s v="USD"/>
    <n v="1537074000"/>
    <n v="1537246800"/>
    <b v="0"/>
    <b v="0"/>
    <x v="3"/>
    <n v="1.1242139285421521E-2"/>
    <n v="10457461.224489795"/>
    <x v="3"/>
    <x v="3"/>
    <x v="9"/>
    <m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x v="9"/>
    <n v="0.13523374307279237"/>
    <n v="11631960"/>
    <x v="5"/>
    <x v="9"/>
    <x v="9"/>
    <m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x v="3"/>
    <n v="0.1439694065011185"/>
    <n v="1557645.3563714903"/>
    <x v="3"/>
    <x v="3"/>
    <x v="9"/>
    <m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x v="8"/>
    <n v="6.2438950552608362E-2"/>
    <n v="11366247.76119403"/>
    <x v="2"/>
    <x v="8"/>
    <x v="9"/>
    <m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x v="3"/>
    <n v="1.7162443738608729E-2"/>
    <n v="5537375.4646840151"/>
    <x v="3"/>
    <x v="3"/>
    <x v="9"/>
    <m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x v="19"/>
    <n v="8.9354275741710301E-2"/>
    <n v="8848470.8571428563"/>
    <x v="4"/>
    <x v="19"/>
    <x v="9"/>
    <m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x v="2"/>
    <n v="7.5226525549687243E-2"/>
    <n v="20058886.956521738"/>
    <x v="2"/>
    <x v="2"/>
    <x v="9"/>
    <m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x v="4"/>
    <n v="3.9202234527368061E-2"/>
    <n v="6962589.4736842103"/>
    <x v="4"/>
    <x v="4"/>
    <x v="9"/>
    <m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x v="4"/>
    <n v="0.10886125259812855"/>
    <n v="5699194.936708861"/>
    <x v="4"/>
    <x v="4"/>
    <x v="9"/>
    <m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x v="1"/>
    <n v="9.9523347670531642E-2"/>
    <n v="20314332.467532467"/>
    <x v="1"/>
    <x v="1"/>
    <x v="9"/>
    <m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x v="3"/>
    <n v="9.7386555404118405E-2"/>
    <n v="863664.30205949652"/>
    <x v="3"/>
    <x v="3"/>
    <x v="9"/>
    <m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x v="3"/>
    <n v="0.21146180114017918"/>
    <n v="19176698.734177217"/>
    <x v="3"/>
    <x v="3"/>
    <x v="9"/>
    <m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x v="1"/>
    <n v="9.5503857460492739E-2"/>
    <n v="7392159.1836734693"/>
    <x v="1"/>
    <x v="1"/>
    <x v="9"/>
    <m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x v="3"/>
    <n v="6.0440459851165366E-3"/>
    <n v="1608090.438695163"/>
    <x v="3"/>
    <x v="3"/>
    <x v="9"/>
    <m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x v="5"/>
    <n v="1.1349959447540723E-2"/>
    <n v="208724.49623029472"/>
    <x v="1"/>
    <x v="5"/>
    <x v="9"/>
    <m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x v="8"/>
    <n v="9.1489813589504809E-2"/>
    <n v="457422.74455582438"/>
    <x v="2"/>
    <x v="8"/>
    <x v="9"/>
    <m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x v="6"/>
    <n v="5.5333580797403007E-3"/>
    <n v="27884378.571428571"/>
    <x v="4"/>
    <x v="6"/>
    <x v="9"/>
    <m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x v="8"/>
    <n v="0.10249927396347609"/>
    <n v="1265695200"/>
    <x v="2"/>
    <x v="8"/>
    <x v="9"/>
    <m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x v="3"/>
    <n v="4.6480100706884867E-2"/>
    <n v="1587569.2682926829"/>
    <x v="3"/>
    <x v="3"/>
    <x v="9"/>
    <m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x v="8"/>
    <n v="3.1430315062716575E-2"/>
    <n v="16565074.698795181"/>
    <x v="2"/>
    <x v="8"/>
    <x v="9"/>
    <m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x v="18"/>
    <n v="0.11002375758098747"/>
    <n v="655767.0264965652"/>
    <x v="5"/>
    <x v="18"/>
    <x v="9"/>
    <m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x v="10"/>
    <n v="8.830693528328129E-2"/>
    <n v="12662968.965517242"/>
    <x v="4"/>
    <x v="10"/>
    <x v="9"/>
    <m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x v="9"/>
    <n v="2.4921730191118516E-2"/>
    <n v="684981.33333333337"/>
    <x v="5"/>
    <x v="9"/>
    <x v="9"/>
    <m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x v="2"/>
    <n v="4.4687120334036226E-2"/>
    <n v="1150517.1747211895"/>
    <x v="2"/>
    <x v="2"/>
    <x v="9"/>
    <m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x v="6"/>
    <n v="0.20141832067475138"/>
    <n v="9210471.4285714291"/>
    <x v="4"/>
    <x v="6"/>
    <x v="9"/>
    <m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x v="3"/>
    <n v="5.7776055195391397E-2"/>
    <n v="10921848.175182482"/>
    <x v="3"/>
    <x v="3"/>
    <x v="9"/>
    <m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x v="3"/>
    <n v="4.5309765063474124E-2"/>
    <n v="7179658.064516129"/>
    <x v="3"/>
    <x v="3"/>
    <x v="9"/>
    <m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x v="3"/>
    <n v="3.9489550547799984E-2"/>
    <n v="12257193.6"/>
    <x v="3"/>
    <x v="3"/>
    <x v="9"/>
    <m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x v="3"/>
    <n v="1.188760271631722E-2"/>
    <n v="103842000"/>
    <x v="3"/>
    <x v="3"/>
    <x v="9"/>
    <m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x v="3"/>
    <n v="0.24131546356357214"/>
    <n v="7284635.6435643565"/>
    <x v="3"/>
    <x v="3"/>
    <x v="9"/>
    <m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x v="15"/>
    <n v="7.0442343675476027E-2"/>
    <n v="14299794.174757281"/>
    <x v="5"/>
    <x v="15"/>
    <x v="9"/>
    <m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x v="1"/>
    <n v="6.1345145681940758E-3"/>
    <n v="789081.68067226897"/>
    <x v="1"/>
    <x v="1"/>
    <x v="9"/>
    <m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x v="20"/>
    <n v="3.3719515450562974E-2"/>
    <n v="1953642.0731707318"/>
    <x v="6"/>
    <x v="20"/>
    <x v="9"/>
    <m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x v="3"/>
    <n v="0.17614263359448926"/>
    <n v="8763385.9872611463"/>
    <x v="3"/>
    <x v="3"/>
    <x v="9"/>
    <m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x v="4"/>
    <n v="0.13808332671227436"/>
    <n v="2370817.2972972975"/>
    <x v="4"/>
    <x v="4"/>
    <x v="9"/>
    <m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x v="8"/>
    <n v="0.16379801394908086"/>
    <n v="4625224.2424242422"/>
    <x v="2"/>
    <x v="8"/>
    <x v="9"/>
    <m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x v="13"/>
    <n v="7.1017186697189705E-2"/>
    <n v="10887951.219512194"/>
    <x v="5"/>
    <x v="13"/>
    <x v="9"/>
    <m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x v="3"/>
    <n v="7.9621230432371723E-2"/>
    <n v="40010589.473684214"/>
    <x v="3"/>
    <x v="3"/>
    <x v="9"/>
    <m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x v="1"/>
    <n v="3.4042150801999974E-2"/>
    <n v="25388940"/>
    <x v="1"/>
    <x v="1"/>
    <x v="9"/>
    <m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x v="4"/>
    <n v="0.15449538659609469"/>
    <n v="498116.20553359686"/>
    <x v="4"/>
    <x v="4"/>
    <x v="9"/>
    <m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x v="3"/>
    <n v="0.12429143995216138"/>
    <n v="10129925"/>
    <x v="3"/>
    <x v="3"/>
    <x v="9"/>
    <m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x v="3"/>
    <n v="1.2221048209489133E-2"/>
    <n v="11686998.347107438"/>
    <x v="3"/>
    <x v="3"/>
    <x v="9"/>
    <m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x v="20"/>
    <n v="1.2203120948182497E-2"/>
    <n v="887345.86466165411"/>
    <x v="6"/>
    <x v="20"/>
    <x v="9"/>
    <m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x v="3"/>
    <n v="4.0248984691410479E-2"/>
    <n v="2458971.755725191"/>
    <x v="3"/>
    <x v="3"/>
    <x v="9"/>
    <m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x v="2"/>
    <n v="0.32349589525337796"/>
    <n v="8579953.591160221"/>
    <x v="2"/>
    <x v="2"/>
    <x v="9"/>
    <m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x v="3"/>
    <n v="6.4911275629504148E-2"/>
    <n v="146510280"/>
    <x v="3"/>
    <x v="3"/>
    <x v="9"/>
    <m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x v="6"/>
    <n v="1.2706278489858801E-2"/>
    <n v="11148609.836065574"/>
    <x v="4"/>
    <x v="6"/>
    <x v="9"/>
    <m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x v="8"/>
    <n v="3.6192089515101403E-2"/>
    <n v="1337885.7142857143"/>
    <x v="2"/>
    <x v="8"/>
    <x v="9"/>
    <m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x v="2"/>
    <n v="5.7569833407294579E-3"/>
    <n v="6853298.6301369863"/>
    <x v="2"/>
    <x v="2"/>
    <x v="9"/>
    <m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x v="1"/>
    <n v="0.13335491492584547"/>
    <n v="1331084.7457627119"/>
    <x v="1"/>
    <x v="1"/>
    <x v="9"/>
    <m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x v="16"/>
    <n v="7.9876089655790378E-2"/>
    <n v="1436021.6326530613"/>
    <x v="1"/>
    <x v="16"/>
    <x v="9"/>
    <m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x v="3"/>
    <n v="6.9790773078209287E-2"/>
    <n v="2773544.7761194031"/>
    <x v="3"/>
    <x v="3"/>
    <x v="9"/>
    <m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x v="14"/>
    <n v="4.1444130598349636E-2"/>
    <n v="733259.06579608237"/>
    <x v="7"/>
    <x v="14"/>
    <x v="9"/>
    <m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x v="9"/>
    <n v="2.4262643111683978E-2"/>
    <n v="49129572.413793102"/>
    <x v="5"/>
    <x v="9"/>
    <x v="9"/>
    <m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x v="7"/>
    <n v="7.010881472285109E-2"/>
    <n v="8221560"/>
    <x v="1"/>
    <x v="7"/>
    <x v="9"/>
    <m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x v="3"/>
    <n v="0.13422614054087034"/>
    <n v="94534560"/>
    <x v="3"/>
    <x v="3"/>
    <x v="9"/>
    <m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x v="7"/>
    <n v="6.4432124783548334E-3"/>
    <n v="7021112.0418848172"/>
    <x v="1"/>
    <x v="7"/>
    <x v="9"/>
    <m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x v="3"/>
    <n v="1.7441606953387305E-2"/>
    <n v="92897550"/>
    <x v="3"/>
    <x v="3"/>
    <x v="9"/>
    <m/>
  </r>
  <r>
    <n v="741"/>
    <s v="Garcia Ltd"/>
    <s v="Balanced mobile alliance"/>
    <n v="1200"/>
    <n v="14150"/>
    <x v="1"/>
    <n v="130"/>
    <x v="1"/>
    <s v="USD"/>
    <n v="1274590800"/>
    <n v="1274677200"/>
    <b v="0"/>
    <b v="0"/>
    <x v="3"/>
    <n v="6.7786461349007071E-3"/>
    <n v="9805209.2307692301"/>
    <x v="3"/>
    <x v="3"/>
    <x v="9"/>
    <m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x v="5"/>
    <n v="0.2871156836942218"/>
    <n v="10389422.950819673"/>
    <x v="1"/>
    <x v="5"/>
    <x v="9"/>
    <m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x v="3"/>
    <n v="3.5865415030099553E-2"/>
    <n v="85054235.294117644"/>
    <x v="3"/>
    <x v="3"/>
    <x v="9"/>
    <m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x v="3"/>
    <n v="1.1265569368916886E-2"/>
    <n v="10957500"/>
    <x v="3"/>
    <x v="3"/>
    <x v="9"/>
    <m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x v="8"/>
    <n v="0.18293664124938949"/>
    <n v="37574364.705882356"/>
    <x v="2"/>
    <x v="8"/>
    <x v="9"/>
    <m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x v="2"/>
    <n v="3.2773543011178512E-2"/>
    <n v="389187.83943329396"/>
    <x v="2"/>
    <x v="2"/>
    <x v="9"/>
    <m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x v="3"/>
    <n v="7.4053088210131249E-2"/>
    <n v="4586978.5714285718"/>
    <x v="3"/>
    <x v="3"/>
    <x v="9"/>
    <m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x v="10"/>
    <n v="0.17014048661883419"/>
    <n v="2067719.2182410425"/>
    <x v="4"/>
    <x v="10"/>
    <x v="9"/>
    <m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x v="8"/>
    <n v="7.3389071653725893E-2"/>
    <n v="3862790.1639344264"/>
    <x v="2"/>
    <x v="8"/>
    <x v="9"/>
    <m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x v="5"/>
    <n v="0.16901932172546191"/>
    <n v="1280120400"/>
    <x v="1"/>
    <x v="5"/>
    <x v="9"/>
    <m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x v="9"/>
    <n v="8.8877258037837026E-2"/>
    <n v="5405506.666666667"/>
    <x v="5"/>
    <x v="9"/>
    <x v="9"/>
    <m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x v="3"/>
    <n v="0.12140663071306722"/>
    <n v="11250347.368421054"/>
    <x v="3"/>
    <x v="3"/>
    <x v="9"/>
    <m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x v="14"/>
    <n v="0.10167969202351061"/>
    <n v="9313042.3357664235"/>
    <x v="7"/>
    <x v="14"/>
    <x v="9"/>
    <m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x v="3"/>
    <n v="0.33911489148589863"/>
    <n v="423083.68174726987"/>
    <x v="3"/>
    <x v="3"/>
    <x v="9"/>
    <m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x v="3"/>
    <n v="6.846481906745211E-2"/>
    <n v="5261775"/>
    <x v="3"/>
    <x v="3"/>
    <x v="9"/>
    <m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x v="3"/>
    <n v="3.646252715698637E-2"/>
    <n v="9609810.81081081"/>
    <x v="3"/>
    <x v="3"/>
    <x v="9"/>
    <m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x v="6"/>
    <n v="2.6479179366099479E-2"/>
    <n v="11451947.368421054"/>
    <x v="4"/>
    <x v="6"/>
    <x v="9"/>
    <m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x v="1"/>
    <n v="5.4987996833098698E-2"/>
    <n v="932084.58498023718"/>
    <x v="1"/>
    <x v="1"/>
    <x v="9"/>
    <m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x v="5"/>
    <n v="0.17077231780728344"/>
    <n v="1193408.4772370486"/>
    <x v="1"/>
    <x v="5"/>
    <x v="9"/>
    <m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x v="11"/>
    <n v="0.16013952386101912"/>
    <n v="7462577.1428571427"/>
    <x v="6"/>
    <x v="11"/>
    <x v="9"/>
    <m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x v="1"/>
    <n v="2.8786573941913491E-2"/>
    <n v="9042961.4457831327"/>
    <x v="1"/>
    <x v="1"/>
    <x v="9"/>
    <m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x v="17"/>
    <n v="7.0187752237234613E-2"/>
    <n v="13550328"/>
    <x v="1"/>
    <x v="17"/>
    <x v="9"/>
    <m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x v="3"/>
    <n v="0.22627054954112868"/>
    <n v="5699902.978723404"/>
    <x v="3"/>
    <x v="3"/>
    <x v="9"/>
    <m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x v="1"/>
    <n v="5.295485322955653E-2"/>
    <n v="8824013.5135135129"/>
    <x v="1"/>
    <x v="1"/>
    <x v="9"/>
    <m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x v="7"/>
    <n v="0.14474957117939538"/>
    <n v="7547436.3636363633"/>
    <x v="1"/>
    <x v="7"/>
    <x v="9"/>
    <m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x v="22"/>
    <n v="5.6201219098110933E-3"/>
    <n v="6199272.5806451617"/>
    <x v="4"/>
    <x v="22"/>
    <x v="9"/>
    <m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x v="18"/>
    <n v="0.2694813045786893"/>
    <n v="2822610.5263157897"/>
    <x v="5"/>
    <x v="18"/>
    <x v="9"/>
    <m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x v="3"/>
    <n v="9.3456488216694444E-2"/>
    <n v="9253584"/>
    <x v="3"/>
    <x v="3"/>
    <x v="9"/>
    <m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x v="11"/>
    <n v="0.16319143872606068"/>
    <n v="404337.00879765395"/>
    <x v="6"/>
    <x v="11"/>
    <x v="9"/>
    <m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x v="3"/>
    <n v="4.3278779744500631E-2"/>
    <n v="6472483.333333333"/>
    <x v="3"/>
    <x v="3"/>
    <x v="9"/>
    <m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x v="3"/>
    <n v="0.15065072744772559"/>
    <n v="59646738.461538464"/>
    <x v="3"/>
    <x v="3"/>
    <x v="9"/>
    <m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x v="7"/>
    <n v="2.2301205658930935E-2"/>
    <n v="301622.41681260947"/>
    <x v="1"/>
    <x v="7"/>
    <x v="9"/>
    <m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x v="3"/>
    <n v="5.7906534028533442E-2"/>
    <n v="634476.6680832979"/>
    <x v="3"/>
    <x v="3"/>
    <x v="9"/>
    <m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x v="2"/>
    <n v="0.24197058483601819"/>
    <n v="18814384.615384616"/>
    <x v="2"/>
    <x v="2"/>
    <x v="9"/>
    <m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x v="1"/>
    <n v="6.1049129286793541E-2"/>
    <n v="141611760"/>
    <x v="1"/>
    <x v="1"/>
    <x v="9"/>
    <m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x v="3"/>
    <n v="9.9550868880905363E-2"/>
    <n v="710482.3262153567"/>
    <x v="3"/>
    <x v="3"/>
    <x v="9"/>
    <m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x v="3"/>
    <n v="0.19028611266796988"/>
    <n v="1951567.4556213017"/>
    <x v="3"/>
    <x v="3"/>
    <x v="9"/>
    <m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x v="10"/>
    <n v="3.2896450198886457E-2"/>
    <n v="7549675.8620689651"/>
    <x v="4"/>
    <x v="10"/>
    <x v="9"/>
    <m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x v="3"/>
    <n v="5.4017690793734953E-2"/>
    <n v="1733220.2166064982"/>
    <x v="3"/>
    <x v="3"/>
    <x v="9"/>
    <m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x v="6"/>
    <n v="0.11173704548628892"/>
    <n v="8968324.3902439028"/>
    <x v="4"/>
    <x v="6"/>
    <x v="9"/>
    <m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x v="3"/>
    <n v="0.34225812129627819"/>
    <n v="23087700"/>
    <x v="3"/>
    <x v="3"/>
    <x v="9"/>
    <m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x v="10"/>
    <n v="0.18596427047131273"/>
    <n v="8083073.2919254657"/>
    <x v="4"/>
    <x v="10"/>
    <x v="9"/>
    <m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x v="1"/>
    <n v="4.3596730245231606E-2"/>
    <n v="10056991.304347826"/>
    <x v="1"/>
    <x v="1"/>
    <x v="9"/>
    <m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x v="2"/>
    <n v="6.4971960769781859E-2"/>
    <n v="440807.37605804112"/>
    <x v="2"/>
    <x v="2"/>
    <x v="9"/>
    <m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x v="10"/>
    <n v="0.18875038455577736"/>
    <n v="12277785.826771654"/>
    <x v="4"/>
    <x v="10"/>
    <x v="9"/>
    <m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x v="17"/>
    <n v="3.973387762438714E-2"/>
    <n v="7356191.3043478262"/>
    <x v="1"/>
    <x v="17"/>
    <x v="9"/>
    <m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x v="1"/>
    <n v="5.9542679144900967E-2"/>
    <n v="1521224.2142025612"/>
    <x v="1"/>
    <x v="1"/>
    <x v="9"/>
    <m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x v="10"/>
    <n v="0.13459595892291251"/>
    <n v="43629909.677419357"/>
    <x v="4"/>
    <x v="10"/>
    <x v="9"/>
    <m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x v="3"/>
    <n v="0.22815270815723013"/>
    <n v="31208080"/>
    <x v="3"/>
    <x v="3"/>
    <x v="9"/>
    <m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x v="3"/>
    <n v="4.0943753518603819E-2"/>
    <n v="1138046.3611859838"/>
    <x v="3"/>
    <x v="3"/>
    <x v="9"/>
    <m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x v="0"/>
    <n v="9.3314864766348329E-2"/>
    <n v="247136400"/>
    <x v="0"/>
    <x v="0"/>
    <x v="9"/>
    <m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x v="3"/>
    <n v="0.17629790147780666"/>
    <n v="196377428.57142857"/>
    <x v="3"/>
    <x v="3"/>
    <x v="9"/>
    <m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x v="9"/>
    <n v="2.5187000359439486E-2"/>
    <n v="7582773.4806629838"/>
    <x v="5"/>
    <x v="9"/>
    <x v="9"/>
    <m/>
  </r>
  <r>
    <n v="794"/>
    <s v="Welch Inc"/>
    <s v="Optional optimal website"/>
    <n v="6600"/>
    <n v="8276"/>
    <x v="1"/>
    <n v="110"/>
    <x v="1"/>
    <s v="USD"/>
    <n v="1513922400"/>
    <n v="1514959200"/>
    <b v="0"/>
    <b v="0"/>
    <x v="1"/>
    <n v="6.8484355605016478E-2"/>
    <n v="13772356.363636363"/>
    <x v="1"/>
    <x v="1"/>
    <x v="9"/>
    <m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x v="6"/>
    <n v="1.7537492479582216E-2"/>
    <n v="47685019.354838707"/>
    <x v="4"/>
    <x v="6"/>
    <x v="9"/>
    <m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x v="20"/>
    <n v="4.2970598391160332E-2"/>
    <n v="18052292.307692308"/>
    <x v="6"/>
    <x v="20"/>
    <x v="9"/>
    <m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x v="2"/>
    <n v="0.12852572610050153"/>
    <n v="8368307.0270270268"/>
    <x v="2"/>
    <x v="2"/>
    <x v="9"/>
    <m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x v="3"/>
    <n v="0.18074768215304918"/>
    <n v="11081484.297520662"/>
    <x v="3"/>
    <x v="3"/>
    <x v="9"/>
    <m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x v="3"/>
    <n v="2.3766729549471934E-2"/>
    <n v="1187329.9591836734"/>
    <x v="3"/>
    <x v="3"/>
    <x v="9"/>
    <m/>
  </r>
  <r>
    <n v="800"/>
    <s v="Wallace LLC"/>
    <s v="Centralized regional function"/>
    <n v="100"/>
    <n v="1"/>
    <x v="0"/>
    <n v="1"/>
    <x v="5"/>
    <s v="CHF"/>
    <n v="1434085200"/>
    <n v="1434430800"/>
    <b v="0"/>
    <b v="0"/>
    <x v="1"/>
    <n v="2.4098986587407778E-2"/>
    <n v="1434430800"/>
    <x v="1"/>
    <x v="1"/>
    <x v="9"/>
    <m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x v="14"/>
    <n v="0.12047368060784447"/>
    <n v="14902573.58490566"/>
    <x v="7"/>
    <x v="14"/>
    <x v="9"/>
    <m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x v="14"/>
    <n v="1.106120765343393E-2"/>
    <n v="11002740.845070422"/>
    <x v="7"/>
    <x v="14"/>
    <x v="9"/>
    <m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x v="3"/>
    <n v="0.18969773897033182"/>
    <n v="6658825.7510729618"/>
    <x v="3"/>
    <x v="3"/>
    <x v="9"/>
    <m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x v="1"/>
    <n v="0.11406898321760085"/>
    <n v="6956884.4036697252"/>
    <x v="1"/>
    <x v="1"/>
    <x v="9"/>
    <m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x v="4"/>
    <n v="0.31117958417865366"/>
    <n v="21200561.194029849"/>
    <x v="4"/>
    <x v="4"/>
    <x v="9"/>
    <m/>
  </r>
  <r>
    <n v="806"/>
    <s v="Harmon-Madden"/>
    <s v="Adaptive holistic hub"/>
    <n v="700"/>
    <n v="8262"/>
    <x v="1"/>
    <n v="76"/>
    <x v="1"/>
    <s v="USD"/>
    <n v="1330927200"/>
    <n v="1332997200"/>
    <b v="0"/>
    <b v="1"/>
    <x v="6"/>
    <n v="0.15553067064825182"/>
    <n v="17539436.842105262"/>
    <x v="4"/>
    <x v="6"/>
    <x v="9"/>
    <m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x v="3"/>
    <n v="0.24219732780961503"/>
    <n v="36626065.116279073"/>
    <x v="3"/>
    <x v="3"/>
    <x v="9"/>
    <m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x v="0"/>
    <n v="0.10036480639186061"/>
    <n v="77101578.947368428"/>
    <x v="0"/>
    <x v="0"/>
    <x v="9"/>
    <m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x v="4"/>
    <n v="6.4241720179127335E-3"/>
    <n v="638048.7666034156"/>
    <x v="4"/>
    <x v="4"/>
    <x v="9"/>
    <m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x v="3"/>
    <n v="5.714857200005715E-2"/>
    <n v="6844854.2986425338"/>
    <x v="3"/>
    <x v="3"/>
    <x v="9"/>
    <m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x v="11"/>
    <n v="1.1898210806549965E-2"/>
    <n v="2139163.4756995584"/>
    <x v="6"/>
    <x v="11"/>
    <x v="9"/>
    <m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x v="9"/>
    <n v="2.8349157675652558E-2"/>
    <n v="543417.75401069515"/>
    <x v="5"/>
    <x v="9"/>
    <x v="9"/>
    <m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x v="11"/>
    <n v="6.4188113965996343E-2"/>
    <n v="19807464.705882352"/>
    <x v="6"/>
    <x v="11"/>
    <x v="9"/>
    <m/>
  </r>
  <r>
    <n v="814"/>
    <s v="Vincent PLC"/>
    <s v="Visionary 24hour analyzer"/>
    <n v="3200"/>
    <n v="2950"/>
    <x v="0"/>
    <n v="36"/>
    <x v="3"/>
    <s v="DKK"/>
    <n v="1464325200"/>
    <n v="1464498000"/>
    <b v="0"/>
    <b v="1"/>
    <x v="1"/>
    <n v="1.1800657394955711E-2"/>
    <n v="40680500"/>
    <x v="1"/>
    <x v="1"/>
    <x v="9"/>
    <m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x v="1"/>
    <n v="0.14857779619126535"/>
    <n v="8274216.3934426233"/>
    <x v="1"/>
    <x v="1"/>
    <x v="9"/>
    <m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x v="3"/>
    <n v="1.2413686088913028E-2"/>
    <n v="10467554.887218045"/>
    <x v="3"/>
    <x v="3"/>
    <x v="9"/>
    <m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x v="9"/>
    <n v="0.15538111148363526"/>
    <n v="626502.6918441141"/>
    <x v="5"/>
    <x v="9"/>
    <x v="9"/>
    <m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x v="3"/>
    <n v="7.2555777253763831E-2"/>
    <n v="22451791.304347824"/>
    <x v="3"/>
    <x v="3"/>
    <x v="9"/>
    <m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x v="11"/>
    <n v="9.5735005504762813E-2"/>
    <n v="28830485.106382977"/>
    <x v="6"/>
    <x v="11"/>
    <x v="9"/>
    <m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x v="1"/>
    <n v="7.3275730467438099E-2"/>
    <n v="5498077.4193548383"/>
    <x v="1"/>
    <x v="1"/>
    <x v="9"/>
    <m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x v="4"/>
    <n v="7.5228709791343135E-2"/>
    <n v="7092291.4285714282"/>
    <x v="4"/>
    <x v="4"/>
    <x v="9"/>
    <m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x v="1"/>
    <n v="0.10514024727332846"/>
    <n v="664301.14285714284"/>
    <x v="1"/>
    <x v="1"/>
    <x v="9"/>
    <m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x v="1"/>
    <n v="0.15315616568434004"/>
    <n v="5605100"/>
    <x v="1"/>
    <x v="1"/>
    <x v="9"/>
    <m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x v="9"/>
    <n v="0.21652039323261002"/>
    <n v="999756.5625"/>
    <x v="5"/>
    <x v="9"/>
    <x v="9"/>
    <m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x v="12"/>
    <n v="6.9075846718777353E-2"/>
    <n v="9566850.9554140121"/>
    <x v="4"/>
    <x v="12"/>
    <x v="9"/>
    <m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x v="3"/>
    <n v="0.18721270371918095"/>
    <n v="6673397.9381443299"/>
    <x v="3"/>
    <x v="3"/>
    <x v="9"/>
    <m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x v="6"/>
    <n v="7.9484893730353015E-2"/>
    <n v="15919946.341463415"/>
    <x v="4"/>
    <x v="6"/>
    <x v="9"/>
    <m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x v="3"/>
    <n v="0.14067698454194402"/>
    <n v="21965605.714285713"/>
    <x v="3"/>
    <x v="3"/>
    <x v="9"/>
    <m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x v="3"/>
    <n v="9.0387536563013918E-2"/>
    <n v="9318974.0259740259"/>
    <x v="3"/>
    <x v="3"/>
    <x v="9"/>
    <m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x v="3"/>
    <n v="0.33648430928040834"/>
    <n v="69093490.909090906"/>
    <x v="3"/>
    <x v="3"/>
    <x v="9"/>
    <m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x v="14"/>
    <n v="0.22041841682311153"/>
    <n v="315538.76683203405"/>
    <x v="7"/>
    <x v="14"/>
    <x v="9"/>
    <m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x v="18"/>
    <n v="0.2034742544050806"/>
    <n v="1116754.9730146492"/>
    <x v="5"/>
    <x v="18"/>
    <x v="9"/>
    <m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x v="18"/>
    <n v="7.3239342843351041E-2"/>
    <n v="7870385.4545454541"/>
    <x v="5"/>
    <x v="18"/>
    <x v="9"/>
    <m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x v="3"/>
    <n v="3.7785259025822554E-2"/>
    <n v="11533462.18487395"/>
    <x v="3"/>
    <x v="3"/>
    <x v="9"/>
    <m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x v="2"/>
    <n v="3.6376312957545814E-2"/>
    <n v="810933.78839590447"/>
    <x v="2"/>
    <x v="2"/>
    <x v="9"/>
    <m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x v="7"/>
    <n v="7.5109677199091854E-2"/>
    <n v="13471276.595744681"/>
    <x v="1"/>
    <x v="7"/>
    <x v="9"/>
    <m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x v="17"/>
    <n v="0.35856077688168325"/>
    <n v="726693.15525876463"/>
    <x v="1"/>
    <x v="17"/>
    <x v="9"/>
    <m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x v="3"/>
    <n v="5.0558365654016932E-2"/>
    <n v="5895793.1034482755"/>
    <x v="3"/>
    <x v="3"/>
    <x v="9"/>
    <m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x v="4"/>
    <n v="0.27870320431267404"/>
    <n v="8910321.0191082805"/>
    <x v="4"/>
    <x v="4"/>
    <x v="9"/>
    <m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x v="3"/>
    <n v="1.2294672564694312E-2"/>
    <n v="397865.72318143223"/>
    <x v="3"/>
    <x v="3"/>
    <x v="9"/>
    <m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x v="2"/>
    <n v="9.4954080799988128E-2"/>
    <n v="9401574.1935483869"/>
    <x v="2"/>
    <x v="2"/>
    <x v="9"/>
    <m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x v="8"/>
    <n v="1.6951826206110663E-2"/>
    <n v="11585590.909090908"/>
    <x v="2"/>
    <x v="8"/>
    <x v="9"/>
    <m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x v="14"/>
    <n v="3.3766276400421145E-2"/>
    <n v="46538727.272727273"/>
    <x v="7"/>
    <x v="14"/>
    <x v="9"/>
    <m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x v="4"/>
    <n v="1.9529660672145822E-2"/>
    <n v="14122034.042553192"/>
    <x v="4"/>
    <x v="4"/>
    <x v="9"/>
    <m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x v="2"/>
    <n v="0.20943939583338245"/>
    <n v="1129658.1979320531"/>
    <x v="2"/>
    <x v="2"/>
    <x v="9"/>
    <m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x v="2"/>
    <n v="0.20300894978113096"/>
    <n v="31984575"/>
    <x v="2"/>
    <x v="2"/>
    <x v="9"/>
    <m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x v="0"/>
    <n v="1.7105469473864269E-2"/>
    <n v="13777854.545454545"/>
    <x v="0"/>
    <x v="0"/>
    <x v="9"/>
    <m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x v="6"/>
    <n v="6.0925217116601281E-2"/>
    <n v="7424979.0697674416"/>
    <x v="4"/>
    <x v="6"/>
    <x v="9"/>
    <m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x v="7"/>
    <n v="1.9506802997545394E-2"/>
    <n v="4329076.2214983711"/>
    <x v="1"/>
    <x v="7"/>
    <x v="9"/>
    <m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x v="1"/>
    <n v="9.8056840281749991E-2"/>
    <n v="1322978400"/>
    <x v="1"/>
    <x v="1"/>
    <x v="9"/>
    <m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x v="5"/>
    <n v="0.21342358923504354"/>
    <n v="8367412.5"/>
    <x v="1"/>
    <x v="5"/>
    <x v="9"/>
    <m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x v="11"/>
    <n v="6.5914327852373875E-2"/>
    <n v="42311496.774193548"/>
    <x v="6"/>
    <x v="11"/>
    <x v="9"/>
    <m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x v="7"/>
    <n v="3.3013741970095052E-2"/>
    <n v="892282.20858895709"/>
    <x v="1"/>
    <x v="7"/>
    <x v="9"/>
    <m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x v="13"/>
    <n v="0.14820303816228234"/>
    <n v="592182.41923365893"/>
    <x v="5"/>
    <x v="13"/>
    <x v="9"/>
    <m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x v="3"/>
    <n v="0.20471223348200651"/>
    <n v="2900556.6371681415"/>
    <x v="3"/>
    <x v="3"/>
    <x v="9"/>
    <m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x v="0"/>
    <n v="0.11000239956214732"/>
    <n v="8460205.0632911399"/>
    <x v="0"/>
    <x v="0"/>
    <x v="9"/>
    <m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x v="12"/>
    <n v="0.14959106355994212"/>
    <n v="5912928"/>
    <x v="4"/>
    <x v="12"/>
    <x v="9"/>
    <m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x v="0"/>
    <n v="3.9677572488326998E-2"/>
    <n v="43568331.428571425"/>
    <x v="0"/>
    <x v="0"/>
    <x v="9"/>
    <m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x v="3"/>
    <n v="0.11391086936986938"/>
    <n v="21645542.857142858"/>
    <x v="3"/>
    <x v="3"/>
    <x v="9"/>
    <m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x v="8"/>
    <n v="5.57219474820645E-2"/>
    <n v="23868000"/>
    <x v="2"/>
    <x v="8"/>
    <x v="9"/>
    <m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x v="3"/>
    <n v="5.4461750548163185E-2"/>
    <n v="7790422.0858895704"/>
    <x v="3"/>
    <x v="3"/>
    <x v="9"/>
    <m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x v="3"/>
    <n v="2.6337954364006991E-2"/>
    <n v="15441416.470588235"/>
    <x v="3"/>
    <x v="3"/>
    <x v="9"/>
    <m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x v="19"/>
    <n v="0.1385274432401368"/>
    <n v="6619835.9447004609"/>
    <x v="4"/>
    <x v="19"/>
    <x v="9"/>
    <m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x v="12"/>
    <n v="2.9356146320818646E-2"/>
    <n v="9813432"/>
    <x v="4"/>
    <x v="12"/>
    <x v="9"/>
    <m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x v="3"/>
    <n v="5.5119335914075085E-2"/>
    <n v="431398.16625916871"/>
    <x v="3"/>
    <x v="3"/>
    <x v="9"/>
    <m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x v="14"/>
    <n v="6.6215481731424488E-3"/>
    <n v="1453137.1937639199"/>
    <x v="7"/>
    <x v="14"/>
    <x v="9"/>
    <m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x v="0"/>
    <n v="3.3682871090506342E-2"/>
    <n v="5131932"/>
    <x v="0"/>
    <x v="0"/>
    <x v="9"/>
    <m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x v="3"/>
    <n v="6.8792099331622225E-2"/>
    <n v="10972257.142857144"/>
    <x v="3"/>
    <x v="3"/>
    <x v="9"/>
    <m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x v="6"/>
    <n v="9.4714854728272665E-2"/>
    <n v="2430239.5437262356"/>
    <x v="4"/>
    <x v="6"/>
    <x v="9"/>
    <m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x v="3"/>
    <n v="0.1499591361354031"/>
    <n v="11921920.661157025"/>
    <x v="3"/>
    <x v="3"/>
    <x v="9"/>
    <m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x v="3"/>
    <n v="0.10326513382732067"/>
    <n v="651323.79310344823"/>
    <x v="3"/>
    <x v="3"/>
    <x v="9"/>
    <m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x v="22"/>
    <n v="2.8125900907763454E-2"/>
    <n v="18967688.888888888"/>
    <x v="4"/>
    <x v="22"/>
    <x v="9"/>
    <m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x v="14"/>
    <n v="3.1097911775224293E-2"/>
    <n v="736403.17965023848"/>
    <x v="7"/>
    <x v="14"/>
    <x v="9"/>
    <m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x v="14"/>
    <n v="0.25811345105042555"/>
    <n v="292630.10555300594"/>
    <x v="7"/>
    <x v="14"/>
    <x v="9"/>
    <m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x v="1"/>
    <n v="6.6723381540976495E-3"/>
    <n v="19328131.343283582"/>
    <x v="1"/>
    <x v="1"/>
    <x v="9"/>
    <m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x v="14"/>
    <n v="0.13292563318525358"/>
    <n v="27404273.684210528"/>
    <x v="7"/>
    <x v="14"/>
    <x v="9"/>
    <m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x v="0"/>
    <n v="5.879514058163093E-3"/>
    <n v="1195765.3376729048"/>
    <x v="0"/>
    <x v="0"/>
    <x v="9"/>
    <m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x v="16"/>
    <n v="0.13131796730729772"/>
    <n v="131761800"/>
    <x v="1"/>
    <x v="16"/>
    <x v="9"/>
    <m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x v="9"/>
    <n v="5.226708480334509E-2"/>
    <n v="28085298.113207549"/>
    <x v="5"/>
    <x v="9"/>
    <x v="9"/>
    <m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x v="5"/>
    <n v="1.1050817645393075E-2"/>
    <n v="647828.50041425019"/>
    <x v="1"/>
    <x v="5"/>
    <x v="9"/>
    <m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x v="3"/>
    <n v="0.17443390433703837"/>
    <n v="3183459.2920353981"/>
    <x v="3"/>
    <x v="3"/>
    <x v="9"/>
    <m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x v="3"/>
    <n v="2.4306874287884542E-2"/>
    <n v="17777070"/>
    <x v="3"/>
    <x v="3"/>
    <x v="9"/>
    <m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x v="12"/>
    <n v="0.24399818130985229"/>
    <n v="6621108.8082901556"/>
    <x v="4"/>
    <x v="12"/>
    <x v="9"/>
    <m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x v="3"/>
    <n v="1.2350094298115838E-2"/>
    <n v="741968.39872746554"/>
    <x v="3"/>
    <x v="3"/>
    <x v="9"/>
    <m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x v="3"/>
    <n v="0.25734433066489082"/>
    <n v="24597761.53846154"/>
    <x v="3"/>
    <x v="3"/>
    <x v="9"/>
    <m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x v="7"/>
    <n v="0.12123491228710223"/>
    <n v="703755.61643835611"/>
    <x v="1"/>
    <x v="7"/>
    <x v="9"/>
    <m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x v="3"/>
    <n v="0.2825672537619271"/>
    <n v="46489354.838709675"/>
    <x v="3"/>
    <x v="3"/>
    <x v="9"/>
    <m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x v="3"/>
    <n v="0.1100351581634746"/>
    <n v="5150097.931034483"/>
    <x v="3"/>
    <x v="3"/>
    <x v="9"/>
    <m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x v="5"/>
    <n v="4.3367261331633065E-2"/>
    <n v="11436108.196721312"/>
    <x v="1"/>
    <x v="5"/>
    <x v="9"/>
    <m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x v="7"/>
    <n v="5.5336642771996892E-3"/>
    <n v="1062203.2653061224"/>
    <x v="1"/>
    <x v="7"/>
    <x v="9"/>
    <m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x v="4"/>
    <n v="0.28737039758347621"/>
    <n v="8040567.2727272725"/>
    <x v="4"/>
    <x v="4"/>
    <x v="9"/>
    <m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x v="18"/>
    <n v="0.27796217567548481"/>
    <n v="7021760.4395604394"/>
    <x v="5"/>
    <x v="18"/>
    <x v="9"/>
    <m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x v="4"/>
    <n v="2.4094631665867696E-2"/>
    <n v="7209497.4874371858"/>
    <x v="4"/>
    <x v="4"/>
    <x v="9"/>
    <m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x v="19"/>
    <n v="0.18871237874574415"/>
    <n v="24573407.142857142"/>
    <x v="4"/>
    <x v="19"/>
    <x v="9"/>
    <m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x v="3"/>
    <n v="5.1237528643201781E-2"/>
    <n v="14190796.261682242"/>
    <x v="3"/>
    <x v="3"/>
    <x v="9"/>
    <m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x v="0"/>
    <n v="1.9776905518580679E-2"/>
    <n v="897862.19178082189"/>
    <x v="0"/>
    <x v="0"/>
    <x v="9"/>
    <m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x v="3"/>
    <n v="1.1102347452589508E-2"/>
    <n v="57651866.666666664"/>
    <x v="3"/>
    <x v="3"/>
    <x v="9"/>
    <m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x v="4"/>
    <n v="3.2883469206001235E-2"/>
    <n v="1291559.7051597051"/>
    <x v="4"/>
    <x v="4"/>
    <x v="9"/>
    <m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x v="17"/>
    <n v="0.11260410014466499"/>
    <n v="11241278.048780488"/>
    <x v="1"/>
    <x v="17"/>
    <x v="9"/>
    <m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x v="2"/>
    <n v="6.122870707931413E-3"/>
    <n v="1411189200"/>
    <x v="2"/>
    <x v="2"/>
    <x v="9"/>
    <m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x v="1"/>
    <n v="0.18613352260041691"/>
    <n v="9651916.9811320752"/>
    <x v="1"/>
    <x v="1"/>
    <x v="9"/>
    <m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x v="2"/>
    <n v="0.2495506602694553"/>
    <n v="13252385.454545455"/>
    <x v="2"/>
    <x v="2"/>
    <x v="9"/>
    <m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x v="9"/>
    <n v="9.6991903870246379E-2"/>
    <n v="95535000"/>
    <x v="5"/>
    <x v="9"/>
    <x v="9"/>
    <m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x v="15"/>
    <n v="2.5612772235754897E-2"/>
    <n v="84354525"/>
    <x v="5"/>
    <x v="15"/>
    <x v="9"/>
    <m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x v="3"/>
    <n v="1.8788506652958014E-2"/>
    <n v="5846720.3389830505"/>
    <x v="3"/>
    <x v="3"/>
    <x v="9"/>
    <m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x v="4"/>
    <n v="0.20810200852158456"/>
    <n v="7841685.8638743451"/>
    <x v="4"/>
    <x v="4"/>
    <x v="9"/>
    <m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x v="3"/>
    <n v="4.638462239328086E-2"/>
    <n v="31816712.195121951"/>
    <x v="3"/>
    <x v="3"/>
    <x v="9"/>
    <m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x v="11"/>
    <n v="7.1141196411681165E-2"/>
    <n v="339828.46975088969"/>
    <x v="6"/>
    <x v="11"/>
    <x v="9"/>
    <m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x v="3"/>
    <n v="0.15266132509087824"/>
    <n v="19130265"/>
    <x v="3"/>
    <x v="3"/>
    <x v="9"/>
    <m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x v="3"/>
    <n v="6.0763493293229422E-3"/>
    <n v="4804029.7297297297"/>
    <x v="3"/>
    <x v="3"/>
    <x v="9"/>
    <m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x v="2"/>
    <n v="1.1020371616114539E-2"/>
    <n v="3394324.6753246752"/>
    <x v="2"/>
    <x v="2"/>
    <x v="9"/>
    <m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x v="6"/>
    <n v="8.3396370654100188E-2"/>
    <n v="7530415.6424581008"/>
    <x v="4"/>
    <x v="6"/>
    <x v="9"/>
    <m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x v="6"/>
    <n v="7.2109217730547265E-2"/>
    <n v="2980421.4149139579"/>
    <x v="4"/>
    <x v="6"/>
    <x v="9"/>
    <m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x v="3"/>
    <n v="7.5371163725533818E-2"/>
    <n v="9763327.6595744677"/>
    <x v="3"/>
    <x v="3"/>
    <x v="9"/>
    <m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x v="19"/>
    <n v="5.1702718940668739E-2"/>
    <n v="806409.6463022508"/>
    <x v="4"/>
    <x v="19"/>
    <x v="9"/>
    <m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x v="14"/>
    <n v="5.4803696204844037E-2"/>
    <n v="27301153.846153848"/>
    <x v="7"/>
    <x v="14"/>
    <x v="9"/>
    <m/>
  </r>
  <r>
    <n v="917"/>
    <s v="Cooper Inc"/>
    <s v="Polarized discrete product"/>
    <n v="3600"/>
    <n v="2097"/>
    <x v="2"/>
    <n v="27"/>
    <x v="4"/>
    <s v="GBP"/>
    <n v="1309237200"/>
    <n v="1311310800"/>
    <b v="0"/>
    <b v="1"/>
    <x v="12"/>
    <n v="0.15838230077788806"/>
    <n v="48567066.666666664"/>
    <x v="4"/>
    <x v="12"/>
    <x v="9"/>
    <m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x v="15"/>
    <n v="7.0747701369664767E-2"/>
    <n v="8617407.692307692"/>
    <x v="5"/>
    <x v="15"/>
    <x v="9"/>
    <m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x v="3"/>
    <n v="0.18358611239098829"/>
    <n v="6714336"/>
    <x v="3"/>
    <x v="3"/>
    <x v="9"/>
    <m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x v="10"/>
    <n v="0.11151846327557607"/>
    <n v="6083322.3529411769"/>
    <x v="4"/>
    <x v="10"/>
    <x v="9"/>
    <m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x v="2"/>
    <n v="9.1013993401485471E-2"/>
    <n v="35006210.526315786"/>
    <x v="2"/>
    <x v="2"/>
    <x v="9"/>
    <m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x v="21"/>
    <n v="5.035176301103543E-2"/>
    <n v="683375.85139318882"/>
    <x v="1"/>
    <x v="21"/>
    <x v="9"/>
    <m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x v="3"/>
    <n v="6.7548360404276935E-3"/>
    <n v="31979250"/>
    <x v="3"/>
    <x v="3"/>
    <x v="9"/>
    <m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x v="3"/>
    <n v="6.066780371103811E-2"/>
    <n v="687397.11664482311"/>
    <x v="3"/>
    <x v="3"/>
    <x v="9"/>
    <m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x v="3"/>
    <n v="6.8842043365706623E-2"/>
    <n v="23186049.230769232"/>
    <x v="3"/>
    <x v="3"/>
    <x v="9"/>
    <m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x v="0"/>
    <n v="2.3622221620730469E-2"/>
    <n v="97558320"/>
    <x v="0"/>
    <x v="0"/>
    <x v="9"/>
    <m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x v="3"/>
    <n v="0.18669678135821907"/>
    <n v="36339859.459459461"/>
    <x v="3"/>
    <x v="3"/>
    <x v="9"/>
    <m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x v="2"/>
    <n v="5.6011077746487642E-2"/>
    <n v="367771.88244638604"/>
    <x v="2"/>
    <x v="2"/>
    <x v="9"/>
    <m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x v="3"/>
    <n v="8.0975367582379193E-2"/>
    <n v="8124984.7826086953"/>
    <x v="3"/>
    <x v="3"/>
    <x v="9"/>
    <m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x v="3"/>
    <n v="4.2446752065489271E-2"/>
    <n v="16769985.882352941"/>
    <x v="3"/>
    <x v="3"/>
    <x v="9"/>
    <m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x v="3"/>
    <n v="1.2308291942427966E-2"/>
    <n v="12536646.428571429"/>
    <x v="3"/>
    <x v="3"/>
    <x v="9"/>
    <m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x v="1"/>
    <n v="1.8587120674299434E-2"/>
    <n v="9685925"/>
    <x v="1"/>
    <x v="1"/>
    <x v="9"/>
    <m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x v="3"/>
    <n v="8.2261777012579196E-2"/>
    <n v="718464.98422712937"/>
    <x v="3"/>
    <x v="3"/>
    <x v="9"/>
    <m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x v="3"/>
    <n v="3.5601441858395262E-2"/>
    <n v="13872754.285714285"/>
    <x v="3"/>
    <x v="3"/>
    <x v="9"/>
    <m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x v="3"/>
    <n v="4.2066781014861089E-2"/>
    <n v="10896354.545454545"/>
    <x v="3"/>
    <x v="3"/>
    <x v="9"/>
    <m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x v="3"/>
    <n v="1.6575310614414536E-2"/>
    <n v="74477657.142857149"/>
    <x v="3"/>
    <x v="3"/>
    <x v="9"/>
    <m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x v="4"/>
    <n v="5.368246820059349E-2"/>
    <n v="1484933.6065573771"/>
    <x v="4"/>
    <x v="4"/>
    <x v="9"/>
    <m/>
  </r>
  <r>
    <n v="938"/>
    <s v="Allen Inc"/>
    <s v="Total dedicated benchmark"/>
    <n v="9200"/>
    <n v="10093"/>
    <x v="1"/>
    <n v="96"/>
    <x v="1"/>
    <s v="USD"/>
    <n v="1528779600"/>
    <n v="1531890000"/>
    <b v="0"/>
    <b v="1"/>
    <x v="13"/>
    <n v="0.20345640404934762"/>
    <n v="15957187.5"/>
    <x v="5"/>
    <x v="13"/>
    <x v="9"/>
    <m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x v="11"/>
    <n v="0.11257377307003577"/>
    <n v="19495719.402985074"/>
    <x v="6"/>
    <x v="11"/>
    <x v="9"/>
    <m/>
  </r>
  <r>
    <n v="940"/>
    <s v="Wiggins Ltd"/>
    <s v="Upgradable analyzing core"/>
    <n v="9900"/>
    <n v="6161"/>
    <x v="2"/>
    <n v="66"/>
    <x v="0"/>
    <s v="CAD"/>
    <n v="1354341600"/>
    <n v="1356242400"/>
    <b v="0"/>
    <b v="0"/>
    <x v="2"/>
    <n v="0.14034863877769096"/>
    <n v="20549127.272727273"/>
    <x v="2"/>
    <x v="2"/>
    <x v="9"/>
    <m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x v="3"/>
    <n v="0.2335941801678541"/>
    <n v="16635600"/>
    <x v="3"/>
    <x v="3"/>
    <x v="9"/>
    <m/>
  </r>
  <r>
    <n v="942"/>
    <s v="Allen Inc"/>
    <s v="Horizontal optimizing model"/>
    <n v="9600"/>
    <n v="6205"/>
    <x v="0"/>
    <n v="67"/>
    <x v="2"/>
    <s v="AUD"/>
    <n v="1295935200"/>
    <n v="1296194400"/>
    <b v="0"/>
    <b v="0"/>
    <x v="3"/>
    <n v="2.00010000500025E-2"/>
    <n v="19346185.074626867"/>
    <x v="3"/>
    <x v="3"/>
    <x v="9"/>
    <m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x v="0"/>
    <n v="0.21423488815153546"/>
    <n v="12408410.52631579"/>
    <x v="0"/>
    <x v="0"/>
    <x v="9"/>
    <m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x v="14"/>
    <n v="0.11041857356637465"/>
    <n v="5659117.8707224336"/>
    <x v="7"/>
    <x v="14"/>
    <x v="9"/>
    <m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x v="14"/>
    <n v="9.718041814574363E-2"/>
    <n v="789413.3648728563"/>
    <x v="7"/>
    <x v="14"/>
    <x v="9"/>
    <m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x v="3"/>
    <n v="1.3208985412326735E-2"/>
    <n v="7228581.2154696137"/>
    <x v="3"/>
    <x v="3"/>
    <x v="9"/>
    <m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x v="3"/>
    <n v="4.2841732948097747E-2"/>
    <n v="108639415.38461539"/>
    <x v="3"/>
    <x v="3"/>
    <x v="9"/>
    <m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x v="4"/>
    <n v="6.0915251656133401E-2"/>
    <n v="8870175"/>
    <x v="4"/>
    <x v="4"/>
    <x v="9"/>
    <m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x v="2"/>
    <n v="0.11485075698234673"/>
    <n v="7049136.9458128074"/>
    <x v="2"/>
    <x v="2"/>
    <x v="9"/>
    <m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x v="3"/>
    <n v="2.7774370274017308E-2"/>
    <n v="1555822800"/>
    <x v="3"/>
    <x v="3"/>
    <x v="9"/>
    <m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x v="1"/>
    <n v="5.8270813606234977E-3"/>
    <n v="951134.31686978834"/>
    <x v="1"/>
    <x v="1"/>
    <x v="9"/>
    <m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x v="4"/>
    <n v="8.2245497915713048E-2"/>
    <n v="649571.22683142102"/>
    <x v="4"/>
    <x v="4"/>
    <x v="9"/>
    <m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x v="22"/>
    <n v="0.21442291942760991"/>
    <n v="69223885.714285716"/>
    <x v="4"/>
    <x v="22"/>
    <x v="9"/>
    <m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x v="2"/>
    <n v="0.15379480675522328"/>
    <n v="872327.90697674418"/>
    <x v="2"/>
    <x v="2"/>
    <x v="9"/>
    <m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x v="3"/>
    <n v="1.2763852768958309E-2"/>
    <n v="16924950"/>
    <x v="3"/>
    <x v="3"/>
    <x v="9"/>
    <m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x v="22"/>
    <n v="2.3821931065286978E-2"/>
    <n v="1748324.8192771084"/>
    <x v="4"/>
    <x v="22"/>
    <x v="9"/>
    <m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x v="3"/>
    <n v="1.9497928345113331E-2"/>
    <n v="10149856.488549618"/>
    <x v="3"/>
    <x v="3"/>
    <x v="9"/>
    <m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x v="10"/>
    <n v="0.14883762885871418"/>
    <n v="11419617.857142856"/>
    <x v="4"/>
    <x v="10"/>
    <x v="9"/>
    <m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x v="18"/>
    <n v="0.18934004288326567"/>
    <n v="9847080"/>
    <x v="5"/>
    <x v="18"/>
    <x v="9"/>
    <m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x v="2"/>
    <n v="0.21947731242978955"/>
    <n v="26510989.09090909"/>
    <x v="2"/>
    <x v="2"/>
    <x v="9"/>
    <m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x v="18"/>
    <n v="2.662716969828088E-2"/>
    <n v="8375922.5806451617"/>
    <x v="5"/>
    <x v="18"/>
    <x v="9"/>
    <m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x v="0"/>
    <n v="0.13105955408546954"/>
    <n v="5211365.4135338347"/>
    <x v="0"/>
    <x v="0"/>
    <x v="9"/>
    <m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x v="14"/>
    <n v="3.9898259438431997E-2"/>
    <n v="11401957.894736841"/>
    <x v="7"/>
    <x v="14"/>
    <x v="9"/>
    <m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x v="3"/>
    <n v="3.0181921532034337E-2"/>
    <n v="9237112.2580645159"/>
    <x v="3"/>
    <x v="3"/>
    <x v="9"/>
    <m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x v="1"/>
    <n v="0.27333139723593625"/>
    <n v="6124904.3478260869"/>
    <x v="1"/>
    <x v="1"/>
    <x v="9"/>
    <m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x v="3"/>
    <n v="1.1539210477603114E-2"/>
    <n v="6112961.6326530613"/>
    <x v="3"/>
    <x v="3"/>
    <x v="9"/>
    <m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x v="21"/>
    <n v="0.23969616891021919"/>
    <n v="849895.23204068653"/>
    <x v="1"/>
    <x v="21"/>
    <x v="9"/>
    <m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x v="0"/>
    <n v="0.10016527269995493"/>
    <n v="11361031.578947369"/>
    <x v="0"/>
    <x v="0"/>
    <x v="9"/>
    <m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x v="3"/>
    <n v="3.8351436124313444E-2"/>
    <n v="16963432.258064516"/>
    <x v="3"/>
    <x v="3"/>
    <x v="9"/>
    <m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x v="3"/>
    <n v="6.6211097531705459E-3"/>
    <n v="2196975.7575757578"/>
    <x v="3"/>
    <x v="3"/>
    <x v="9"/>
    <m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x v="19"/>
    <n v="3.753235210559102E-2"/>
    <n v="57571950"/>
    <x v="4"/>
    <x v="19"/>
    <x v="9"/>
    <m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x v="2"/>
    <n v="5.5476079793094775E-2"/>
    <n v="834302.67697798926"/>
    <x v="2"/>
    <x v="2"/>
    <x v="9"/>
    <m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x v="3"/>
    <n v="1.3375018808620199E-2"/>
    <n v="5127514.2857142854"/>
    <x v="3"/>
    <x v="3"/>
    <x v="9"/>
    <m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x v="7"/>
    <n v="6.3118528707095832E-3"/>
    <n v="42779362.5"/>
    <x v="1"/>
    <x v="7"/>
    <x v="9"/>
    <m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x v="3"/>
    <n v="0.23258241020977147"/>
    <n v="10756640"/>
    <x v="3"/>
    <x v="3"/>
    <x v="9"/>
    <m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x v="3"/>
    <n v="3.9994000899865018E-2"/>
    <n v="9262234.2857142854"/>
    <x v="3"/>
    <x v="3"/>
    <x v="9"/>
    <m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x v="0"/>
    <n v="0.18213640309062709"/>
    <n v="22697731.343283582"/>
    <x v="0"/>
    <x v="0"/>
    <x v="9"/>
    <m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x v="11"/>
    <n v="0.12852531802713638"/>
    <n v="16095991.304347826"/>
    <x v="6"/>
    <x v="11"/>
    <x v="9"/>
    <m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x v="3"/>
    <n v="3.6343353835359561E-2"/>
    <n v="1405826.6009852216"/>
    <x v="3"/>
    <x v="3"/>
    <x v="9"/>
    <m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x v="9"/>
    <n v="3.0120706865778644E-2"/>
    <n v="1949618.3288409703"/>
    <x v="5"/>
    <x v="9"/>
    <x v="9"/>
    <m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x v="2"/>
    <n v="0.18829973894808918"/>
    <n v="4696695.9752321979"/>
    <x v="2"/>
    <x v="2"/>
    <x v="9"/>
    <m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x v="4"/>
    <n v="1.3180259266683326E-2"/>
    <n v="17482992"/>
    <x v="4"/>
    <x v="4"/>
    <x v="9"/>
    <m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x v="4"/>
    <n v="8.2817068597838009E-2"/>
    <n v="673340.84264832328"/>
    <x v="4"/>
    <x v="4"/>
    <x v="9"/>
    <m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x v="3"/>
    <n v="0.14327272560288198"/>
    <n v="4121168.5039370079"/>
    <x v="3"/>
    <x v="3"/>
    <x v="9"/>
    <m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x v="1"/>
    <n v="0.16204172574437919"/>
    <n v="315222.70147559594"/>
    <x v="1"/>
    <x v="1"/>
    <x v="9"/>
    <m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x v="1"/>
    <n v="9.2904681455838481E-2"/>
    <n v="14165100"/>
    <x v="1"/>
    <x v="1"/>
    <x v="9"/>
    <m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x v="4"/>
    <n v="8.1003478810116755E-2"/>
    <n v="3113497.5"/>
    <x v="4"/>
    <x v="4"/>
    <x v="9"/>
    <m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x v="15"/>
    <n v="0.12268325811681199"/>
    <n v="23136637.5"/>
    <x v="5"/>
    <x v="15"/>
    <x v="9"/>
    <m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x v="18"/>
    <n v="2.7774370274017308E-2"/>
    <n v="6884171.6814159295"/>
    <x v="5"/>
    <x v="18"/>
    <x v="9"/>
    <m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x v="6"/>
    <n v="0.13021412440267049"/>
    <n v="22795031.25"/>
    <x v="4"/>
    <x v="6"/>
    <x v="9"/>
    <m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x v="1"/>
    <n v="2.4482488644970761E-2"/>
    <n v="5858783.4024896268"/>
    <x v="1"/>
    <x v="1"/>
    <x v="9"/>
    <m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x v="6"/>
    <n v="7.9283241740739085E-2"/>
    <n v="11567263.636363637"/>
    <x v="4"/>
    <x v="6"/>
    <x v="9"/>
    <m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x v="14"/>
    <n v="0.10123114942015395"/>
    <n v="19365408"/>
    <x v="7"/>
    <x v="14"/>
    <x v="9"/>
    <m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x v="18"/>
    <n v="3.6674349603331248E-2"/>
    <n v="1679382.8978622328"/>
    <x v="5"/>
    <x v="18"/>
    <x v="9"/>
    <m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x v="0"/>
    <n v="0.16279683562190961"/>
    <n v="755661.67400881054"/>
    <x v="0"/>
    <x v="0"/>
    <x v="9"/>
    <m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x v="3"/>
    <n v="0.19099460440242563"/>
    <n v="12140164.285714285"/>
    <x v="3"/>
    <x v="3"/>
    <x v="9"/>
    <m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x v="3"/>
    <n v="3.107471916222557E-2"/>
    <n v="10004529.496402878"/>
    <x v="3"/>
    <x v="3"/>
    <x v="9"/>
    <m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x v="7"/>
    <n v="9.5554986775872375E-2"/>
    <n v="3387908.0213903743"/>
    <x v="1"/>
    <x v="7"/>
    <x v="9"/>
    <m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x v="0"/>
    <n v="4.1222037104740782E-2"/>
    <n v="1308182.8877005347"/>
    <x v="0"/>
    <x v="0"/>
    <x v="9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.10138812267962843"/>
    <e v="#DIV/0!"/>
    <x v="0"/>
    <x v="0"/>
    <s v="food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.2269029136388152E-2"/>
    <n v="8915172.1518987343"/>
    <x v="1"/>
    <x v="1"/>
    <s v="music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2479525778020436E-2"/>
    <n v="971818.10526315786"/>
    <x v="2"/>
    <x v="2"/>
    <s v="technology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22076019693649235"/>
    <n v="65373150"/>
    <x v="1"/>
    <x v="1"/>
    <s v="theater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2.2326100606990858E-2"/>
    <n v="29213388.679245282"/>
    <x v="3"/>
    <x v="3"/>
    <s v="film &amp; video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7.0602393528113927E-2"/>
    <n v="7741841.3793103453"/>
    <x v="3"/>
    <x v="3"/>
    <s v="publishing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5.7398004941011591E-3"/>
    <n v="83631400"/>
    <x v="4"/>
    <x v="4"/>
    <s v="games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1.2004651802573497E-2"/>
    <n v="6341915.4185022023"/>
    <x v="3"/>
    <x v="3"/>
    <s v="photography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1.3485987216407952E-2"/>
    <n v="1810032.2033898304"/>
    <x v="3"/>
    <x v="3"/>
    <s v="journalism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30713989347960535"/>
    <n v="31450090.90909091"/>
    <x v="1"/>
    <x v="5"/>
    <m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0.32355460686149223"/>
    <n v="5845041.8181818184"/>
    <x v="4"/>
    <x v="6"/>
    <m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4.034099345299294E-2"/>
    <n v="47613466.666666664"/>
    <x v="3"/>
    <x v="3"/>
    <m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4.3977287563360508E-2"/>
    <n v="28589301.818181816"/>
    <x v="4"/>
    <x v="6"/>
    <m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7.0741334800561023E-2"/>
    <n v="14965897.959183674"/>
    <x v="1"/>
    <x v="7"/>
    <m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17499445535342389"/>
    <n v="6666714"/>
    <x v="1"/>
    <x v="7"/>
    <m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2.1929523992269842E-2"/>
    <n v="3487396.4601769913"/>
    <x v="2"/>
    <x v="8"/>
    <m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0.13671177119420841"/>
    <n v="13922712"/>
    <x v="5"/>
    <x v="9"/>
    <m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6.6727833847693716E-3"/>
    <n v="1036748.1184947959"/>
    <x v="4"/>
    <x v="10"/>
    <m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4.4988787950502963E-2"/>
    <n v="11385733.333333334"/>
    <x v="3"/>
    <x v="3"/>
    <m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11669937961403362"/>
    <n v="2304881.3056379822"/>
    <x v="3"/>
    <x v="3"/>
    <m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0"/>
    <n v="1007538.3954154728"/>
    <x v="4"/>
    <x v="6"/>
    <m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22366643002612185"/>
    <n v="2359000"/>
    <x v="3"/>
    <x v="3"/>
    <m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8.5110205895773103E-2"/>
    <n v="1712390.5617977527"/>
    <x v="3"/>
    <x v="3"/>
    <m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0.29517638588912887"/>
    <n v="10948588.732394366"/>
    <x v="4"/>
    <x v="4"/>
    <m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2313596519356719E-2"/>
    <n v="525065.31986531988"/>
    <x v="2"/>
    <x v="8"/>
    <m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0.1323433316882322"/>
    <n v="8020998.7730061347"/>
    <x v="6"/>
    <x v="11"/>
    <m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15217090107247611"/>
    <n v="1037395.9459459459"/>
    <x v="3"/>
    <x v="3"/>
    <m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4.7872061914533408E-2"/>
    <n v="96302640"/>
    <x v="1"/>
    <x v="1"/>
    <m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0.15700462481014385"/>
    <n v="571028.10810810816"/>
    <x v="3"/>
    <x v="3"/>
    <m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0.22557822042281817"/>
    <n v="956113.82316313824"/>
    <x v="4"/>
    <x v="12"/>
    <m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2.7715866178559471E-2"/>
    <n v="12086093.023255814"/>
    <x v="4"/>
    <x v="10"/>
    <m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0.16661459960429031"/>
    <n v="6435366.3716814155"/>
    <x v="6"/>
    <x v="11"/>
    <m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15392289603078457"/>
    <n v="657952.66579973989"/>
    <x v="4"/>
    <x v="4"/>
    <m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0.22657936522095948"/>
    <n v="261244.8053146337"/>
    <x v="3"/>
    <x v="3"/>
    <m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2.8988518131110235E-2"/>
    <n v="9034407.2727272734"/>
    <x v="4"/>
    <x v="4"/>
    <m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0.2344371415414242"/>
    <n v="789570.68702290079"/>
    <x v="4"/>
    <x v="6"/>
    <m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0.16604296604296603"/>
    <n v="81303525"/>
    <x v="3"/>
    <x v="3"/>
    <m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0.18179525681732212"/>
    <n v="14702736.448598132"/>
    <x v="5"/>
    <x v="13"/>
    <m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3556577788341889E-2"/>
    <n v="9610522.3880597018"/>
    <x v="7"/>
    <x v="14"/>
    <m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8.8561080709546089E-2"/>
    <n v="15488386.363636363"/>
    <x v="3"/>
    <x v="3"/>
    <m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0.12868087988373569"/>
    <n v="6451290.9090909092"/>
    <x v="2"/>
    <x v="8"/>
    <m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0.16680344192486896"/>
    <n v="12152983.783783784"/>
    <x v="1"/>
    <x v="1"/>
    <m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5.9369854956146016E-2"/>
    <n v="5903302.702702703"/>
    <x v="0"/>
    <x v="0"/>
    <m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9.8309033422511224E-2"/>
    <n v="226587.31487443656"/>
    <x v="5"/>
    <x v="15"/>
    <m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5.5641464947036277E-3"/>
    <n v="15845767.346938776"/>
    <x v="5"/>
    <x v="13"/>
    <m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8.7925898683060014E-2"/>
    <n v="30820050"/>
    <x v="3"/>
    <x v="3"/>
    <m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0.15542422083754509"/>
    <n v="13919047.826086957"/>
    <x v="1"/>
    <x v="1"/>
    <m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0.18566414902642361"/>
    <n v="9386987.9194630869"/>
    <x v="3"/>
    <x v="3"/>
    <m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7.224037986399745E-2"/>
    <n v="590804.27807486628"/>
    <x v="3"/>
    <x v="3"/>
    <m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0.24762851599277041"/>
    <n v="5199469.3069306929"/>
    <x v="1"/>
    <x v="1"/>
    <m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1758991930101011"/>
    <n v="1377752400"/>
    <x v="1"/>
    <x v="16"/>
    <m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10371958976741422"/>
    <n v="909479.754601227"/>
    <x v="2"/>
    <x v="8"/>
    <m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2.6904849318830873E-2"/>
    <n v="17131632"/>
    <x v="3"/>
    <x v="3"/>
    <m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0.2405891349329769"/>
    <n v="6717376.0765550239"/>
    <x v="4"/>
    <x v="6"/>
    <m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3.3851762422176454E-2"/>
    <n v="12677190"/>
    <x v="2"/>
    <x v="8"/>
    <m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2.8181384786279424E-2"/>
    <n v="11705029.007633587"/>
    <x v="1"/>
    <x v="17"/>
    <m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4.2565482434137519E-2"/>
    <n v="8667526.8292682935"/>
    <x v="2"/>
    <x v="8"/>
    <m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6.8925079874116002E-2"/>
    <n v="7488949.253731343"/>
    <x v="6"/>
    <x v="11"/>
    <m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7.7848001776531325E-2"/>
    <n v="6843292.8909952603"/>
    <x v="3"/>
    <x v="3"/>
    <m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8.6559060930365639E-2"/>
    <n v="11707340.625"/>
    <x v="3"/>
    <x v="3"/>
    <m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9307245311959497E-2"/>
    <n v="839225.25"/>
    <x v="3"/>
    <x v="3"/>
    <m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26592352272412167"/>
    <n v="577772.03728362184"/>
    <x v="3"/>
    <x v="3"/>
    <m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6.0272885489051683E-3"/>
    <n v="5757296.3855421683"/>
    <x v="2"/>
    <x v="2"/>
    <m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3.4713768107207686E-2"/>
    <n v="298774800"/>
    <x v="3"/>
    <x v="3"/>
    <m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8.4677789251095523E-2"/>
    <n v="40310621.052631579"/>
    <x v="2"/>
    <x v="2"/>
    <m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4.6662778101824849E-2"/>
    <n v="5494545.762711864"/>
    <x v="3"/>
    <x v="3"/>
    <m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3.024216412926509E-2"/>
    <n v="119075100"/>
    <x v="3"/>
    <x v="3"/>
    <m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3.4166424654492031E-2"/>
    <n v="311151.58671586716"/>
    <x v="2"/>
    <x v="8"/>
    <m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0.27051592278784886"/>
    <n v="6118668.2926829271"/>
    <x v="3"/>
    <x v="3"/>
    <m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272385503517185"/>
    <n v="76216235.294117644"/>
    <x v="3"/>
    <x v="3"/>
    <m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0.32880309527467766"/>
    <n v="522388.36363636365"/>
    <x v="3"/>
    <x v="3"/>
    <m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2.1941553187696274E-2"/>
    <n v="20729463.157894738"/>
    <x v="3"/>
    <x v="3"/>
    <m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0.21664288776945587"/>
    <n v="26645133.333333332"/>
    <x v="4"/>
    <x v="10"/>
    <m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1.7510834829050474E-2"/>
    <n v="16823700"/>
    <x v="1"/>
    <x v="17"/>
    <m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5.9216418739035711E-3"/>
    <n v="17166367.05882353"/>
    <x v="1"/>
    <x v="16"/>
    <m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4.5128369056041444E-2"/>
    <n v="9013658.8235294111"/>
    <x v="7"/>
    <x v="14"/>
    <m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29746986060688918"/>
    <n v="846925.65320665087"/>
    <x v="3"/>
    <x v="3"/>
    <m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9.4091027468419297E-2"/>
    <n v="22978092.857142858"/>
    <x v="4"/>
    <x v="10"/>
    <m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5.669831535130513E-3"/>
    <n v="4618003.6363636367"/>
    <x v="5"/>
    <x v="18"/>
    <m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2.8251447298102205E-2"/>
    <n v="1825247.2553699284"/>
    <x v="3"/>
    <x v="3"/>
    <m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0.17234239646889579"/>
    <n v="11862793.700787401"/>
    <x v="6"/>
    <x v="11"/>
    <m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0.14291226615980449"/>
    <n v="3682668.6131386859"/>
    <x v="1"/>
    <x v="1"/>
    <m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3.9077219376718354E-2"/>
    <n v="8601720"/>
    <x v="6"/>
    <x v="11"/>
    <m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12933410084630553"/>
    <n v="1471582.8"/>
    <x v="1"/>
    <x v="5"/>
    <m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6.431195586056096E-2"/>
    <n v="3594426.7379679144"/>
    <x v="2"/>
    <x v="8"/>
    <m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5.2534085592253414E-2"/>
    <n v="18540963.380281691"/>
    <x v="1"/>
    <x v="7"/>
    <m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7.8506168521542644E-2"/>
    <n v="7053393.1034482755"/>
    <x v="3"/>
    <x v="3"/>
    <m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7.28552037452561E-2"/>
    <n v="877537.65182186232"/>
    <x v="1"/>
    <x v="1"/>
    <m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0.13300116627916642"/>
    <n v="12664258.407079646"/>
    <x v="5"/>
    <x v="18"/>
    <m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1.3592304490274423E-2"/>
    <n v="13244587.5"/>
    <x v="3"/>
    <x v="3"/>
    <m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"/>
    <n v="13739433.96226415"/>
    <x v="3"/>
    <x v="3"/>
    <m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16451999089264335"/>
    <n v="2169188.2179675996"/>
    <x v="5"/>
    <x v="18"/>
    <m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6.7644314918108104E-3"/>
    <n v="2564971.0843373495"/>
    <x v="6"/>
    <x v="11"/>
    <m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2.5586558527919998E-2"/>
    <n v="2214843.9344262294"/>
    <x v="3"/>
    <x v="3"/>
    <m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6.1134177942140204E-2"/>
    <n v="8642020"/>
    <x v="2"/>
    <x v="2"/>
    <m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3.8497056579215719E-2"/>
    <n v="58208666.666666664"/>
    <x v="4"/>
    <x v="4"/>
    <m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8.6140517064685715E-2"/>
    <n v="558067.95366795361"/>
    <x v="3"/>
    <x v="3"/>
    <m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0.32508170938798853"/>
    <n v="12742247.78761062"/>
    <x v="0"/>
    <x v="0"/>
    <m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2.4033827612364403E-2"/>
    <n v="1178949.8360655739"/>
    <x v="6"/>
    <x v="11"/>
    <m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0.17683735536686129"/>
    <n v="8654882.9268292692"/>
    <x v="3"/>
    <x v="3"/>
    <m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11790746992950117"/>
    <n v="1320555600"/>
    <x v="3"/>
    <x v="3"/>
    <m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4.2457050144808862E-2"/>
    <n v="8689653.658536585"/>
    <x v="1"/>
    <x v="5"/>
    <m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3.9625912516363382E-2"/>
    <n v="4544282.1428571427"/>
    <x v="2"/>
    <x v="8"/>
    <m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6.0377527260733088E-2"/>
    <n v="34829027.027027026"/>
    <x v="1"/>
    <x v="5"/>
    <m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5.7772717315686985E-3"/>
    <n v="780178.40375586855"/>
    <x v="1"/>
    <x v="7"/>
    <m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0.11394418317582483"/>
    <n v="14383515.789473685"/>
    <x v="2"/>
    <x v="2"/>
    <m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2.7552447231323461E-2"/>
    <n v="10669053.06122449"/>
    <x v="3"/>
    <x v="3"/>
    <m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9.6348896356453134E-2"/>
    <n v="17743353.488372091"/>
    <x v="3"/>
    <x v="3"/>
    <m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0.23969616891021919"/>
    <n v="16107050.602409638"/>
    <x v="4"/>
    <x v="4"/>
    <m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1.2436070823423339E-2"/>
    <n v="23161320"/>
    <x v="4"/>
    <x v="19"/>
    <m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0683034825287867"/>
    <n v="5196904.0540540544"/>
    <x v="0"/>
    <x v="0"/>
    <m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3.844870168880582E-2"/>
    <n v="1995278.6982248521"/>
    <x v="5"/>
    <x v="15"/>
    <m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9.1989502975604903E-2"/>
    <n v="3906239.3351800554"/>
    <x v="2"/>
    <x v="2"/>
    <m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4.0180909762765213E-2"/>
    <n v="11494635.114503818"/>
    <x v="0"/>
    <x v="0"/>
    <m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5.5570348588165827E-3"/>
    <n v="12340257.142857144"/>
    <x v="2"/>
    <x v="8"/>
    <m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20014582052638352"/>
    <n v="458208.95883777237"/>
    <x v="5"/>
    <x v="13"/>
    <m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5.989383817184041E-3"/>
    <n v="19762175.342465755"/>
    <x v="3"/>
    <x v="3"/>
    <m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3.9372123989380461E-2"/>
    <n v="4789767.2727272725"/>
    <x v="4"/>
    <x v="19"/>
    <m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3.7275762988273668E-2"/>
    <n v="20764692.537313432"/>
    <x v="7"/>
    <x v="14"/>
    <m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0.10469780057635113"/>
    <n v="9119244.1558441557"/>
    <x v="4"/>
    <x v="4"/>
    <m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2.4180568394485822E-2"/>
    <n v="802240.40404040401"/>
    <x v="6"/>
    <x v="20"/>
    <m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7.9519417265398601E-2"/>
    <n v="1565457.80730897"/>
    <x v="6"/>
    <x v="11"/>
    <m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16462159896349365"/>
    <n v="419073.16209034546"/>
    <x v="5"/>
    <x v="13"/>
    <m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1.7896290993691558E-2"/>
    <n v="2188223.5649546827"/>
    <x v="3"/>
    <x v="3"/>
    <m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0.29396742785433821"/>
    <n v="16620242.553191489"/>
    <x v="7"/>
    <x v="14"/>
    <m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2.2480487639244373E-2"/>
    <n v="8542660"/>
    <x v="3"/>
    <x v="3"/>
    <m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16444269343428289"/>
    <n v="1903837.2093023255"/>
    <x v="3"/>
    <x v="3"/>
    <m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2.0351113234159345E-2"/>
    <n v="1895683.9285714286"/>
    <x v="3"/>
    <x v="3"/>
    <m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8.75526508529368E-2"/>
    <n v="2413549.6240601502"/>
    <x v="1"/>
    <x v="1"/>
    <m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0.1517980478771043"/>
    <n v="25910967.272727273"/>
    <x v="0"/>
    <x v="0"/>
    <m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0.10503141394107875"/>
    <n v="2478407.5046904315"/>
    <x v="4"/>
    <x v="6"/>
    <m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8.1056224962199747E-2"/>
    <n v="567674.17110110517"/>
    <x v="2"/>
    <x v="2"/>
    <m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9.1203169310133517E-2"/>
    <n v="17046283.146067414"/>
    <x v="3"/>
    <x v="3"/>
    <m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0.14475390465433149"/>
    <n v="8270603.773584906"/>
    <x v="1"/>
    <x v="21"/>
    <m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32355603489782947"/>
    <n v="1396482.1276595744"/>
    <x v="4"/>
    <x v="4"/>
    <m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3.1439063697128213E-2"/>
    <n v="11650123.076923076"/>
    <x v="3"/>
    <x v="3"/>
    <m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7.3945316411495418E-2"/>
    <n v="24192310.344827585"/>
    <x v="4"/>
    <x v="6"/>
    <m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4.0300349549559633E-2"/>
    <n v="25737192"/>
    <x v="5"/>
    <x v="9"/>
    <m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3.8433924343887538E-2"/>
    <n v="11733276.521739131"/>
    <x v="6"/>
    <x v="20"/>
    <m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9.669889123641115E-2"/>
    <n v="4389493.2515337421"/>
    <x v="2"/>
    <x v="8"/>
    <m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8429686278411918E-2"/>
    <n v="8171883.8709677421"/>
    <x v="4"/>
    <x v="4"/>
    <m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3.6148479881111667E-2"/>
    <n v="1339499.1596638656"/>
    <x v="2"/>
    <x v="2"/>
    <m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0.26560926825186454"/>
    <n v="11429323.076923076"/>
    <x v="2"/>
    <x v="2"/>
    <m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0.1352428877737612"/>
    <n v="18277560"/>
    <x v="1"/>
    <x v="7"/>
    <m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4.428646886914963E-2"/>
    <n v="11566213.333333334"/>
    <x v="3"/>
    <x v="3"/>
    <m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3.0636863806375023E-2"/>
    <n v="1836585.9375"/>
    <x v="2"/>
    <x v="8"/>
    <m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3083653610270668"/>
    <n v="25930588.235294119"/>
    <x v="3"/>
    <x v="3"/>
    <m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3.5366497611533411E-2"/>
    <n v="7368404.0201005023"/>
    <x v="3"/>
    <x v="3"/>
    <m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5.1806885039083012E-2"/>
    <n v="14034919.626168225"/>
    <x v="2"/>
    <x v="8"/>
    <m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0.33107839235972941"/>
    <n v="6982116.923076923"/>
    <x v="1"/>
    <x v="7"/>
    <m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5.5924501922404758E-3"/>
    <n v="1545026400"/>
    <x v="1"/>
    <x v="1"/>
    <m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3142288684936782"/>
    <n v="958893.2515337423"/>
    <x v="1"/>
    <x v="5"/>
    <m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0663984780051413E-2"/>
    <n v="440733.41232227487"/>
    <x v="1"/>
    <x v="7"/>
    <m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3.8382292968843705E-2"/>
    <n v="237835.09945432143"/>
    <x v="3"/>
    <x v="3"/>
    <m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13582777431920018"/>
    <n v="1383396.0339943343"/>
    <x v="1"/>
    <x v="7"/>
    <m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10208798282653267"/>
    <n v="1064312.5628140704"/>
    <x v="3"/>
    <x v="3"/>
    <m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13205527063306288"/>
    <n v="4148615.303430079"/>
    <x v="1"/>
    <x v="1"/>
    <m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7.4676789520357209E-2"/>
    <n v="46314000"/>
    <x v="7"/>
    <x v="14"/>
    <m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5.9604523983370341E-3"/>
    <n v="35357092.682926826"/>
    <x v="1"/>
    <x v="1"/>
    <m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0.10009894038783705"/>
    <n v="854046.12850082375"/>
    <x v="3"/>
    <x v="3"/>
    <m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8.8823710379189347E-2"/>
    <n v="9498314.6341463421"/>
    <x v="2"/>
    <x v="8"/>
    <m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3.592554430941873E-2"/>
    <n v="19246704"/>
    <x v="2"/>
    <x v="2"/>
    <m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0.16784860056229281"/>
    <n v="9852489.171974523"/>
    <x v="1"/>
    <x v="1"/>
    <m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0.28089284307946377"/>
    <n v="6149239.0243902439"/>
    <x v="7"/>
    <x v="14"/>
    <m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5.7315759684572268E-3"/>
    <n v="1079889.1117478509"/>
    <x v="3"/>
    <x v="3"/>
    <m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0.18412806490514289"/>
    <n v="600290.66241021547"/>
    <x v="2"/>
    <x v="2"/>
    <m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2.6728587895290756E-2"/>
    <n v="5300586.8852459015"/>
    <x v="7"/>
    <x v="14"/>
    <m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6.3027030717799096E-2"/>
    <n v="9395235.6164383553"/>
    <x v="3"/>
    <x v="3"/>
    <m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12790692275907536"/>
    <n v="1625967.3298429318"/>
    <x v="1"/>
    <x v="7"/>
    <m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0.18054954768576856"/>
    <n v="1059454.1436464088"/>
    <x v="4"/>
    <x v="12"/>
    <m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4.02733795358493E-2"/>
    <n v="22423002.985074628"/>
    <x v="1"/>
    <x v="7"/>
    <m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3622958813770542"/>
    <n v="279438480"/>
    <x v="5"/>
    <x v="18"/>
    <m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9.2193041986247878E-2"/>
    <n v="54117000"/>
    <x v="4"/>
    <x v="4"/>
    <m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3.7871117224257504E-2"/>
    <n v="877239.97437540034"/>
    <x v="3"/>
    <x v="3"/>
    <m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5.9832916580449102E-3"/>
    <n v="30085575"/>
    <x v="2"/>
    <x v="8"/>
    <m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11147481671437756"/>
    <n v="1304655.9292035399"/>
    <x v="3"/>
    <x v="3"/>
    <m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5.2794568025556481E-2"/>
    <n v="1884471.0997442454"/>
    <x v="3"/>
    <x v="3"/>
    <m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0.16746772059685497"/>
    <n v="471690.69003285869"/>
    <x v="3"/>
    <x v="3"/>
    <m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5.163449471105002E-2"/>
    <n v="7174988.5714285718"/>
    <x v="0"/>
    <x v="0"/>
    <m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6.33665039379642E-3"/>
    <n v="385519.59287531808"/>
    <x v="3"/>
    <x v="3"/>
    <m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4036276998567636E-2"/>
    <n v="602594.209776934"/>
    <x v="2"/>
    <x v="8"/>
    <m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10319202554958114"/>
    <n v="11093002.94117647"/>
    <x v="2"/>
    <x v="2"/>
    <m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8.8582745280777309E-2"/>
    <n v="470752.62206148281"/>
    <x v="3"/>
    <x v="3"/>
    <m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8.7476063240707766E-2"/>
    <n v="14943390.697674418"/>
    <x v="1"/>
    <x v="1"/>
    <m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5.5496333773450094E-3"/>
    <n v="4579252.9411764704"/>
    <x v="3"/>
    <x v="3"/>
    <m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6.2272816264527381E-2"/>
    <n v="80375684.210526317"/>
    <x v="4"/>
    <x v="19"/>
    <m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9.2517160648339702E-2"/>
    <n v="1582525.0564334085"/>
    <x v="3"/>
    <x v="3"/>
    <m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0.17740903490542592"/>
    <n v="945918.72399445216"/>
    <x v="4"/>
    <x v="12"/>
    <m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6.0952380952380954E-3"/>
    <n v="40502468.571428575"/>
    <x v="3"/>
    <x v="3"/>
    <m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"/>
    <n v="3304016.3265306121"/>
    <x v="3"/>
    <x v="3"/>
    <m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6.3050874174099226E-3"/>
    <n v="57100350"/>
    <x v="3"/>
    <x v="3"/>
    <m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1.6697084735385993E-2"/>
    <n v="18053790.69767442"/>
    <x v="3"/>
    <x v="3"/>
    <m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2.4618098918598716E-2"/>
    <n v="5778562.9629629627"/>
    <x v="1"/>
    <x v="1"/>
    <m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2.2689617845384435E-2"/>
    <n v="23438603.076923076"/>
    <x v="1"/>
    <x v="7"/>
    <m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9.5853105116409112E-2"/>
    <n v="11457057.142857144"/>
    <x v="1"/>
    <x v="16"/>
    <m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9456162559389746E-2"/>
    <n v="2926422.1374045801"/>
    <x v="1"/>
    <x v="5"/>
    <m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11145519916506369"/>
    <n v="14745204"/>
    <x v="2"/>
    <x v="8"/>
    <m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8.0737207597947933E-2"/>
    <n v="753847.96380090492"/>
    <x v="4"/>
    <x v="6"/>
    <m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0.19558637976917434"/>
    <n v="7640335.7142857146"/>
    <x v="1"/>
    <x v="5"/>
    <m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2.4062743603947293E-2"/>
    <n v="110506984.61538461"/>
    <x v="1"/>
    <x v="1"/>
    <m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7.4864520739457291E-2"/>
    <n v="1270443600"/>
    <x v="3"/>
    <x v="3"/>
    <m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0.11059086754951629"/>
    <n v="8967003.8216560502"/>
    <x v="2"/>
    <x v="2"/>
    <m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2.6230869908547165E-2"/>
    <n v="16071673.170731707"/>
    <x v="0"/>
    <x v="0"/>
    <m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1639241703403023E-2"/>
    <n v="330103.51267229882"/>
    <x v="3"/>
    <x v="3"/>
    <m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6.6369295351660473E-2"/>
    <n v="32566770"/>
    <x v="1"/>
    <x v="17"/>
    <m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6.7335501474133114E-2"/>
    <n v="19259865"/>
    <x v="3"/>
    <x v="3"/>
    <m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6.1361195861528231E-2"/>
    <n v="22246105.263157893"/>
    <x v="5"/>
    <x v="13"/>
    <m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0.11254158763355521"/>
    <n v="35747916.279069766"/>
    <x v="1"/>
    <x v="1"/>
    <m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0.13730566242830786"/>
    <n v="736619.97077447642"/>
    <x v="4"/>
    <x v="4"/>
    <m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4.1353540773852747E-2"/>
    <n v="1810786.6336633663"/>
    <x v="4"/>
    <x v="4"/>
    <m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15647749094268618"/>
    <n v="6596681.4159292039"/>
    <x v="4"/>
    <x v="22"/>
    <m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15052487711054954"/>
    <n v="849017.35384615383"/>
    <x v="3"/>
    <x v="3"/>
    <m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0.25212041490250886"/>
    <n v="9406928.5714285709"/>
    <x v="3"/>
    <x v="3"/>
    <m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5.3901430203233534E-2"/>
    <n v="300702.82117043599"/>
    <x v="1"/>
    <x v="7"/>
    <m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4.0430699254558986E-2"/>
    <n v="7774014.5454545459"/>
    <x v="1"/>
    <x v="1"/>
    <m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1.1148116665040899E-2"/>
    <n v="10840632.167832168"/>
    <x v="3"/>
    <x v="3"/>
    <m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307168183526413E-2"/>
    <n v="728437.68595041323"/>
    <x v="3"/>
    <x v="3"/>
    <m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4.9960563536652777E-2"/>
    <n v="1667243.2548179871"/>
    <x v="4"/>
    <x v="22"/>
    <m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0.22237846853181156"/>
    <n v="3334833.2493702769"/>
    <x v="4"/>
    <x v="12"/>
    <m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7.708016069072389E-2"/>
    <n v="874678.36257309944"/>
    <x v="4"/>
    <x v="10"/>
    <m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0.1187632130947439"/>
    <n v="77120682.35294117"/>
    <x v="3"/>
    <x v="3"/>
    <m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1.2893070780272528E-2"/>
    <n v="615157.22808627808"/>
    <x v="0"/>
    <x v="0"/>
    <m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6.1180009431918113E-3"/>
    <n v="10234147.826086957"/>
    <x v="7"/>
    <x v="14"/>
    <m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8.2957022830463995E-2"/>
    <n v="1567469.387755102"/>
    <x v="3"/>
    <x v="3"/>
    <m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0.27569989772834502"/>
    <n v="393830.38397328882"/>
    <x v="4"/>
    <x v="22"/>
    <m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0"/>
    <n v="237941.02040816325"/>
    <x v="1"/>
    <x v="1"/>
    <m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0.25157731611199724"/>
    <n v="11374103.571428571"/>
    <x v="7"/>
    <x v="14"/>
    <m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3.6209562844965237E-2"/>
    <n v="1518753.3404029692"/>
    <x v="6"/>
    <x v="20"/>
    <m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0.14667739041365468"/>
    <n v="597560.61588330637"/>
    <x v="4"/>
    <x v="10"/>
    <m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0.27716492997495407"/>
    <n v="588177.3422187377"/>
    <x v="6"/>
    <x v="20"/>
    <m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0"/>
    <n v="15600118.811881188"/>
    <x v="6"/>
    <x v="11"/>
    <m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36601815891814288"/>
    <n v="20509307.462686568"/>
    <x v="3"/>
    <x v="3"/>
    <m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5.879859765344597E-3"/>
    <n v="15972926.086956521"/>
    <x v="3"/>
    <x v="3"/>
    <m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0.10569980704280017"/>
    <n v="21116729.032258064"/>
    <x v="4"/>
    <x v="10"/>
    <m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4.0229403383580178E-2"/>
    <n v="10093844.295302013"/>
    <x v="6"/>
    <x v="11"/>
    <m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2.9052454206069056E-2"/>
    <n v="16167365.217391305"/>
    <x v="4"/>
    <x v="10"/>
    <m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3.8733506558182106E-2"/>
    <n v="27404273.684210528"/>
    <x v="1"/>
    <x v="1"/>
    <m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2356961732034134E-2"/>
    <n v="4250987.2340425532"/>
    <x v="4"/>
    <x v="10"/>
    <m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0.14274091097249383"/>
    <n v="15622589.69072165"/>
    <x v="3"/>
    <x v="3"/>
    <m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2.3986267861649205E-2"/>
    <n v="35150487.804878049"/>
    <x v="2"/>
    <x v="8"/>
    <m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6.744357923074977E-3"/>
    <n v="718137.44394618832"/>
    <x v="3"/>
    <x v="3"/>
    <m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6.1830650999466719E-2"/>
    <n v="830302.37529691216"/>
    <x v="5"/>
    <x v="9"/>
    <m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5.7816139857242307E-2"/>
    <n v="5981025.5999999996"/>
    <x v="1"/>
    <x v="1"/>
    <m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1.7051025192889722E-2"/>
    <n v="6388245.3781512603"/>
    <x v="3"/>
    <x v="3"/>
    <m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0.31970079284771946"/>
    <n v="26600128.301886793"/>
    <x v="3"/>
    <x v="3"/>
    <m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6.185359768873723E-3"/>
    <n v="6527725.2336448599"/>
    <x v="3"/>
    <x v="3"/>
    <m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2.5122143337529084E-2"/>
    <n v="6198308.1081081079"/>
    <x v="2"/>
    <x v="2"/>
    <m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8.7426598085357507E-2"/>
    <n v="787517.19745222933"/>
    <x v="5"/>
    <x v="13"/>
    <m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3.0422415235545546E-2"/>
    <n v="6515768.8073394494"/>
    <x v="6"/>
    <x v="20"/>
    <m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4.2586199029643036E-2"/>
    <n v="219765.38283062645"/>
    <x v="5"/>
    <x v="18"/>
    <m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2391649725814442"/>
    <n v="1267423200"/>
    <x v="1"/>
    <x v="1"/>
    <m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1.275245883346883E-2"/>
    <n v="13417877.227722771"/>
    <x v="3"/>
    <x v="3"/>
    <m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3.124373498022532E-2"/>
    <n v="23442528.813559324"/>
    <x v="3"/>
    <x v="3"/>
    <m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7.9616733889360386E-2"/>
    <n v="976236.40449438198"/>
    <x v="4"/>
    <x v="6"/>
    <m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161558230366036E-2"/>
    <n v="16907154.545454547"/>
    <x v="5"/>
    <x v="9"/>
    <m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3.3286177914620949E-2"/>
    <n v="765037.12433706538"/>
    <x v="1"/>
    <x v="1"/>
    <m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199206502518686"/>
    <n v="97120800"/>
    <x v="1"/>
    <x v="1"/>
    <m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8.8516152216074534E-2"/>
    <n v="14822491.304347826"/>
    <x v="3"/>
    <x v="3"/>
    <m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0.1166639931168244"/>
    <n v="7972606.4516129028"/>
    <x v="3"/>
    <x v="3"/>
    <m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0.12115608410782892"/>
    <n v="9830347.826086957"/>
    <x v="7"/>
    <x v="14"/>
    <m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7.6867848687775076E-2"/>
    <n v="5171820.6896551726"/>
    <x v="1"/>
    <x v="1"/>
    <m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2.6942906297623692E-2"/>
    <n v="2826118.9427312776"/>
    <x v="1"/>
    <x v="1"/>
    <m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0.1725372655608429"/>
    <n v="12189028.037383178"/>
    <x v="1"/>
    <x v="7"/>
    <m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0"/>
    <n v="6346818.0904522613"/>
    <x v="7"/>
    <x v="14"/>
    <m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0.10159859031955933"/>
    <n v="247102.90275761974"/>
    <x v="3"/>
    <x v="3"/>
    <m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0.26185410560457051"/>
    <n v="16925609.30232558"/>
    <x v="3"/>
    <x v="3"/>
    <m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2014498283098054"/>
    <n v="445691.76618478942"/>
    <x v="1"/>
    <x v="17"/>
    <m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0.10258651240497424"/>
    <n v="488598.55491329479"/>
    <x v="3"/>
    <x v="3"/>
    <m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0.29481368042197043"/>
    <n v="28193850"/>
    <x v="4"/>
    <x v="4"/>
    <m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0.11714010793624231"/>
    <n v="17824468.965517242"/>
    <x v="4"/>
    <x v="19"/>
    <m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1.3382178284070191E-2"/>
    <n v="683302.85714285716"/>
    <x v="6"/>
    <x v="11"/>
    <m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0.18478503837269952"/>
    <n v="23805678.688524589"/>
    <x v="7"/>
    <x v="14"/>
    <m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0.13821922951994159"/>
    <n v="826238.01478352689"/>
    <x v="3"/>
    <x v="3"/>
    <m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7215448952607303E-2"/>
    <n v="5340012.7659574468"/>
    <x v="3"/>
    <x v="3"/>
    <m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2.8610256777054574E-2"/>
    <n v="100692000"/>
    <x v="3"/>
    <x v="3"/>
    <m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4.4463691459034352E-2"/>
    <n v="13407051.72413793"/>
    <x v="5"/>
    <x v="18"/>
    <m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3.2364117902481518E-2"/>
    <n v="10039425.563909775"/>
    <x v="6"/>
    <x v="11"/>
    <m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.3505110840383657E-2"/>
    <n v="15417932.530120483"/>
    <x v="3"/>
    <x v="3"/>
    <m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0.15953797801566663"/>
    <n v="14901863.736263737"/>
    <x v="2"/>
    <x v="2"/>
    <m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6875540544658073E-2"/>
    <n v="2813571.4285714286"/>
    <x v="3"/>
    <x v="3"/>
    <m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3.4302865718573571E-2"/>
    <n v="3846723.6641221372"/>
    <x v="4"/>
    <x v="10"/>
    <m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13600255241370734"/>
    <n v="646584.093113482"/>
    <x v="3"/>
    <x v="3"/>
    <m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3.5021669658100947E-2"/>
    <n v="11133419.54887218"/>
    <x v="4"/>
    <x v="19"/>
    <m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2.9496422329774914E-2"/>
    <n v="50517806.896551721"/>
    <x v="1"/>
    <x v="1"/>
    <m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3.2338998946287618E-2"/>
    <n v="10123336.363636363"/>
    <x v="2"/>
    <x v="2"/>
    <m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0.22281890344758504"/>
    <n v="5814042.5196850393"/>
    <x v="3"/>
    <x v="3"/>
    <m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4.0868156408272883E-2"/>
    <n v="8046117.3913043477"/>
    <x v="3"/>
    <x v="3"/>
    <m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0"/>
    <n v="8126120.4545454541"/>
    <x v="1"/>
    <x v="5"/>
    <m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6.4879418896671417E-3"/>
    <n v="9721077.372262774"/>
    <x v="1"/>
    <x v="16"/>
    <m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.8017792570163036E-2"/>
    <n v="4269546.5875370922"/>
    <x v="3"/>
    <x v="3"/>
    <m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20208133247378601"/>
    <n v="1509831.2775330397"/>
    <x v="4"/>
    <x v="4"/>
    <m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2.6208527053479043E-2"/>
    <n v="12327106.542056074"/>
    <x v="2"/>
    <x v="2"/>
    <m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0.11676780235968266"/>
    <n v="133342920"/>
    <x v="0"/>
    <x v="0"/>
    <m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6.0454584892511189E-2"/>
    <n v="40219762.5"/>
    <x v="3"/>
    <x v="3"/>
    <m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6.7535198925045281E-2"/>
    <n v="8423881.9672131147"/>
    <x v="3"/>
    <x v="3"/>
    <m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15657688029033159"/>
    <n v="724595.18324607331"/>
    <x v="3"/>
    <x v="3"/>
    <m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12273874778582089"/>
    <n v="40804105.263157897"/>
    <x v="3"/>
    <x v="3"/>
    <m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5.5955360057198818E-2"/>
    <n v="13369776.923076924"/>
    <x v="3"/>
    <x v="3"/>
    <m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0.1065318087667522"/>
    <n v="20250250"/>
    <x v="1"/>
    <x v="1"/>
    <m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33183599444551515"/>
    <n v="29833053.06122449"/>
    <x v="0"/>
    <x v="0"/>
    <m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5.7444165467918631E-3"/>
    <n v="1504155600"/>
    <x v="5"/>
    <x v="9"/>
    <m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0.10282607487355172"/>
    <n v="4835239.322033898"/>
    <x v="4"/>
    <x v="4"/>
    <m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7.8756952762236043E-2"/>
    <n v="6273771.4285714282"/>
    <x v="3"/>
    <x v="3"/>
    <m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2.9749066623034701E-2"/>
    <n v="45393075"/>
    <x v="1"/>
    <x v="7"/>
    <m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0.24089011836419941"/>
    <n v="10380904.225352112"/>
    <x v="4"/>
    <x v="4"/>
    <m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0.24290238730588173"/>
    <n v="17198894.117647059"/>
    <x v="3"/>
    <x v="3"/>
    <m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1.7279903232541898E-2"/>
    <n v="214323942.85714287"/>
    <x v="3"/>
    <x v="3"/>
    <m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0.12905550193179954"/>
    <n v="2034426.1001517451"/>
    <x v="5"/>
    <x v="13"/>
    <m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6.6303287814284493E-3"/>
    <n v="1622900.6226650062"/>
    <x v="3"/>
    <x v="3"/>
    <m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13124902588613599"/>
    <n v="17577456"/>
    <x v="1"/>
    <x v="7"/>
    <m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10878279418805258"/>
    <n v="79510725"/>
    <x v="6"/>
    <x v="11"/>
    <m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7.9886826995090282E-2"/>
    <n v="10734485.950413223"/>
    <x v="3"/>
    <x v="3"/>
    <m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4.3741228972315443E-2"/>
    <n v="369663.81614110101"/>
    <x v="3"/>
    <x v="3"/>
    <m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1.2989332510675609E-2"/>
    <n v="5966346.1883408073"/>
    <x v="1"/>
    <x v="1"/>
    <m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7828474558976652E-2"/>
    <n v="11675178.947368421"/>
    <x v="4"/>
    <x v="4"/>
    <m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17885547911939373"/>
    <n v="45271393.548387095"/>
    <x v="3"/>
    <x v="3"/>
    <m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5.4887001385896788E-3"/>
    <n v="14576200"/>
    <x v="0"/>
    <x v="0"/>
    <m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7.5143603761997094E-2"/>
    <n v="49862040"/>
    <x v="3"/>
    <x v="3"/>
    <m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1.2410604861854455E-2"/>
    <n v="81913552.941176474"/>
    <x v="1"/>
    <x v="1"/>
    <m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16179911628468779"/>
    <n v="20057231.25"/>
    <x v="2"/>
    <x v="2"/>
    <m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5.9586042521262012E-2"/>
    <n v="16322265"/>
    <x v="5"/>
    <x v="13"/>
    <m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5.3102485030354148E-2"/>
    <n v="527684.44084278774"/>
    <x v="4"/>
    <x v="12"/>
    <m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8.7024919250916266E-2"/>
    <n v="249958.97832817337"/>
    <x v="3"/>
    <x v="3"/>
    <m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1.2379142177026891E-2"/>
    <n v="53694969.230769232"/>
    <x v="4"/>
    <x v="4"/>
    <m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7.2257779628825833E-2"/>
    <n v="4677197.3941368079"/>
    <x v="3"/>
    <x v="3"/>
    <m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12995665757127015"/>
    <n v="20974142.465753425"/>
    <x v="3"/>
    <x v="3"/>
    <m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3.5724386359238476E-2"/>
    <n v="11340843.75"/>
    <x v="4"/>
    <x v="10"/>
    <m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2.2055326706013983E-2"/>
    <n v="47494363.636363633"/>
    <x v="3"/>
    <x v="3"/>
    <m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6.1572046290983895E-2"/>
    <n v="632735.76403113478"/>
    <x v="1"/>
    <x v="1"/>
    <m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6.4150228170697918E-2"/>
    <n v="7025937.4407582935"/>
    <x v="6"/>
    <x v="11"/>
    <m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5.7115931061071205E-3"/>
    <n v="1092273.7906137183"/>
    <x v="4"/>
    <x v="4"/>
    <m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6.5243275864881175E-3"/>
    <n v="6970320"/>
    <x v="0"/>
    <x v="0"/>
    <m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6.3322366251289536E-3"/>
    <n v="2903262.1276595746"/>
    <x v="2"/>
    <x v="8"/>
    <m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0.15681662256199158"/>
    <n v="6107165.2173913047"/>
    <x v="3"/>
    <x v="3"/>
    <m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3.9905936007981188E-2"/>
    <n v="1362236.1185983827"/>
    <x v="1"/>
    <x v="1"/>
    <m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7.1368770672925158E-2"/>
    <n v="689847.04336399469"/>
    <x v="1"/>
    <x v="1"/>
    <m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6.6852740126685951E-3"/>
    <n v="1205670.8955223882"/>
    <x v="1"/>
    <x v="1"/>
    <m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5.4911112636419797E-3"/>
    <n v="1437021.3698630137"/>
    <x v="3"/>
    <x v="3"/>
    <m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0.19669282863410492"/>
    <n v="781291.59763313609"/>
    <x v="3"/>
    <x v="3"/>
    <m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8.0551393467186094E-2"/>
    <n v="1158719.8149575945"/>
    <x v="3"/>
    <x v="3"/>
    <m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6.527308627470179E-3"/>
    <n v="3368335.8778625955"/>
    <x v="7"/>
    <x v="14"/>
    <m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4.197848602591172E-2"/>
    <n v="1146652.9832935561"/>
    <x v="1"/>
    <x v="7"/>
    <m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7.5442240844114841E-2"/>
    <n v="4193089.0243902439"/>
    <x v="3"/>
    <x v="3"/>
    <m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33066616754792316"/>
    <n v="9451836.7346938774"/>
    <x v="3"/>
    <x v="3"/>
    <m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22787802828536027"/>
    <n v="1831393.7349397591"/>
    <x v="6"/>
    <x v="11"/>
    <m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6.0149622185185648E-3"/>
    <n v="4339892.4471299089"/>
    <x v="4"/>
    <x v="6"/>
    <m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160518420794296"/>
    <n v="60332112"/>
    <x v="1"/>
    <x v="7"/>
    <m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0.1456553733177563"/>
    <n v="7464439.7905759159"/>
    <x v="2"/>
    <x v="2"/>
    <m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7.5523216127111381E-2"/>
    <n v="427317.82945736434"/>
    <x v="0"/>
    <x v="0"/>
    <m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17279903232541896"/>
    <n v="1627952.7627302276"/>
    <x v="3"/>
    <x v="3"/>
    <m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10859592011161247"/>
    <n v="1433653200"/>
    <x v="1"/>
    <x v="17"/>
    <m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8.3977116235825738E-2"/>
    <n v="716146.05067064089"/>
    <x v="1"/>
    <x v="1"/>
    <m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4.7771889228931851E-2"/>
    <n v="43865672.727272727"/>
    <x v="3"/>
    <x v="3"/>
    <m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5.5302979678459258E-3"/>
    <n v="917433.47034644743"/>
    <x v="3"/>
    <x v="3"/>
    <m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4.3883822803392633E-2"/>
    <n v="17234865"/>
    <x v="4"/>
    <x v="4"/>
    <m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23271711779849608"/>
    <n v="17308381.395348836"/>
    <x v="2"/>
    <x v="8"/>
    <m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5.8619510527087096E-2"/>
    <n v="33182460"/>
    <x v="3"/>
    <x v="3"/>
    <m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0.14986923908889496"/>
    <n v="35205278.048780486"/>
    <x v="6"/>
    <x v="11"/>
    <m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1.6898354053375329E-2"/>
    <n v="66701582.608695649"/>
    <x v="7"/>
    <x v="14"/>
    <m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4.6012648000503947E-2"/>
    <n v="7032224.5989304809"/>
    <x v="4"/>
    <x v="10"/>
    <m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9.3487587853291254E-2"/>
    <n v="450459.54782608693"/>
    <x v="3"/>
    <x v="3"/>
    <m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0.13756570792602976"/>
    <n v="17152568.181818184"/>
    <x v="3"/>
    <x v="3"/>
    <m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0.25331222398133491"/>
    <n v="6803095.2879581153"/>
    <x v="1"/>
    <x v="1"/>
    <m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6.5209240149329169E-3"/>
    <n v="9532748.2014388498"/>
    <x v="1"/>
    <x v="1"/>
    <m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0.17026375489597098"/>
    <n v="8187193.5483870972"/>
    <x v="1"/>
    <x v="7"/>
    <m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0.15730369809342093"/>
    <n v="13261821.428571429"/>
    <x v="3"/>
    <x v="3"/>
    <m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6.6767931362566556E-3"/>
    <n v="12813077.227722771"/>
    <x v="3"/>
    <x v="3"/>
    <m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4694309965900032"/>
    <n v="18875808"/>
    <x v="3"/>
    <x v="3"/>
    <m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0.15441207323384198"/>
    <n v="6256957.2815533979"/>
    <x v="4"/>
    <x v="4"/>
    <m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0.24752344192597062"/>
    <n v="8852189.6103896108"/>
    <x v="4"/>
    <x v="19"/>
    <m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3.3331095829215174E-2"/>
    <n v="260781.56218571909"/>
    <x v="3"/>
    <x v="3"/>
    <m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30932111224082026"/>
    <n v="656147.9779411765"/>
    <x v="3"/>
    <x v="3"/>
    <m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0.12163045626624906"/>
    <n v="8416714.7928994074"/>
    <x v="4"/>
    <x v="4"/>
    <m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4.5989676275794339E-2"/>
    <n v="713977.77777777775"/>
    <x v="3"/>
    <x v="3"/>
    <m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2.7921651844923144E-2"/>
    <n v="3509338.775510204"/>
    <x v="4"/>
    <x v="4"/>
    <m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34107244737543629"/>
    <n v="57996000"/>
    <x v="1"/>
    <x v="7"/>
    <m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90670548705318E-2"/>
    <n v="10726268.702290077"/>
    <x v="1"/>
    <x v="1"/>
    <m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7.7189301608606722E-2"/>
    <n v="12385303.937007874"/>
    <x v="3"/>
    <x v="3"/>
    <m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21502689015002369"/>
    <n v="4310315.4929577466"/>
    <x v="4"/>
    <x v="4"/>
    <m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9.1930569232993531E-2"/>
    <n v="30020563.636363637"/>
    <x v="3"/>
    <x v="3"/>
    <m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3.1487715854852126E-2"/>
    <n v="16338042.857142856"/>
    <x v="3"/>
    <x v="3"/>
    <m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0.27720514938695984"/>
    <n v="9275574.1935483869"/>
    <x v="3"/>
    <x v="3"/>
    <m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1088500328221042"/>
    <n v="22533904.47761194"/>
    <x v="7"/>
    <x v="14"/>
    <m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3.3444349995122698E-2"/>
    <n v="8204000"/>
    <x v="0"/>
    <x v="0"/>
    <m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0.15691060454169026"/>
    <n v="310281.14190456347"/>
    <x v="4"/>
    <x v="4"/>
    <m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0.17793388180834574"/>
    <n v="1369041.6886543536"/>
    <x v="5"/>
    <x v="9"/>
    <m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8.1156708531880783E-2"/>
    <n v="1197158.4269662921"/>
    <x v="3"/>
    <x v="3"/>
    <m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3.2251388825431299E-2"/>
    <n v="3160163.2075471696"/>
    <x v="2"/>
    <x v="8"/>
    <m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1.3035047985270396E-2"/>
    <n v="9143652.4137931038"/>
    <x v="1"/>
    <x v="7"/>
    <m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0.18136343947798628"/>
    <n v="1120293.75"/>
    <x v="3"/>
    <x v="3"/>
    <m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9.3977847332987002E-2"/>
    <n v="27606888"/>
    <x v="7"/>
    <x v="14"/>
    <m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1.2434524457155292E-2"/>
    <n v="9204317.8807947021"/>
    <x v="5"/>
    <x v="9"/>
    <m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1.3350912034178335E-2"/>
    <n v="805016.41791044781"/>
    <x v="2"/>
    <x v="8"/>
    <m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5.7589725992882868E-3"/>
    <n v="490472.04968944099"/>
    <x v="1"/>
    <x v="17"/>
    <m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6.2832982079509908E-2"/>
    <n v="40468764.705882356"/>
    <x v="4"/>
    <x v="4"/>
    <m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6.5290133028646051E-3"/>
    <n v="6015501.8181818184"/>
    <x v="3"/>
    <x v="3"/>
    <m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4.492058181511905E-2"/>
    <n v="959729.92518703244"/>
    <x v="4"/>
    <x v="6"/>
    <m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3.7859169148983719E-2"/>
    <n v="3017188.5462555066"/>
    <x v="1"/>
    <x v="1"/>
    <m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1.1325536016384277E-2"/>
    <n v="12405921.951219512"/>
    <x v="4"/>
    <x v="10"/>
    <m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4.6644122007696277E-2"/>
    <n v="1378566.6312433581"/>
    <x v="1"/>
    <x v="7"/>
    <m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13807639704286384"/>
    <n v="1378530000"/>
    <x v="7"/>
    <x v="14"/>
    <m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0"/>
    <n v="5258034.7826086953"/>
    <x v="3"/>
    <x v="3"/>
    <m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30628370342614164"/>
    <n v="33247260"/>
    <x v="4"/>
    <x v="12"/>
    <m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2442133588099121"/>
    <n v="423466.26865671639"/>
    <x v="3"/>
    <x v="3"/>
    <m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1.71582996125084E-2"/>
    <n v="675412.78497988381"/>
    <x v="3"/>
    <x v="3"/>
    <m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28270615757570045"/>
    <n v="3522777.9310344825"/>
    <x v="3"/>
    <x v="3"/>
    <m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7.6261896061390819E-2"/>
    <n v="2109399.0697674421"/>
    <x v="4"/>
    <x v="4"/>
    <m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8499173871893999E-2"/>
    <n v="3246999.1735537192"/>
    <x v="3"/>
    <x v="3"/>
    <m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0.11783970363314536"/>
    <n v="9533290.9090909082"/>
    <x v="4"/>
    <x v="4"/>
    <m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2.3155909219187566E-2"/>
    <n v="2090808.4033613445"/>
    <x v="1"/>
    <x v="1"/>
    <m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"/>
    <n v="1287306.2106210622"/>
    <x v="6"/>
    <x v="20"/>
    <m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1550539626773189E-2"/>
    <n v="18246424.390243903"/>
    <x v="3"/>
    <x v="3"/>
    <m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2215171169489686E-2"/>
    <n v="10370095.52238806"/>
    <x v="5"/>
    <x v="13"/>
    <m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1511567691640191"/>
    <n v="1419312.3966942148"/>
    <x v="4"/>
    <x v="10"/>
    <m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5.4350749162800312E-2"/>
    <n v="231477.31489903585"/>
    <x v="0"/>
    <x v="0"/>
    <m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73295445293035"/>
    <n v="3176801.913875598"/>
    <x v="3"/>
    <x v="3"/>
    <m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6.0035020428583344E-2"/>
    <n v="900640.44475330086"/>
    <x v="4"/>
    <x v="4"/>
    <m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13477624107428576"/>
    <n v="102886560"/>
    <x v="3"/>
    <x v="3"/>
    <m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6.4657088437426761E-3"/>
    <n v="668517.65882941475"/>
    <x v="4"/>
    <x v="4"/>
    <m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3.9138304985241595E-2"/>
    <n v="254670.76686527004"/>
    <x v="2"/>
    <x v="2"/>
    <m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8.0727896533745944E-2"/>
    <n v="15952940.425531914"/>
    <x v="3"/>
    <x v="3"/>
    <m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17294845895716884"/>
    <n v="12722918.644067796"/>
    <x v="2"/>
    <x v="8"/>
    <m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0.13590457233945563"/>
    <n v="6210772.682926829"/>
    <x v="3"/>
    <x v="3"/>
    <m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1.3124041329793489E-2"/>
    <n v="8128644.444444444"/>
    <x v="0"/>
    <x v="0"/>
    <m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3.4015132009420301E-2"/>
    <n v="18368024.096385542"/>
    <x v="1"/>
    <x v="7"/>
    <m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3.6048575455426189E-2"/>
    <n v="15636717.391304348"/>
    <x v="7"/>
    <x v="14"/>
    <m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4.4407086102168022E-2"/>
    <n v="6221687.6712328764"/>
    <x v="3"/>
    <x v="3"/>
    <m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0.19600386903470646"/>
    <n v="559520.66508313536"/>
    <x v="3"/>
    <x v="3"/>
    <m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4.6616165820361273E-2"/>
    <n v="1737628.9156626507"/>
    <x v="4"/>
    <x v="10"/>
    <m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17353298678459669"/>
    <n v="652211.2254443405"/>
    <x v="7"/>
    <x v="14"/>
    <m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18714008214899194"/>
    <n v="18722271.428571429"/>
    <x v="3"/>
    <x v="3"/>
    <m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9.602236756326768E-2"/>
    <n v="16288429.787234042"/>
    <x v="3"/>
    <x v="3"/>
    <m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12351619734800431"/>
    <n v="15392690.109890111"/>
    <x v="3"/>
    <x v="3"/>
    <m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9.9786394748740986E-2"/>
    <n v="1750936.3636363635"/>
    <x v="4"/>
    <x v="4"/>
    <m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8.1698154497045733E-2"/>
    <n v="148178160"/>
    <x v="3"/>
    <x v="3"/>
    <m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7.3084946023722161E-2"/>
    <n v="828756.56742556917"/>
    <x v="3"/>
    <x v="3"/>
    <m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5.5536400639594214E-3"/>
    <n v="6248284.3373493971"/>
    <x v="1"/>
    <x v="17"/>
    <m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7973533971227369E-2"/>
    <n v="7512393.75"/>
    <x v="4"/>
    <x v="10"/>
    <m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0.1899914913407216"/>
    <n v="5526174.8987854254"/>
    <x v="3"/>
    <x v="3"/>
    <m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4.1152363582349777E-2"/>
    <n v="645013.86829481029"/>
    <x v="4"/>
    <x v="22"/>
    <m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5.7646163047368339E-2"/>
    <n v="478972.46885978919"/>
    <x v="4"/>
    <x v="19"/>
    <m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18115697845256354"/>
    <n v="41807362.5"/>
    <x v="2"/>
    <x v="8"/>
    <m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9.189482828350512E-2"/>
    <n v="10529446.153846154"/>
    <x v="3"/>
    <x v="3"/>
    <m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12766922471743386"/>
    <n v="14305160"/>
    <x v="3"/>
    <x v="3"/>
    <m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3175917716393861E-2"/>
    <n v="4431271.6216216218"/>
    <x v="1"/>
    <x v="7"/>
    <m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0.1405034707702601"/>
    <n v="7606884.7058823528"/>
    <x v="3"/>
    <x v="3"/>
    <m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1.274514489636604E-2"/>
    <n v="7290232.2580645159"/>
    <x v="2"/>
    <x v="8"/>
    <m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9.1328110507013713E-2"/>
    <n v="3451128.9293849659"/>
    <x v="4"/>
    <x v="19"/>
    <m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1.265085485516089E-2"/>
    <n v="2257997.3553719008"/>
    <x v="6"/>
    <x v="11"/>
    <m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4416220103463469E-2"/>
    <n v="18061827.906976745"/>
    <x v="6"/>
    <x v="11"/>
    <m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12926450134991407"/>
    <n v="1542088800"/>
    <x v="4"/>
    <x v="10"/>
    <m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0.17850759017152565"/>
    <n v="239121.66719694561"/>
    <x v="1"/>
    <x v="1"/>
    <m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6.7584882388224453E-3"/>
    <n v="41241251.612903222"/>
    <x v="4"/>
    <x v="6"/>
    <m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2392588810270625"/>
    <n v="1256659.1024555461"/>
    <x v="4"/>
    <x v="22"/>
    <m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22527156291587344"/>
    <n v="35524246.153846152"/>
    <x v="4"/>
    <x v="6"/>
    <m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0.15091657211597612"/>
    <n v="353834.50496377784"/>
    <x v="3"/>
    <x v="3"/>
    <m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0"/>
    <n v="945945.42056074762"/>
    <x v="1"/>
    <x v="7"/>
    <m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1.1703977157737914E-2"/>
    <n v="32099869.565217391"/>
    <x v="3"/>
    <x v="3"/>
    <m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0.29939695329577642"/>
    <n v="600733.01886792458"/>
    <x v="3"/>
    <x v="3"/>
    <m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15213984694731397"/>
    <n v="13541965.714285715"/>
    <x v="4"/>
    <x v="4"/>
    <m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2.0228980824611924E-2"/>
    <n v="25631784"/>
    <x v="3"/>
    <x v="3"/>
    <m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0.12354671738945787"/>
    <n v="673264.0384615385"/>
    <x v="4"/>
    <x v="6"/>
    <m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24149600419440426"/>
    <n v="2547306.1682242989"/>
    <x v="6"/>
    <x v="20"/>
    <m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2.4890714207930806E-2"/>
    <n v="659769.69121140137"/>
    <x v="4"/>
    <x v="10"/>
    <m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7.9666538631158162E-2"/>
    <n v="623784.23645320197"/>
    <x v="3"/>
    <x v="3"/>
    <m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5.1257955661868353E-2"/>
    <n v="18972630"/>
    <x v="5"/>
    <x v="18"/>
    <m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0.14520011047834494"/>
    <n v="32632885.714285713"/>
    <x v="2"/>
    <x v="8"/>
    <m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4.1760503512356634E-2"/>
    <n v="10423476.258992806"/>
    <x v="2"/>
    <x v="2"/>
    <m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8.8887860094211874E-2"/>
    <n v="97287525"/>
    <x v="3"/>
    <x v="3"/>
    <m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2067669456477196E-2"/>
    <n v="9006905.660377359"/>
    <x v="4"/>
    <x v="6"/>
    <m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4.0822872472262316E-2"/>
    <n v="3890097.6377952755"/>
    <x v="2"/>
    <x v="8"/>
    <m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0"/>
    <n v="6886261.8556701029"/>
    <x v="0"/>
    <x v="0"/>
    <m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0056425372632417"/>
    <n v="2707732.1739130435"/>
    <x v="1"/>
    <x v="1"/>
    <m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5.6470986854024845E-3"/>
    <n v="14434675.471698113"/>
    <x v="1"/>
    <x v="5"/>
    <m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6.090041260029537E-3"/>
    <n v="9991521.1267605629"/>
    <x v="4"/>
    <x v="19"/>
    <m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2.5187000359439486E-2"/>
    <n v="6504654.0284360191"/>
    <x v="5"/>
    <x v="18"/>
    <m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3.3796708106750659E-2"/>
    <n v="1369996.0714285714"/>
    <x v="5"/>
    <x v="13"/>
    <m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17820360862307461"/>
    <n v="11605284.955752213"/>
    <x v="4"/>
    <x v="22"/>
    <m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7.2713134062316165E-2"/>
    <n v="517748.18577648769"/>
    <x v="2"/>
    <x v="8"/>
    <m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1.1509990911903009E-2"/>
    <n v="8679058.9595375732"/>
    <x v="0"/>
    <x v="0"/>
    <m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6.1027186902146452E-2"/>
    <n v="14586910.344827587"/>
    <x v="7"/>
    <x v="14"/>
    <m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25722669345155391"/>
    <n v="920527.95838751621"/>
    <x v="3"/>
    <x v="3"/>
    <m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7.145525114896796E-2"/>
    <n v="147890400"/>
    <x v="5"/>
    <x v="13"/>
    <m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3.8372459537611862E-2"/>
    <n v="2846092.4187725633"/>
    <x v="3"/>
    <x v="3"/>
    <m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0.30086806577139652"/>
    <n v="897812.97709923668"/>
    <x v="0"/>
    <x v="0"/>
    <m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22705613870730293"/>
    <n v="2413094.4444444445"/>
    <x v="3"/>
    <x v="3"/>
    <m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8.4994152212925736E-2"/>
    <n v="72469885.714285716"/>
    <x v="5"/>
    <x v="18"/>
    <m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0.19101413552838803"/>
    <n v="637474.68030690541"/>
    <x v="3"/>
    <x v="3"/>
    <m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0.10098459984852311"/>
    <n v="12660417.391304348"/>
    <x v="3"/>
    <x v="3"/>
    <m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3.3699061761955446E-2"/>
    <n v="15086668.235294119"/>
    <x v="2"/>
    <x v="8"/>
    <m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3.8425119049252769E-2"/>
    <n v="10934550"/>
    <x v="8"/>
    <x v="23"/>
    <m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0.16365367315948626"/>
    <n v="562792.14081047894"/>
    <x v="0"/>
    <x v="0"/>
    <m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701162203418044"/>
    <n v="2149429.9159663864"/>
    <x v="4"/>
    <x v="12"/>
    <m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1917737172941421E-2"/>
    <n v="24420431.25"/>
    <x v="7"/>
    <x v="14"/>
    <m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6.4845761653999226E-3"/>
    <n v="4971935.8208955228"/>
    <x v="2"/>
    <x v="8"/>
    <m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2.4643883054506623E-2"/>
    <n v="7193446.153846154"/>
    <x v="3"/>
    <x v="3"/>
    <m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8224968883389149E-2"/>
    <n v="27718733.333333332"/>
    <x v="4"/>
    <x v="10"/>
    <m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"/>
    <n v="12351780"/>
    <x v="2"/>
    <x v="8"/>
    <m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1.2168225720587116E-2"/>
    <n v="2452961.6580310883"/>
    <x v="2"/>
    <x v="2"/>
    <m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2.9629263836248938E-2"/>
    <n v="703885.13513513515"/>
    <x v="4"/>
    <x v="4"/>
    <m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.17692172003717463"/>
    <e v="#DIV/0!"/>
    <x v="3"/>
    <x v="3"/>
    <m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1.2677317373999351E-2"/>
    <n v="759040.75723830739"/>
    <x v="4"/>
    <x v="4"/>
    <m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0.18651666724729807"/>
    <n v="7235864.5161290327"/>
    <x v="6"/>
    <x v="11"/>
    <m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0.12035715987191993"/>
    <n v="3124901.7391304346"/>
    <x v="4"/>
    <x v="6"/>
    <m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6.033834728238598E-3"/>
    <n v="23096961.290322579"/>
    <x v="1"/>
    <x v="1"/>
    <m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26602630146829609"/>
    <n v="3937601.1527377521"/>
    <x v="5"/>
    <x v="15"/>
    <m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7180340988667055E-2"/>
    <n v="598451.58227848099"/>
    <x v="3"/>
    <x v="3"/>
    <m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1004400199314003"/>
    <n v="72090378.947368428"/>
    <x v="2"/>
    <x v="2"/>
    <m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0.11836848767816924"/>
    <n v="419648.56439704675"/>
    <x v="3"/>
    <x v="3"/>
    <m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6.4661269246830924E-2"/>
    <n v="1062844.1971383148"/>
    <x v="3"/>
    <x v="3"/>
    <m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0.13572965292325384"/>
    <n v="11677987.786259541"/>
    <x v="4"/>
    <x v="6"/>
    <m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5.5241878868370106E-2"/>
    <n v="4322913.8121546963"/>
    <x v="3"/>
    <x v="3"/>
    <m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6.1514959669254562E-3"/>
    <n v="5877082.8451882843"/>
    <x v="6"/>
    <x v="11"/>
    <m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1.3457855883185812E-2"/>
    <n v="36690891.428571425"/>
    <x v="4"/>
    <x v="19"/>
    <m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3.1161870335457531E-2"/>
    <n v="2626404.5454545454"/>
    <x v="1"/>
    <x v="1"/>
    <m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1.3045250713412148E-2"/>
    <n v="9960848.1203007512"/>
    <x v="3"/>
    <x v="3"/>
    <m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25628560107684917"/>
    <n v="1518148.9361702127"/>
    <x v="5"/>
    <x v="9"/>
    <m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2.8916429110169187E-2"/>
    <n v="19158876.923076924"/>
    <x v="0"/>
    <x v="0"/>
    <m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1.137316785374106E-2"/>
    <n v="151953840"/>
    <x v="4"/>
    <x v="10"/>
    <m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8.5141319386374356E-2"/>
    <n v="801977.66497461929"/>
    <x v="1"/>
    <x v="1"/>
    <m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1.666184553080706E-2"/>
    <n v="48622162.5"/>
    <x v="3"/>
    <x v="3"/>
    <m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3.5219104407524168E-2"/>
    <n v="3990370.7317073173"/>
    <x v="4"/>
    <x v="6"/>
    <m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7.7298627680960658E-2"/>
    <n v="7027897.3821989531"/>
    <x v="4"/>
    <x v="12"/>
    <m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3.4077936240181295E-2"/>
    <n v="14248476.404494382"/>
    <x v="4"/>
    <x v="12"/>
    <m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8.8283980136104459E-2"/>
    <n v="643446.79130874178"/>
    <x v="3"/>
    <x v="3"/>
    <m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2.6780483722487241E-2"/>
    <n v="20489485.714285713"/>
    <x v="2"/>
    <x v="8"/>
    <m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0.22030038254863726"/>
    <n v="9893240.8163265307"/>
    <x v="3"/>
    <x v="3"/>
    <m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21382433736728784"/>
    <n v="239763.55263157896"/>
    <x v="4"/>
    <x v="10"/>
    <m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28068424581702506"/>
    <n v="17363430"/>
    <x v="1"/>
    <x v="7"/>
    <m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7283728347114877"/>
    <n v="155790800"/>
    <x v="6"/>
    <x v="11"/>
    <m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9.4262076627213129E-2"/>
    <n v="719977.80269058293"/>
    <x v="5"/>
    <x v="13"/>
    <m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3495575911736708"/>
    <n v="381590.10989010992"/>
    <x v="6"/>
    <x v="11"/>
    <m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6959772160911359E-3"/>
    <n v="12039257.142857144"/>
    <x v="3"/>
    <x v="3"/>
    <m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0.22626982152444053"/>
    <n v="621168.80072137062"/>
    <x v="1"/>
    <x v="7"/>
    <m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5.6305645814027144E-3"/>
    <n v="6315096.2962962966"/>
    <x v="4"/>
    <x v="6"/>
    <m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1.1305689352631518E-2"/>
    <n v="7567360.3960396042"/>
    <x v="3"/>
    <x v="3"/>
    <m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0.17514068793241366"/>
    <n v="9177660"/>
    <x v="5"/>
    <x v="13"/>
    <m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0.12940826196733379"/>
    <n v="1461589.7338403042"/>
    <x v="4"/>
    <x v="4"/>
    <m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10018654526005454"/>
    <n v="1065747.2222222222"/>
    <x v="6"/>
    <x v="20"/>
    <m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3.3189129638123246E-2"/>
    <n v="20291890.90909091"/>
    <x v="0"/>
    <x v="0"/>
    <m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0.12460206395767306"/>
    <n v="6183794.3319838056"/>
    <x v="7"/>
    <x v="14"/>
    <m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15666228983025743"/>
    <n v="3635845.0632911394"/>
    <x v="6"/>
    <x v="20"/>
    <m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0.17833524052965566"/>
    <n v="29714987.755102042"/>
    <x v="1"/>
    <x v="7"/>
    <m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9.3989624589774445E-2"/>
    <n v="7667620"/>
    <x v="6"/>
    <x v="11"/>
    <m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7.7342971457468795E-2"/>
    <n v="17301857.142857142"/>
    <x v="1"/>
    <x v="1"/>
    <m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10955752454773285"/>
    <n v="586982.00743494427"/>
    <x v="3"/>
    <x v="3"/>
    <m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86226108869315E-2"/>
    <n v="17470677.272727273"/>
    <x v="3"/>
    <x v="3"/>
    <m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7.2902902446803655E-2"/>
    <n v="9123092.307692308"/>
    <x v="4"/>
    <x v="6"/>
    <m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7.6958558309674338E-2"/>
    <n v="489316.58291457285"/>
    <x v="3"/>
    <x v="3"/>
    <m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5.677084291560331E-2"/>
    <n v="1798549.6062992127"/>
    <x v="2"/>
    <x v="8"/>
    <m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13609970182530534"/>
    <n v="1332306000"/>
    <x v="1"/>
    <x v="7"/>
    <m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24354232308933438"/>
    <n v="511878.80532565672"/>
    <x v="2"/>
    <x v="2"/>
    <m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1.1674571324334184E-2"/>
    <n v="16090356.521739131"/>
    <x v="3"/>
    <x v="3"/>
    <m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6.6772389616893413E-3"/>
    <n v="1258788.326848249"/>
    <x v="1"/>
    <x v="1"/>
    <m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3.4976755031551947E-2"/>
    <n v="2676255.5956678702"/>
    <x v="1"/>
    <x v="7"/>
    <m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0.19180547212762281"/>
    <n v="10363653.333333334"/>
    <x v="1"/>
    <x v="1"/>
    <m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4.5982422671524019E-2"/>
    <n v="10785983.606557377"/>
    <x v="5"/>
    <x v="18"/>
    <m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7953097532695833E-2"/>
    <n v="6534032.5791855203"/>
    <x v="4"/>
    <x v="22"/>
    <m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0.25486618907066538"/>
    <n v="11587342.857142856"/>
    <x v="3"/>
    <x v="3"/>
    <m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4.1139666719723772E-2"/>
    <n v="1439059.4911937378"/>
    <x v="3"/>
    <x v="3"/>
    <m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0.26150200212470376"/>
    <n v="417076.48725212464"/>
    <x v="4"/>
    <x v="10"/>
    <m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1.3102546534512927E-2"/>
    <n v="6661618.1818181816"/>
    <x v="3"/>
    <x v="3"/>
    <m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1.1131389823590661E-2"/>
    <n v="59713061.538461536"/>
    <x v="1"/>
    <x v="1"/>
    <m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0.11205580379028757"/>
    <n v="18162550.588235293"/>
    <x v="4"/>
    <x v="4"/>
    <m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4.8457805113812751E-2"/>
    <n v="797255.19553072623"/>
    <x v="3"/>
    <x v="3"/>
    <m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0.130776649829173"/>
    <n v="367926.80756395997"/>
    <x v="3"/>
    <x v="3"/>
    <m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13620879745677658"/>
    <n v="39412897.297297299"/>
    <x v="1"/>
    <x v="5"/>
    <m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1.229920900712073E-2"/>
    <n v="5758775.409836066"/>
    <x v="1"/>
    <x v="1"/>
    <m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0.30394709069162035"/>
    <n v="247694.59459459459"/>
    <x v="3"/>
    <x v="3"/>
    <m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8.0078744098363394E-2"/>
    <n v="2199936.1629881156"/>
    <x v="4"/>
    <x v="10"/>
    <m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653134846340015E-2"/>
    <n v="520944.44036697247"/>
    <x v="1"/>
    <x v="1"/>
    <m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28304372373125902"/>
    <n v="41107165.714285716"/>
    <x v="4"/>
    <x v="12"/>
    <m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9.5772779081628831E-2"/>
    <n v="15370200"/>
    <x v="1"/>
    <x v="1"/>
    <m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2351619734800432E-2"/>
    <n v="4663932"/>
    <x v="8"/>
    <x v="23"/>
    <m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5.4832828414371683E-2"/>
    <n v="10948350"/>
    <x v="0"/>
    <x v="0"/>
    <m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1.8506856533305915E-2"/>
    <n v="2510432.2580645164"/>
    <x v="3"/>
    <x v="3"/>
    <m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9.7541431259524594E-2"/>
    <n v="23609137.5"/>
    <x v="3"/>
    <x v="3"/>
    <m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7254654325295934"/>
    <n v="35190972.972972974"/>
    <x v="1"/>
    <x v="17"/>
    <m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1.9595995884840862E-2"/>
    <n v="5399911.8367346935"/>
    <x v="4"/>
    <x v="22"/>
    <m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7.8982659466812197E-2"/>
    <n v="15100344.827586208"/>
    <x v="1"/>
    <x v="17"/>
    <m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4.9605481405695324E-2"/>
    <n v="447395.89216944802"/>
    <x v="3"/>
    <x v="3"/>
    <m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9.9382448507468871E-2"/>
    <n v="18385200"/>
    <x v="2"/>
    <x v="2"/>
    <m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3.0127363428895656E-2"/>
    <n v="34151057.142857142"/>
    <x v="6"/>
    <x v="11"/>
    <m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0.11045954419193971"/>
    <n v="1464451.4851485149"/>
    <x v="4"/>
    <x v="4"/>
    <m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9.0584349935970879E-2"/>
    <n v="828604.83570985741"/>
    <x v="2"/>
    <x v="2"/>
    <m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6.8091094535973382E-2"/>
    <n v="9336414.7058823537"/>
    <x v="5"/>
    <x v="18"/>
    <m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0.12725841831181661"/>
    <n v="9935501.538461538"/>
    <x v="1"/>
    <x v="1"/>
    <m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29002293204578966"/>
    <n v="9951069.2307692301"/>
    <x v="0"/>
    <x v="0"/>
    <m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21098183117483418"/>
    <n v="929950"/>
    <x v="3"/>
    <x v="3"/>
    <m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4.2114868303297248E-2"/>
    <n v="14085070.588235294"/>
    <x v="4"/>
    <x v="4"/>
    <m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6.6970061338487999E-2"/>
    <n v="16512697.674418604"/>
    <x v="5"/>
    <x v="15"/>
    <m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6.7548360404276947E-2"/>
    <n v="12548505.882352941"/>
    <x v="6"/>
    <x v="11"/>
    <m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5.5486340341908885E-2"/>
    <n v="5542306.7193675889"/>
    <x v="3"/>
    <x v="3"/>
    <m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8.0469404861693211E-2"/>
    <n v="348710.23464802798"/>
    <x v="4"/>
    <x v="10"/>
    <m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1.766866829774651E-2"/>
    <n v="9345622.9299363066"/>
    <x v="3"/>
    <x v="3"/>
    <m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0.14301077404581453"/>
    <n v="779944.75138121552"/>
    <x v="3"/>
    <x v="3"/>
    <m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4.1505462415321444E-2"/>
    <n v="7965914.7540983604"/>
    <x v="4"/>
    <x v="6"/>
    <m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9.8807448983792831E-2"/>
    <n v="720075.68555758684"/>
    <x v="3"/>
    <x v="3"/>
    <m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0.19627472821872222"/>
    <n v="530960.39850560401"/>
    <x v="1"/>
    <x v="1"/>
    <m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4.8548844689211536E-2"/>
    <n v="17370878.048780486"/>
    <x v="4"/>
    <x v="4"/>
    <m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7.539484121270508E-2"/>
    <n v="1376197200"/>
    <x v="0"/>
    <x v="0"/>
    <m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0.10480753175693899"/>
    <n v="7231416.4948453605"/>
    <x v="2"/>
    <x v="8"/>
    <m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6.6300174037956849E-2"/>
    <n v="1258272.6315789474"/>
    <x v="3"/>
    <x v="3"/>
    <m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0.1499649387527453"/>
    <n v="15273494.117647059"/>
    <x v="3"/>
    <x v="3"/>
    <m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0.14003500875218805"/>
    <n v="454144.34721736086"/>
    <x v="3"/>
    <x v="3"/>
    <m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0.2455936509677886"/>
    <n v="13527050.46728972"/>
    <x v="5"/>
    <x v="9"/>
    <m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6.4968108810466038E-2"/>
    <n v="9114232.5"/>
    <x v="1"/>
    <x v="1"/>
    <m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2382207799243138E-2"/>
    <n v="625885.02242152463"/>
    <x v="0"/>
    <x v="0"/>
    <m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2270164938409075E-2"/>
    <n v="4912017.7215189878"/>
    <x v="1"/>
    <x v="17"/>
    <m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9.490711663805497E-2"/>
    <n v="13240061.538461538"/>
    <x v="4"/>
    <x v="22"/>
    <m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8.9227386434250572E-2"/>
    <n v="211808.80424601937"/>
    <x v="3"/>
    <x v="3"/>
    <m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7.5418533580887695E-2"/>
    <n v="91717680"/>
    <x v="3"/>
    <x v="3"/>
    <m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0.15458802152491438"/>
    <n v="6717712.5"/>
    <x v="1"/>
    <x v="5"/>
    <m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5.1711631047088702E-2"/>
    <n v="57865430.769230768"/>
    <x v="3"/>
    <x v="3"/>
    <m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0.10478976553289962"/>
    <n v="2054868.0497925312"/>
    <x v="3"/>
    <x v="3"/>
    <m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5.9100927145794596E-2"/>
    <n v="8604529.4117647056"/>
    <x v="3"/>
    <x v="3"/>
    <m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6.262443344457868E-3"/>
    <n v="5797225.2100840332"/>
    <x v="1"/>
    <x v="7"/>
    <m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6.1632490594625132E-2"/>
    <n v="25504036.363636363"/>
    <x v="3"/>
    <x v="3"/>
    <m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13268290628216706"/>
    <n v="1142975.959933222"/>
    <x v="5"/>
    <x v="9"/>
    <m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6.6224251872904621E-3"/>
    <n v="2013494.4444444445"/>
    <x v="3"/>
    <x v="3"/>
    <m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3542972054982649E-2"/>
    <n v="11471090.625"/>
    <x v="7"/>
    <x v="14"/>
    <m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2.9313120308374029E-2"/>
    <n v="687581.52985074627"/>
    <x v="3"/>
    <x v="3"/>
    <m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0.14742397860462259"/>
    <n v="23843981.25"/>
    <x v="1"/>
    <x v="7"/>
    <m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3.0062153502366143E-2"/>
    <n v="533774.52655031567"/>
    <x v="3"/>
    <x v="3"/>
    <m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3.6451451223401828E-2"/>
    <n v="3293250"/>
    <x v="7"/>
    <x v="14"/>
    <m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7.6551884406654544E-2"/>
    <n v="25505070.967741936"/>
    <x v="3"/>
    <x v="3"/>
    <m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6.0483024151207564E-2"/>
    <n v="6806495.2380952379"/>
    <x v="3"/>
    <x v="3"/>
    <m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0.16242326487681491"/>
    <n v="8303493.506493507"/>
    <x v="0"/>
    <x v="0"/>
    <m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2.0152882002076867E-2"/>
    <n v="13400287.5"/>
    <x v="1"/>
    <x v="7"/>
    <m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1.1772871869458473E-2"/>
    <n v="1957272"/>
    <x v="3"/>
    <x v="3"/>
    <m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6.1052743557663623E-2"/>
    <n v="17903875.862068966"/>
    <x v="3"/>
    <x v="3"/>
    <m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2.2245446055951933E-2"/>
    <n v="507320.27424094023"/>
    <x v="3"/>
    <x v="3"/>
    <m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11016998745639633"/>
    <n v="5095191.3669064753"/>
    <x v="3"/>
    <x v="3"/>
    <m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2.3885944614465925E-2"/>
    <n v="13783062.857142856"/>
    <x v="4"/>
    <x v="10"/>
    <m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8.1158440115457545E-2"/>
    <n v="899654.76477683953"/>
    <x v="4"/>
    <x v="19"/>
    <m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0.20297126646660635"/>
    <n v="601566.99029126216"/>
    <x v="4"/>
    <x v="19"/>
    <m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29302121147991989"/>
    <n v="511042.39631336404"/>
    <x v="4"/>
    <x v="10"/>
    <m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4.6731019174321306E-2"/>
    <n v="22766067.692307692"/>
    <x v="3"/>
    <x v="3"/>
    <m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8.0986915551456221E-2"/>
    <n v="13630251.063829787"/>
    <x v="3"/>
    <x v="3"/>
    <m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"/>
    <n v="34061200"/>
    <x v="4"/>
    <x v="6"/>
    <m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1.7837765522572206E-2"/>
    <n v="5655081.7120622564"/>
    <x v="3"/>
    <x v="3"/>
    <m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0.16238559196929436"/>
    <n v="7680340.2061855672"/>
    <x v="3"/>
    <x v="3"/>
    <m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5.0329237092647736E-2"/>
    <n v="11982976.744186046"/>
    <x v="2"/>
    <x v="8"/>
    <m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0.10424981254384055"/>
    <n v="3973065.6"/>
    <x v="3"/>
    <x v="3"/>
    <m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8.9469196035396242E-2"/>
    <n v="528174.59016393439"/>
    <x v="3"/>
    <x v="3"/>
    <m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11797614728292038"/>
    <n v="327816.13796040026"/>
    <x v="1"/>
    <x v="1"/>
    <m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6.9720826191790375E-2"/>
    <n v="467959.24528301886"/>
    <x v="6"/>
    <x v="11"/>
    <m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13612998522895126"/>
    <n v="84740200"/>
    <x v="5"/>
    <x v="18"/>
    <m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10372721662900954"/>
    <n v="2075895.4356846474"/>
    <x v="0"/>
    <x v="0"/>
    <m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7.3814563277813966E-2"/>
    <n v="2140367.4418604653"/>
    <x v="3"/>
    <x v="3"/>
    <m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16605974563132175"/>
    <n v="1407128400"/>
    <x v="1"/>
    <x v="17"/>
    <m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9.3033352456855789E-2"/>
    <n v="360482.10961737332"/>
    <x v="4"/>
    <x v="12"/>
    <m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0.25267054649799109"/>
    <n v="3604128.1173594133"/>
    <x v="2"/>
    <x v="2"/>
    <m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1.1834873921608754E-2"/>
    <n v="6240446.153846154"/>
    <x v="2"/>
    <x v="2"/>
    <m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2.999182722708062E-2"/>
    <n v="477726.92307692306"/>
    <x v="1"/>
    <x v="16"/>
    <m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7.5219976103750363E-2"/>
    <n v="5642250"/>
    <x v="7"/>
    <x v="14"/>
    <m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2.8525380457261849E-2"/>
    <n v="3005700"/>
    <x v="0"/>
    <x v="0"/>
    <m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9.1286425423269479E-2"/>
    <n v="108266914.28571428"/>
    <x v="4"/>
    <x v="22"/>
    <m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13791277017286566"/>
    <n v="3699738.4615384615"/>
    <x v="1"/>
    <x v="1"/>
    <m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6.66611115740355E-3"/>
    <n v="1728259.2"/>
    <x v="4"/>
    <x v="4"/>
    <m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5.3995005461994768E-2"/>
    <n v="18713127.272727273"/>
    <x v="3"/>
    <x v="3"/>
    <m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19446162488892729"/>
    <n v="1775934.5744680851"/>
    <x v="1"/>
    <x v="17"/>
    <m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2.2378561338237971E-2"/>
    <n v="11791456.488549618"/>
    <x v="3"/>
    <x v="3"/>
    <m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15447429765965842"/>
    <n v="14809365.517241379"/>
    <x v="3"/>
    <x v="3"/>
    <m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6.4976202465846886E-2"/>
    <n v="1251723.0479774224"/>
    <x v="1"/>
    <x v="17"/>
    <m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9.2322656694354313E-2"/>
    <n v="4821313.2352941176"/>
    <x v="4"/>
    <x v="4"/>
    <m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3.7624140066312546E-2"/>
    <n v="55134288"/>
    <x v="3"/>
    <x v="3"/>
    <m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5.5136219646362415E-2"/>
    <n v="3367787.1121718376"/>
    <x v="8"/>
    <x v="23"/>
    <m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7.7154499205683721E-2"/>
    <n v="17695184.210526317"/>
    <x v="3"/>
    <x v="3"/>
    <m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5.1893512590182996E-2"/>
    <n v="924880.19740900677"/>
    <x v="3"/>
    <x v="3"/>
    <m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7.1190211345939933E-2"/>
    <n v="1323720.9809264306"/>
    <x v="1"/>
    <x v="7"/>
    <m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2.6988352838977932E-2"/>
    <n v="1193753.9608574091"/>
    <x v="3"/>
    <x v="3"/>
    <m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5.6782020919442872E-2"/>
    <n v="343828.45528455282"/>
    <x v="3"/>
    <x v="3"/>
    <m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12421472388102005"/>
    <n v="25215703.44827586"/>
    <x v="1"/>
    <x v="7"/>
    <m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0910461053641158"/>
    <n v="1081930.0492610838"/>
    <x v="7"/>
    <x v="14"/>
    <m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3.856705042412277E-2"/>
    <n v="4739525.0755287008"/>
    <x v="8"/>
    <x v="23"/>
    <m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5.7658273294876689E-2"/>
    <n v="1153344.6153846155"/>
    <x v="7"/>
    <x v="14"/>
    <m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29425251279385406"/>
    <n v="13265286.486486487"/>
    <x v="5"/>
    <x v="13"/>
    <m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1.1163673406734485E-2"/>
    <n v="7200234.4186046515"/>
    <x v="4"/>
    <x v="6"/>
    <m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2.7491849812024478E-2"/>
    <n v="4330046.2809917359"/>
    <x v="0"/>
    <x v="0"/>
    <m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1.0962358003206491E-2"/>
    <n v="533494.41624365479"/>
    <x v="6"/>
    <x v="20"/>
    <m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3.914085816331523E-2"/>
    <n v="799617.13940856967"/>
    <x v="3"/>
    <x v="3"/>
    <m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5.6073892930016661E-2"/>
    <n v="13471060.194174757"/>
    <x v="3"/>
    <x v="3"/>
    <m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1.1242139285421521E-2"/>
    <n v="10457461.224489795"/>
    <x v="3"/>
    <x v="3"/>
    <m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0.13523374307279237"/>
    <n v="11631960"/>
    <x v="5"/>
    <x v="9"/>
    <m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1439694065011185"/>
    <n v="1557645.3563714903"/>
    <x v="3"/>
    <x v="3"/>
    <m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6.2438950552608362E-2"/>
    <n v="11366247.76119403"/>
    <x v="2"/>
    <x v="8"/>
    <m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1.7162443738608729E-2"/>
    <n v="5537375.4646840151"/>
    <x v="3"/>
    <x v="3"/>
    <m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8.9354275741710301E-2"/>
    <n v="8848470.8571428563"/>
    <x v="4"/>
    <x v="19"/>
    <m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7.5226525549687243E-2"/>
    <n v="20058886.956521738"/>
    <x v="2"/>
    <x v="2"/>
    <m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3.9202234527368061E-2"/>
    <n v="6962589.4736842103"/>
    <x v="4"/>
    <x v="4"/>
    <m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0.10886125259812855"/>
    <n v="5699194.936708861"/>
    <x v="4"/>
    <x v="4"/>
    <m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9.9523347670531642E-2"/>
    <n v="20314332.467532467"/>
    <x v="1"/>
    <x v="1"/>
    <m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9.7386555404118405E-2"/>
    <n v="863664.30205949652"/>
    <x v="3"/>
    <x v="3"/>
    <m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21146180114017918"/>
    <n v="19176698.734177217"/>
    <x v="3"/>
    <x v="3"/>
    <m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9.5503857460492739E-2"/>
    <n v="7392159.1836734693"/>
    <x v="1"/>
    <x v="1"/>
    <m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6.0440459851165366E-3"/>
    <n v="1608090.438695163"/>
    <x v="3"/>
    <x v="3"/>
    <m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1349959447540723E-2"/>
    <n v="208724.49623029472"/>
    <x v="1"/>
    <x v="5"/>
    <m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9.1489813589504809E-2"/>
    <n v="457422.74455582438"/>
    <x v="2"/>
    <x v="8"/>
    <m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5.5333580797403007E-3"/>
    <n v="27884378.571428571"/>
    <x v="4"/>
    <x v="6"/>
    <m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10249927396347609"/>
    <n v="1265695200"/>
    <x v="2"/>
    <x v="8"/>
    <m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4.6480100706884867E-2"/>
    <n v="1587569.2682926829"/>
    <x v="3"/>
    <x v="3"/>
    <m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3.1430315062716575E-2"/>
    <n v="16565074.698795181"/>
    <x v="2"/>
    <x v="8"/>
    <m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0.11002375758098747"/>
    <n v="655767.0264965652"/>
    <x v="5"/>
    <x v="18"/>
    <m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8.830693528328129E-2"/>
    <n v="12662968.965517242"/>
    <x v="4"/>
    <x v="10"/>
    <m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2.4921730191118516E-2"/>
    <n v="684981.33333333337"/>
    <x v="5"/>
    <x v="9"/>
    <m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4.4687120334036226E-2"/>
    <n v="1150517.1747211895"/>
    <x v="2"/>
    <x v="2"/>
    <m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0.20141832067475138"/>
    <n v="9210471.4285714291"/>
    <x v="4"/>
    <x v="6"/>
    <m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5.7776055195391397E-2"/>
    <n v="10921848.175182482"/>
    <x v="3"/>
    <x v="3"/>
    <m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4.5309765063474124E-2"/>
    <n v="7179658.064516129"/>
    <x v="3"/>
    <x v="3"/>
    <m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3.9489550547799984E-2"/>
    <n v="12257193.6"/>
    <x v="3"/>
    <x v="3"/>
    <m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1.188760271631722E-2"/>
    <n v="103842000"/>
    <x v="3"/>
    <x v="3"/>
    <m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0.24131546356357214"/>
    <n v="7284635.6435643565"/>
    <x v="3"/>
    <x v="3"/>
    <m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7.0442343675476027E-2"/>
    <n v="14299794.174757281"/>
    <x v="5"/>
    <x v="15"/>
    <m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6.1345145681940758E-3"/>
    <n v="789081.68067226897"/>
    <x v="1"/>
    <x v="1"/>
    <m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3.3719515450562974E-2"/>
    <n v="1953642.0731707318"/>
    <x v="6"/>
    <x v="20"/>
    <m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0.17614263359448926"/>
    <n v="8763385.9872611463"/>
    <x v="3"/>
    <x v="3"/>
    <m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0.13808332671227436"/>
    <n v="2370817.2972972975"/>
    <x v="4"/>
    <x v="4"/>
    <m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0.16379801394908086"/>
    <n v="4625224.2424242422"/>
    <x v="2"/>
    <x v="8"/>
    <m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7.1017186697189705E-2"/>
    <n v="10887951.219512194"/>
    <x v="5"/>
    <x v="13"/>
    <m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7.9621230432371723E-2"/>
    <n v="40010589.473684214"/>
    <x v="3"/>
    <x v="3"/>
    <m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3.4042150801999974E-2"/>
    <n v="25388940"/>
    <x v="1"/>
    <x v="1"/>
    <m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0.15449538659609469"/>
    <n v="498116.20553359686"/>
    <x v="4"/>
    <x v="4"/>
    <m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0.12429143995216138"/>
    <n v="10129925"/>
    <x v="3"/>
    <x v="3"/>
    <m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2221048209489133E-2"/>
    <n v="11686998.347107438"/>
    <x v="3"/>
    <x v="3"/>
    <m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1.2203120948182497E-2"/>
    <n v="887345.86466165411"/>
    <x v="6"/>
    <x v="20"/>
    <m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4.0248984691410479E-2"/>
    <n v="2458971.755725191"/>
    <x v="3"/>
    <x v="3"/>
    <m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0.32349589525337796"/>
    <n v="8579953.591160221"/>
    <x v="2"/>
    <x v="2"/>
    <m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6.4911275629504148E-2"/>
    <n v="146510280"/>
    <x v="3"/>
    <x v="3"/>
    <m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2706278489858801E-2"/>
    <n v="11148609.836065574"/>
    <x v="4"/>
    <x v="6"/>
    <m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3.6192089515101403E-2"/>
    <n v="1337885.7142857143"/>
    <x v="2"/>
    <x v="8"/>
    <m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5.7569833407294579E-3"/>
    <n v="6853298.6301369863"/>
    <x v="2"/>
    <x v="2"/>
    <m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13335491492584547"/>
    <n v="1331084.7457627119"/>
    <x v="1"/>
    <x v="1"/>
    <m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7.9876089655790378E-2"/>
    <n v="1436021.6326530613"/>
    <x v="1"/>
    <x v="16"/>
    <m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6.9790773078209287E-2"/>
    <n v="2773544.7761194031"/>
    <x v="3"/>
    <x v="3"/>
    <m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4.1444130598349636E-2"/>
    <n v="733259.06579608237"/>
    <x v="7"/>
    <x v="14"/>
    <m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2.4262643111683978E-2"/>
    <n v="49129572.413793102"/>
    <x v="5"/>
    <x v="9"/>
    <m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7.010881472285109E-2"/>
    <n v="8221560"/>
    <x v="1"/>
    <x v="7"/>
    <m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0.13422614054087034"/>
    <n v="94534560"/>
    <x v="3"/>
    <x v="3"/>
    <m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6.4432124783548334E-3"/>
    <n v="7021112.0418848172"/>
    <x v="1"/>
    <x v="7"/>
    <m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1.7441606953387305E-2"/>
    <n v="92897550"/>
    <x v="3"/>
    <x v="3"/>
    <m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6.7786461349007071E-3"/>
    <n v="9805209.2307692301"/>
    <x v="3"/>
    <x v="3"/>
    <m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0.2871156836942218"/>
    <n v="10389422.950819673"/>
    <x v="1"/>
    <x v="5"/>
    <m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3.5865415030099553E-2"/>
    <n v="85054235.294117644"/>
    <x v="3"/>
    <x v="3"/>
    <m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1.1265569368916886E-2"/>
    <n v="10957500"/>
    <x v="3"/>
    <x v="3"/>
    <m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18293664124938949"/>
    <n v="37574364.705882356"/>
    <x v="2"/>
    <x v="8"/>
    <m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3.2773543011178512E-2"/>
    <n v="389187.83943329396"/>
    <x v="2"/>
    <x v="2"/>
    <m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7.4053088210131249E-2"/>
    <n v="4586978.5714285718"/>
    <x v="3"/>
    <x v="3"/>
    <m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17014048661883419"/>
    <n v="2067719.2182410425"/>
    <x v="4"/>
    <x v="10"/>
    <m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7.3389071653725893E-2"/>
    <n v="3862790.1639344264"/>
    <x v="2"/>
    <x v="8"/>
    <m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16901932172546191"/>
    <n v="1280120400"/>
    <x v="1"/>
    <x v="5"/>
    <m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8.8877258037837026E-2"/>
    <n v="5405506.666666667"/>
    <x v="5"/>
    <x v="9"/>
    <m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12140663071306722"/>
    <n v="11250347.368421054"/>
    <x v="3"/>
    <x v="3"/>
    <m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0.10167969202351061"/>
    <n v="9313042.3357664235"/>
    <x v="7"/>
    <x v="14"/>
    <m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0.33911489148589863"/>
    <n v="423083.68174726987"/>
    <x v="3"/>
    <x v="3"/>
    <m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6.846481906745211E-2"/>
    <n v="5261775"/>
    <x v="3"/>
    <x v="3"/>
    <m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3.646252715698637E-2"/>
    <n v="9609810.81081081"/>
    <x v="3"/>
    <x v="3"/>
    <m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2.6479179366099479E-2"/>
    <n v="11451947.368421054"/>
    <x v="4"/>
    <x v="6"/>
    <m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4987996833098698E-2"/>
    <n v="932084.58498023718"/>
    <x v="1"/>
    <x v="1"/>
    <m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17077231780728344"/>
    <n v="1193408.4772370486"/>
    <x v="1"/>
    <x v="5"/>
    <m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16013952386101912"/>
    <n v="7462577.1428571427"/>
    <x v="6"/>
    <x v="11"/>
    <m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2.8786573941913491E-2"/>
    <n v="9042961.4457831327"/>
    <x v="1"/>
    <x v="1"/>
    <m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7.0187752237234613E-2"/>
    <n v="13550328"/>
    <x v="1"/>
    <x v="17"/>
    <m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0.22627054954112868"/>
    <n v="5699902.978723404"/>
    <x v="3"/>
    <x v="3"/>
    <m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5.295485322955653E-2"/>
    <n v="8824013.5135135129"/>
    <x v="1"/>
    <x v="1"/>
    <m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0.14474957117939538"/>
    <n v="7547436.3636363633"/>
    <x v="1"/>
    <x v="7"/>
    <m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5.6201219098110933E-3"/>
    <n v="6199272.5806451617"/>
    <x v="4"/>
    <x v="22"/>
    <m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2694813045786893"/>
    <n v="2822610.5263157897"/>
    <x v="5"/>
    <x v="18"/>
    <m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9.3456488216694444E-2"/>
    <n v="9253584"/>
    <x v="3"/>
    <x v="3"/>
    <m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16319143872606068"/>
    <n v="404337.00879765395"/>
    <x v="6"/>
    <x v="11"/>
    <m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4.3278779744500631E-2"/>
    <n v="6472483.333333333"/>
    <x v="3"/>
    <x v="3"/>
    <m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15065072744772559"/>
    <n v="59646738.461538464"/>
    <x v="3"/>
    <x v="3"/>
    <m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2.2301205658930935E-2"/>
    <n v="301622.41681260947"/>
    <x v="1"/>
    <x v="7"/>
    <m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5.7906534028533442E-2"/>
    <n v="634476.6680832979"/>
    <x v="3"/>
    <x v="3"/>
    <m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0.24197058483601819"/>
    <n v="18814384.615384616"/>
    <x v="2"/>
    <x v="2"/>
    <m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6.1049129286793541E-2"/>
    <n v="141611760"/>
    <x v="1"/>
    <x v="1"/>
    <m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9.9550868880905363E-2"/>
    <n v="710482.3262153567"/>
    <x v="3"/>
    <x v="3"/>
    <m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19028611266796988"/>
    <n v="1951567.4556213017"/>
    <x v="3"/>
    <x v="3"/>
    <m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3.2896450198886457E-2"/>
    <n v="7549675.8620689651"/>
    <x v="4"/>
    <x v="10"/>
    <m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5.4017690793734953E-2"/>
    <n v="1733220.2166064982"/>
    <x v="3"/>
    <x v="3"/>
    <m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0.11173704548628892"/>
    <n v="8968324.3902439028"/>
    <x v="4"/>
    <x v="6"/>
    <m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34225812129627819"/>
    <n v="23087700"/>
    <x v="3"/>
    <x v="3"/>
    <m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0.18596427047131273"/>
    <n v="8083073.2919254657"/>
    <x v="4"/>
    <x v="10"/>
    <m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4.3596730245231606E-2"/>
    <n v="10056991.304347826"/>
    <x v="1"/>
    <x v="1"/>
    <m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6.4971960769781859E-2"/>
    <n v="440807.37605804112"/>
    <x v="2"/>
    <x v="2"/>
    <m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0.18875038455577736"/>
    <n v="12277785.826771654"/>
    <x v="4"/>
    <x v="10"/>
    <m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3.973387762438714E-2"/>
    <n v="7356191.3043478262"/>
    <x v="1"/>
    <x v="17"/>
    <m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5.9542679144900967E-2"/>
    <n v="1521224.2142025612"/>
    <x v="1"/>
    <x v="1"/>
    <m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13459595892291251"/>
    <n v="43629909.677419357"/>
    <x v="4"/>
    <x v="10"/>
    <m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22815270815723013"/>
    <n v="31208080"/>
    <x v="3"/>
    <x v="3"/>
    <m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4.0943753518603819E-2"/>
    <n v="1138046.3611859838"/>
    <x v="3"/>
    <x v="3"/>
    <m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9.3314864766348329E-2"/>
    <n v="247136400"/>
    <x v="0"/>
    <x v="0"/>
    <m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17629790147780666"/>
    <n v="196377428.57142857"/>
    <x v="3"/>
    <x v="3"/>
    <m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2.5187000359439486E-2"/>
    <n v="7582773.4806629838"/>
    <x v="5"/>
    <x v="9"/>
    <m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6.8484355605016478E-2"/>
    <n v="13772356.363636363"/>
    <x v="1"/>
    <x v="1"/>
    <m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1.7537492479582216E-2"/>
    <n v="47685019.354838707"/>
    <x v="4"/>
    <x v="6"/>
    <m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4.2970598391160332E-2"/>
    <n v="18052292.307692308"/>
    <x v="6"/>
    <x v="20"/>
    <m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0.12852572610050153"/>
    <n v="8368307.0270270268"/>
    <x v="2"/>
    <x v="2"/>
    <m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0.18074768215304918"/>
    <n v="11081484.297520662"/>
    <x v="3"/>
    <x v="3"/>
    <m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2.3766729549471934E-2"/>
    <n v="1187329.9591836734"/>
    <x v="3"/>
    <x v="3"/>
    <m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2.4098986587407778E-2"/>
    <n v="1434430800"/>
    <x v="1"/>
    <x v="1"/>
    <m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0.12047368060784447"/>
    <n v="14902573.58490566"/>
    <x v="7"/>
    <x v="14"/>
    <m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106120765343393E-2"/>
    <n v="11002740.845070422"/>
    <x v="7"/>
    <x v="14"/>
    <m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0.18969773897033182"/>
    <n v="6658825.7510729618"/>
    <x v="3"/>
    <x v="3"/>
    <m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0.11406898321760085"/>
    <n v="6956884.4036697252"/>
    <x v="1"/>
    <x v="1"/>
    <m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31117958417865366"/>
    <n v="21200561.194029849"/>
    <x v="4"/>
    <x v="4"/>
    <m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0.15553067064825182"/>
    <n v="17539436.842105262"/>
    <x v="4"/>
    <x v="6"/>
    <m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0.24219732780961503"/>
    <n v="36626065.116279073"/>
    <x v="3"/>
    <x v="3"/>
    <m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10036480639186061"/>
    <n v="77101578.947368428"/>
    <x v="0"/>
    <x v="0"/>
    <m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6.4241720179127335E-3"/>
    <n v="638048.7666034156"/>
    <x v="4"/>
    <x v="4"/>
    <m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5.714857200005715E-2"/>
    <n v="6844854.2986425338"/>
    <x v="3"/>
    <x v="3"/>
    <m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1.1898210806549965E-2"/>
    <n v="2139163.4756995584"/>
    <x v="6"/>
    <x v="11"/>
    <m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8349157675652558E-2"/>
    <n v="543417.75401069515"/>
    <x v="5"/>
    <x v="9"/>
    <m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6.4188113965996343E-2"/>
    <n v="19807464.705882352"/>
    <x v="6"/>
    <x v="11"/>
    <m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1.1800657394955711E-2"/>
    <n v="40680500"/>
    <x v="1"/>
    <x v="1"/>
    <m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0.14857779619126535"/>
    <n v="8274216.3934426233"/>
    <x v="1"/>
    <x v="1"/>
    <m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1.2413686088913028E-2"/>
    <n v="10467554.887218045"/>
    <x v="3"/>
    <x v="3"/>
    <m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0.15538111148363526"/>
    <n v="626502.6918441141"/>
    <x v="5"/>
    <x v="9"/>
    <m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7.2555777253763831E-2"/>
    <n v="22451791.304347824"/>
    <x v="3"/>
    <x v="3"/>
    <m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9.5735005504762813E-2"/>
    <n v="28830485.106382977"/>
    <x v="6"/>
    <x v="11"/>
    <m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7.3275730467438099E-2"/>
    <n v="5498077.4193548383"/>
    <x v="1"/>
    <x v="1"/>
    <m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7.5228709791343135E-2"/>
    <n v="7092291.4285714282"/>
    <x v="4"/>
    <x v="4"/>
    <m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0.10514024727332846"/>
    <n v="664301.14285714284"/>
    <x v="1"/>
    <x v="1"/>
    <m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0.15315616568434004"/>
    <n v="5605100"/>
    <x v="1"/>
    <x v="1"/>
    <m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0.21652039323261002"/>
    <n v="999756.5625"/>
    <x v="5"/>
    <x v="9"/>
    <m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6.9075846718777353E-2"/>
    <n v="9566850.9554140121"/>
    <x v="4"/>
    <x v="12"/>
    <m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0.18721270371918095"/>
    <n v="6673397.9381443299"/>
    <x v="3"/>
    <x v="3"/>
    <m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7.9484893730353015E-2"/>
    <n v="15919946.341463415"/>
    <x v="4"/>
    <x v="6"/>
    <m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14067698454194402"/>
    <n v="21965605.714285713"/>
    <x v="3"/>
    <x v="3"/>
    <m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9.0387536563013918E-2"/>
    <n v="9318974.0259740259"/>
    <x v="3"/>
    <x v="3"/>
    <m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0.33648430928040834"/>
    <n v="69093490.909090906"/>
    <x v="3"/>
    <x v="3"/>
    <m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0.22041841682311153"/>
    <n v="315538.76683203405"/>
    <x v="7"/>
    <x v="14"/>
    <m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0.2034742544050806"/>
    <n v="1116754.9730146492"/>
    <x v="5"/>
    <x v="18"/>
    <m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7.3239342843351041E-2"/>
    <n v="7870385.4545454541"/>
    <x v="5"/>
    <x v="18"/>
    <m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3.7785259025822554E-2"/>
    <n v="11533462.18487395"/>
    <x v="3"/>
    <x v="3"/>
    <m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3.6376312957545814E-2"/>
    <n v="810933.78839590447"/>
    <x v="2"/>
    <x v="2"/>
    <m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7.5109677199091854E-2"/>
    <n v="13471276.595744681"/>
    <x v="1"/>
    <x v="7"/>
    <m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0.35856077688168325"/>
    <n v="726693.15525876463"/>
    <x v="1"/>
    <x v="17"/>
    <m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5.0558365654016932E-2"/>
    <n v="5895793.1034482755"/>
    <x v="3"/>
    <x v="3"/>
    <m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0.27870320431267404"/>
    <n v="8910321.0191082805"/>
    <x v="4"/>
    <x v="4"/>
    <m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2294672564694312E-2"/>
    <n v="397865.72318143223"/>
    <x v="3"/>
    <x v="3"/>
    <m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9.4954080799988128E-2"/>
    <n v="9401574.1935483869"/>
    <x v="2"/>
    <x v="2"/>
    <m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1.6951826206110663E-2"/>
    <n v="11585590.909090908"/>
    <x v="2"/>
    <x v="8"/>
    <m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3.3766276400421145E-2"/>
    <n v="46538727.272727273"/>
    <x v="7"/>
    <x v="14"/>
    <m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1.9529660672145822E-2"/>
    <n v="14122034.042553192"/>
    <x v="4"/>
    <x v="4"/>
    <m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0.20943939583338245"/>
    <n v="1129658.1979320531"/>
    <x v="2"/>
    <x v="2"/>
    <m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0.20300894978113096"/>
    <n v="31984575"/>
    <x v="2"/>
    <x v="2"/>
    <m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1.7105469473864269E-2"/>
    <n v="13777854.545454545"/>
    <x v="0"/>
    <x v="0"/>
    <m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6.0925217116601281E-2"/>
    <n v="7424979.0697674416"/>
    <x v="4"/>
    <x v="6"/>
    <m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9506802997545394E-2"/>
    <n v="4329076.2214983711"/>
    <x v="1"/>
    <x v="7"/>
    <m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9.8056840281749991E-2"/>
    <n v="1322978400"/>
    <x v="1"/>
    <x v="1"/>
    <m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0.21342358923504354"/>
    <n v="8367412.5"/>
    <x v="1"/>
    <x v="5"/>
    <m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6.5914327852373875E-2"/>
    <n v="42311496.774193548"/>
    <x v="6"/>
    <x v="11"/>
    <m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3.3013741970095052E-2"/>
    <n v="892282.20858895709"/>
    <x v="1"/>
    <x v="7"/>
    <m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0.14820303816228234"/>
    <n v="592182.41923365893"/>
    <x v="5"/>
    <x v="13"/>
    <m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0.20471223348200651"/>
    <n v="2900556.6371681415"/>
    <x v="3"/>
    <x v="3"/>
    <m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0.11000239956214732"/>
    <n v="8460205.0632911399"/>
    <x v="0"/>
    <x v="0"/>
    <m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0.14959106355994212"/>
    <n v="5912928"/>
    <x v="4"/>
    <x v="12"/>
    <m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3.9677572488326998E-2"/>
    <n v="43568331.428571425"/>
    <x v="0"/>
    <x v="0"/>
    <m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11391086936986938"/>
    <n v="21645542.857142858"/>
    <x v="3"/>
    <x v="3"/>
    <m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5.57219474820645E-2"/>
    <n v="23868000"/>
    <x v="2"/>
    <x v="8"/>
    <m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5.4461750548163185E-2"/>
    <n v="7790422.0858895704"/>
    <x v="3"/>
    <x v="3"/>
    <m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2.6337954364006991E-2"/>
    <n v="15441416.470588235"/>
    <x v="3"/>
    <x v="3"/>
    <m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0.1385274432401368"/>
    <n v="6619835.9447004609"/>
    <x v="4"/>
    <x v="19"/>
    <m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2.9356146320818646E-2"/>
    <n v="9813432"/>
    <x v="4"/>
    <x v="12"/>
    <m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5.5119335914075085E-2"/>
    <n v="431398.16625916871"/>
    <x v="3"/>
    <x v="3"/>
    <m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6.6215481731424488E-3"/>
    <n v="1453137.1937639199"/>
    <x v="7"/>
    <x v="14"/>
    <m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3.3682871090506342E-2"/>
    <n v="5131932"/>
    <x v="0"/>
    <x v="0"/>
    <m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6.8792099331622225E-2"/>
    <n v="10972257.142857144"/>
    <x v="3"/>
    <x v="3"/>
    <m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9.4714854728272665E-2"/>
    <n v="2430239.5437262356"/>
    <x v="4"/>
    <x v="6"/>
    <m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1499591361354031"/>
    <n v="11921920.661157025"/>
    <x v="3"/>
    <x v="3"/>
    <m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0.10326513382732067"/>
    <n v="651323.79310344823"/>
    <x v="3"/>
    <x v="3"/>
    <m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2.8125900907763454E-2"/>
    <n v="18967688.888888888"/>
    <x v="4"/>
    <x v="22"/>
    <m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3.1097911775224293E-2"/>
    <n v="736403.17965023848"/>
    <x v="7"/>
    <x v="14"/>
    <m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0.25811345105042555"/>
    <n v="292630.10555300594"/>
    <x v="7"/>
    <x v="14"/>
    <m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6.6723381540976495E-3"/>
    <n v="19328131.343283582"/>
    <x v="1"/>
    <x v="1"/>
    <m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13292563318525358"/>
    <n v="27404273.684210528"/>
    <x v="7"/>
    <x v="14"/>
    <m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5.879514058163093E-3"/>
    <n v="1195765.3376729048"/>
    <x v="0"/>
    <x v="0"/>
    <m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13131796730729772"/>
    <n v="131761800"/>
    <x v="1"/>
    <x v="16"/>
    <m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226708480334509E-2"/>
    <n v="28085298.113207549"/>
    <x v="5"/>
    <x v="9"/>
    <m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1.1050817645393075E-2"/>
    <n v="647828.50041425019"/>
    <x v="1"/>
    <x v="5"/>
    <m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17443390433703837"/>
    <n v="3183459.2920353981"/>
    <x v="3"/>
    <x v="3"/>
    <m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2.4306874287884542E-2"/>
    <n v="17777070"/>
    <x v="3"/>
    <x v="3"/>
    <m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0.24399818130985229"/>
    <n v="6621108.8082901556"/>
    <x v="4"/>
    <x v="12"/>
    <m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1.2350094298115838E-2"/>
    <n v="741968.39872746554"/>
    <x v="3"/>
    <x v="3"/>
    <m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0.25734433066489082"/>
    <n v="24597761.53846154"/>
    <x v="3"/>
    <x v="3"/>
    <m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12123491228710223"/>
    <n v="703755.61643835611"/>
    <x v="1"/>
    <x v="7"/>
    <m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825672537619271"/>
    <n v="46489354.838709675"/>
    <x v="3"/>
    <x v="3"/>
    <m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0.1100351581634746"/>
    <n v="5150097.931034483"/>
    <x v="3"/>
    <x v="3"/>
    <m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4.3367261331633065E-2"/>
    <n v="11436108.196721312"/>
    <x v="1"/>
    <x v="5"/>
    <m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5.5336642771996892E-3"/>
    <n v="1062203.2653061224"/>
    <x v="1"/>
    <x v="7"/>
    <m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0.28737039758347621"/>
    <n v="8040567.2727272725"/>
    <x v="4"/>
    <x v="4"/>
    <m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0.27796217567548481"/>
    <n v="7021760.4395604394"/>
    <x v="5"/>
    <x v="18"/>
    <m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2.4094631665867696E-2"/>
    <n v="7209497.4874371858"/>
    <x v="4"/>
    <x v="4"/>
    <m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0.18871237874574415"/>
    <n v="24573407.142857142"/>
    <x v="4"/>
    <x v="19"/>
    <m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5.1237528643201781E-2"/>
    <n v="14190796.261682242"/>
    <x v="3"/>
    <x v="3"/>
    <m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1.9776905518580679E-2"/>
    <n v="897862.19178082189"/>
    <x v="0"/>
    <x v="0"/>
    <m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1.1102347452589508E-2"/>
    <n v="57651866.666666664"/>
    <x v="3"/>
    <x v="3"/>
    <m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3.2883469206001235E-2"/>
    <n v="1291559.7051597051"/>
    <x v="4"/>
    <x v="4"/>
    <m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0.11260410014466499"/>
    <n v="11241278.048780488"/>
    <x v="1"/>
    <x v="17"/>
    <m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6.122870707931413E-3"/>
    <n v="1411189200"/>
    <x v="2"/>
    <x v="2"/>
    <m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0.18613352260041691"/>
    <n v="9651916.9811320752"/>
    <x v="1"/>
    <x v="1"/>
    <m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0.2495506602694553"/>
    <n v="13252385.454545455"/>
    <x v="2"/>
    <x v="2"/>
    <m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9.6991903870246379E-2"/>
    <n v="95535000"/>
    <x v="5"/>
    <x v="9"/>
    <m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2.5612772235754897E-2"/>
    <n v="84354525"/>
    <x v="5"/>
    <x v="15"/>
    <m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8788506652958014E-2"/>
    <n v="5846720.3389830505"/>
    <x v="3"/>
    <x v="3"/>
    <m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0.20810200852158456"/>
    <n v="7841685.8638743451"/>
    <x v="4"/>
    <x v="4"/>
    <m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4.638462239328086E-2"/>
    <n v="31816712.195121951"/>
    <x v="3"/>
    <x v="3"/>
    <m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7.1141196411681165E-2"/>
    <n v="339828.46975088969"/>
    <x v="6"/>
    <x v="11"/>
    <m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0.15266132509087824"/>
    <n v="19130265"/>
    <x v="3"/>
    <x v="3"/>
    <m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6.0763493293229422E-3"/>
    <n v="4804029.7297297297"/>
    <x v="3"/>
    <x v="3"/>
    <m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1020371616114539E-2"/>
    <n v="3394324.6753246752"/>
    <x v="2"/>
    <x v="2"/>
    <m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8.3396370654100188E-2"/>
    <n v="7530415.6424581008"/>
    <x v="4"/>
    <x v="6"/>
    <m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7.2109217730547265E-2"/>
    <n v="2980421.4149139579"/>
    <x v="4"/>
    <x v="6"/>
    <m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7.5371163725533818E-2"/>
    <n v="9763327.6595744677"/>
    <x v="3"/>
    <x v="3"/>
    <m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5.1702718940668739E-2"/>
    <n v="806409.6463022508"/>
    <x v="4"/>
    <x v="19"/>
    <m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5.4803696204844037E-2"/>
    <n v="27301153.846153848"/>
    <x v="7"/>
    <x v="14"/>
    <m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15838230077788806"/>
    <n v="48567066.666666664"/>
    <x v="4"/>
    <x v="12"/>
    <m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7.0747701369664767E-2"/>
    <n v="8617407.692307692"/>
    <x v="5"/>
    <x v="15"/>
    <m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18358611239098829"/>
    <n v="6714336"/>
    <x v="3"/>
    <x v="3"/>
    <m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0.11151846327557607"/>
    <n v="6083322.3529411769"/>
    <x v="4"/>
    <x v="10"/>
    <m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9.1013993401485471E-2"/>
    <n v="35006210.526315786"/>
    <x v="2"/>
    <x v="2"/>
    <m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5.035176301103543E-2"/>
    <n v="683375.85139318882"/>
    <x v="1"/>
    <x v="21"/>
    <m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6.7548360404276935E-3"/>
    <n v="31979250"/>
    <x v="3"/>
    <x v="3"/>
    <m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6.066780371103811E-2"/>
    <n v="687397.11664482311"/>
    <x v="3"/>
    <x v="3"/>
    <m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6.8842043365706623E-2"/>
    <n v="23186049.230769232"/>
    <x v="3"/>
    <x v="3"/>
    <m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2.3622221620730469E-2"/>
    <n v="97558320"/>
    <x v="0"/>
    <x v="0"/>
    <m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18669678135821907"/>
    <n v="36339859.459459461"/>
    <x v="3"/>
    <x v="3"/>
    <m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5.6011077746487642E-2"/>
    <n v="367771.88244638604"/>
    <x v="2"/>
    <x v="2"/>
    <m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8.0975367582379193E-2"/>
    <n v="8124984.7826086953"/>
    <x v="3"/>
    <x v="3"/>
    <m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4.2446752065489271E-2"/>
    <n v="16769985.882352941"/>
    <x v="3"/>
    <x v="3"/>
    <m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1.2308291942427966E-2"/>
    <n v="12536646.428571429"/>
    <x v="3"/>
    <x v="3"/>
    <m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1.8587120674299434E-2"/>
    <n v="9685925"/>
    <x v="1"/>
    <x v="1"/>
    <m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8.2261777012579196E-2"/>
    <n v="718464.98422712937"/>
    <x v="3"/>
    <x v="3"/>
    <m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3.5601441858395262E-2"/>
    <n v="13872754.285714285"/>
    <x v="3"/>
    <x v="3"/>
    <m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4.2066781014861089E-2"/>
    <n v="10896354.545454545"/>
    <x v="3"/>
    <x v="3"/>
    <m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575310614414536E-2"/>
    <n v="74477657.142857149"/>
    <x v="3"/>
    <x v="3"/>
    <m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5.368246820059349E-2"/>
    <n v="1484933.6065573771"/>
    <x v="4"/>
    <x v="4"/>
    <m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0.20345640404934762"/>
    <n v="15957187.5"/>
    <x v="5"/>
    <x v="13"/>
    <m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11257377307003577"/>
    <n v="19495719.402985074"/>
    <x v="6"/>
    <x v="11"/>
    <m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14034863877769096"/>
    <n v="20549127.272727273"/>
    <x v="2"/>
    <x v="2"/>
    <m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2335941801678541"/>
    <n v="16635600"/>
    <x v="3"/>
    <x v="3"/>
    <m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2.00010000500025E-2"/>
    <n v="19346185.074626867"/>
    <x v="3"/>
    <x v="3"/>
    <m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0.21423488815153546"/>
    <n v="12408410.52631579"/>
    <x v="0"/>
    <x v="0"/>
    <m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11041857356637465"/>
    <n v="5659117.8707224336"/>
    <x v="7"/>
    <x v="14"/>
    <m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9.718041814574363E-2"/>
    <n v="789413.3648728563"/>
    <x v="7"/>
    <x v="14"/>
    <m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1.3208985412326735E-2"/>
    <n v="7228581.2154696137"/>
    <x v="3"/>
    <x v="3"/>
    <m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4.2841732948097747E-2"/>
    <n v="108639415.38461539"/>
    <x v="3"/>
    <x v="3"/>
    <m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6.0915251656133401E-2"/>
    <n v="8870175"/>
    <x v="4"/>
    <x v="4"/>
    <m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0.11485075698234673"/>
    <n v="7049136.9458128074"/>
    <x v="2"/>
    <x v="2"/>
    <m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2.7774370274017308E-2"/>
    <n v="1555822800"/>
    <x v="3"/>
    <x v="3"/>
    <m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5.8270813606234977E-3"/>
    <n v="951134.31686978834"/>
    <x v="1"/>
    <x v="1"/>
    <m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8.2245497915713048E-2"/>
    <n v="649571.22683142102"/>
    <x v="4"/>
    <x v="4"/>
    <m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21442291942760991"/>
    <n v="69223885.714285716"/>
    <x v="4"/>
    <x v="22"/>
    <m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0.15379480675522328"/>
    <n v="872327.90697674418"/>
    <x v="2"/>
    <x v="2"/>
    <m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.2763852768958309E-2"/>
    <n v="16924950"/>
    <x v="3"/>
    <x v="3"/>
    <m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2.3821931065286978E-2"/>
    <n v="1748324.8192771084"/>
    <x v="4"/>
    <x v="22"/>
    <m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9497928345113331E-2"/>
    <n v="10149856.488549618"/>
    <x v="3"/>
    <x v="3"/>
    <m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0.14883762885871418"/>
    <n v="11419617.857142856"/>
    <x v="4"/>
    <x v="10"/>
    <m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0.18934004288326567"/>
    <n v="9847080"/>
    <x v="5"/>
    <x v="18"/>
    <m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21947731242978955"/>
    <n v="26510989.09090909"/>
    <x v="2"/>
    <x v="2"/>
    <m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2.662716969828088E-2"/>
    <n v="8375922.5806451617"/>
    <x v="5"/>
    <x v="18"/>
    <m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0.13105955408546954"/>
    <n v="5211365.4135338347"/>
    <x v="0"/>
    <x v="0"/>
    <m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3.9898259438431997E-2"/>
    <n v="11401957.894736841"/>
    <x v="7"/>
    <x v="14"/>
    <m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0181921532034337E-2"/>
    <n v="9237112.2580645159"/>
    <x v="3"/>
    <x v="3"/>
    <m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0.27333139723593625"/>
    <n v="6124904.3478260869"/>
    <x v="1"/>
    <x v="1"/>
    <m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1.1539210477603114E-2"/>
    <n v="6112961.6326530613"/>
    <x v="3"/>
    <x v="3"/>
    <m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0.23969616891021919"/>
    <n v="849895.23204068653"/>
    <x v="1"/>
    <x v="21"/>
    <m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0.10016527269995493"/>
    <n v="11361031.578947369"/>
    <x v="0"/>
    <x v="0"/>
    <m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3.8351436124313444E-2"/>
    <n v="16963432.258064516"/>
    <x v="3"/>
    <x v="3"/>
    <m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6.6211097531705459E-3"/>
    <n v="2196975.7575757578"/>
    <x v="3"/>
    <x v="3"/>
    <m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3.753235210559102E-2"/>
    <n v="57571950"/>
    <x v="4"/>
    <x v="19"/>
    <m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5.5476079793094775E-2"/>
    <n v="834302.67697798926"/>
    <x v="2"/>
    <x v="2"/>
    <m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1.3375018808620199E-2"/>
    <n v="5127514.2857142854"/>
    <x v="3"/>
    <x v="3"/>
    <m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6.3118528707095832E-3"/>
    <n v="42779362.5"/>
    <x v="1"/>
    <x v="7"/>
    <m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0.23258241020977147"/>
    <n v="10756640"/>
    <x v="3"/>
    <x v="3"/>
    <m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9994000899865018E-2"/>
    <n v="9262234.2857142854"/>
    <x v="3"/>
    <x v="3"/>
    <m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18213640309062709"/>
    <n v="22697731.343283582"/>
    <x v="0"/>
    <x v="0"/>
    <m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0.12852531802713638"/>
    <n v="16095991.304347826"/>
    <x v="6"/>
    <x v="11"/>
    <m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3.6343353835359561E-2"/>
    <n v="1405826.6009852216"/>
    <x v="3"/>
    <x v="3"/>
    <m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3.0120706865778644E-2"/>
    <n v="1949618.3288409703"/>
    <x v="5"/>
    <x v="9"/>
    <m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0.18829973894808918"/>
    <n v="4696695.9752321979"/>
    <x v="2"/>
    <x v="2"/>
    <m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1.3180259266683326E-2"/>
    <n v="17482992"/>
    <x v="4"/>
    <x v="4"/>
    <m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8.2817068597838009E-2"/>
    <n v="673340.84264832328"/>
    <x v="4"/>
    <x v="4"/>
    <m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0.14327272560288198"/>
    <n v="4121168.5039370079"/>
    <x v="3"/>
    <x v="3"/>
    <m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16204172574437919"/>
    <n v="315222.70147559594"/>
    <x v="1"/>
    <x v="1"/>
    <m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9.2904681455838481E-2"/>
    <n v="14165100"/>
    <x v="1"/>
    <x v="1"/>
    <m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8.1003478810116755E-2"/>
    <n v="3113497.5"/>
    <x v="4"/>
    <x v="4"/>
    <m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12268325811681199"/>
    <n v="23136637.5"/>
    <x v="5"/>
    <x v="15"/>
    <m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2.7774370274017308E-2"/>
    <n v="6884171.6814159295"/>
    <x v="5"/>
    <x v="18"/>
    <m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13021412440267049"/>
    <n v="22795031.25"/>
    <x v="4"/>
    <x v="6"/>
    <m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2.4482488644970761E-2"/>
    <n v="5858783.4024896268"/>
    <x v="1"/>
    <x v="1"/>
    <m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7.9283241740739085E-2"/>
    <n v="11567263.636363637"/>
    <x v="4"/>
    <x v="6"/>
    <m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10123114942015395"/>
    <n v="19365408"/>
    <x v="7"/>
    <x v="14"/>
    <m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3.6674349603331248E-2"/>
    <n v="1679382.8978622328"/>
    <x v="5"/>
    <x v="18"/>
    <m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0.16279683562190961"/>
    <n v="755661.67400881054"/>
    <x v="0"/>
    <x v="0"/>
    <m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19099460440242563"/>
    <n v="12140164.285714285"/>
    <x v="3"/>
    <x v="3"/>
    <m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3.107471916222557E-2"/>
    <n v="10004529.496402878"/>
    <x v="3"/>
    <x v="3"/>
    <m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9.5554986775872375E-2"/>
    <n v="3387908.0213903743"/>
    <x v="1"/>
    <x v="7"/>
    <m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4.1222037104740782E-2"/>
    <n v="1308182.8877005347"/>
    <x v="0"/>
    <x v="0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.10138812267962843"/>
    <e v="#DIV/0!"/>
    <x v="0"/>
    <s v="food trucks"/>
    <s v="food"/>
    <x v="0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.2269029136388152E-2"/>
    <n v="8915172.1518987343"/>
    <x v="1"/>
    <s v="rock"/>
    <s v="music"/>
    <x v="1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2479525778020436E-2"/>
    <n v="971818.10526315786"/>
    <x v="2"/>
    <s v="web"/>
    <s v="technology"/>
    <x v="2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22076019693649235"/>
    <n v="65373150"/>
    <x v="1"/>
    <s v="rock"/>
    <s v="theater"/>
    <x v="3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2.2326100606990858E-2"/>
    <n v="29213388.679245282"/>
    <x v="3"/>
    <s v="plays"/>
    <s v="film &amp; video"/>
    <x v="4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7.0602393528113927E-2"/>
    <n v="7741841.3793103453"/>
    <x v="3"/>
    <s v="plays"/>
    <s v="publishing"/>
    <x v="5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5.7398004941011591E-3"/>
    <n v="83631400"/>
    <x v="4"/>
    <s v="documentary"/>
    <s v="games"/>
    <x v="6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1.2004651802573497E-2"/>
    <n v="6341915.4185022023"/>
    <x v="3"/>
    <s v="plays"/>
    <s v="photography"/>
    <x v="7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1.3485987216407952E-2"/>
    <n v="1810032.2033898304"/>
    <x v="3"/>
    <s v="plays"/>
    <s v="journalism"/>
    <x v="8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30713989347960535"/>
    <n v="31450090.90909091"/>
    <x v="1"/>
    <s v="electric music"/>
    <m/>
    <x v="9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0.32355460686149223"/>
    <n v="5845041.8181818184"/>
    <x v="4"/>
    <s v="drama"/>
    <m/>
    <x v="9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4.034099345299294E-2"/>
    <n v="47613466.666666664"/>
    <x v="3"/>
    <s v="plays"/>
    <m/>
    <x v="9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4.3977287563360508E-2"/>
    <n v="28589301.818181816"/>
    <x v="4"/>
    <s v="drama"/>
    <m/>
    <x v="9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7.0741334800561023E-2"/>
    <n v="14965897.959183674"/>
    <x v="1"/>
    <s v="indie rock"/>
    <m/>
    <x v="9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17499445535342389"/>
    <n v="6666714"/>
    <x v="1"/>
    <s v="indie rock"/>
    <m/>
    <x v="9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2.1929523992269842E-2"/>
    <n v="3487396.4601769913"/>
    <x v="2"/>
    <s v="wearables"/>
    <m/>
    <x v="9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0.13671177119420841"/>
    <n v="13922712"/>
    <x v="5"/>
    <s v="nonfiction"/>
    <m/>
    <x v="9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6.6727833847693716E-3"/>
    <n v="1036748.1184947959"/>
    <x v="4"/>
    <s v="animation"/>
    <m/>
    <x v="9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4.4988787950502963E-2"/>
    <n v="11385733.333333334"/>
    <x v="3"/>
    <s v="plays"/>
    <m/>
    <x v="9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11669937961403362"/>
    <n v="2304881.3056379822"/>
    <x v="3"/>
    <s v="plays"/>
    <m/>
    <x v="9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0"/>
    <n v="1007538.3954154728"/>
    <x v="4"/>
    <s v="drama"/>
    <m/>
    <x v="9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22366643002612185"/>
    <n v="2359000"/>
    <x v="3"/>
    <s v="plays"/>
    <m/>
    <x v="9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8.5110205895773103E-2"/>
    <n v="1712390.5617977527"/>
    <x v="3"/>
    <s v="plays"/>
    <m/>
    <x v="9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0.29517638588912887"/>
    <n v="10948588.732394366"/>
    <x v="4"/>
    <s v="documentary"/>
    <m/>
    <x v="9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2313596519356719E-2"/>
    <n v="525065.31986531988"/>
    <x v="2"/>
    <s v="wearables"/>
    <m/>
    <x v="9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0.1323433316882322"/>
    <n v="8020998.7730061347"/>
    <x v="6"/>
    <s v="video games"/>
    <m/>
    <x v="9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15217090107247611"/>
    <n v="1037395.9459459459"/>
    <x v="3"/>
    <s v="plays"/>
    <m/>
    <x v="9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4.7872061914533408E-2"/>
    <n v="96302640"/>
    <x v="1"/>
    <s v="rock"/>
    <m/>
    <x v="9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0.15700462481014385"/>
    <n v="571028.10810810816"/>
    <x v="3"/>
    <s v="plays"/>
    <m/>
    <x v="9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0.22557822042281817"/>
    <n v="956113.82316313824"/>
    <x v="4"/>
    <s v="shorts"/>
    <m/>
    <x v="9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2.7715866178559471E-2"/>
    <n v="12086093.023255814"/>
    <x v="4"/>
    <s v="animation"/>
    <m/>
    <x v="9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0.16661459960429031"/>
    <n v="6435366.3716814155"/>
    <x v="6"/>
    <s v="video games"/>
    <m/>
    <x v="9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15392289603078457"/>
    <n v="657952.66579973989"/>
    <x v="4"/>
    <s v="documentary"/>
    <m/>
    <x v="9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0.22657936522095948"/>
    <n v="261244.8053146337"/>
    <x v="3"/>
    <s v="plays"/>
    <m/>
    <x v="9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2.8988518131110235E-2"/>
    <n v="9034407.2727272734"/>
    <x v="4"/>
    <s v="documentary"/>
    <m/>
    <x v="9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0.2344371415414242"/>
    <n v="789570.68702290079"/>
    <x v="4"/>
    <s v="drama"/>
    <m/>
    <x v="9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0.16604296604296603"/>
    <n v="81303525"/>
    <x v="3"/>
    <s v="plays"/>
    <m/>
    <x v="9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0.18179525681732212"/>
    <n v="14702736.448598132"/>
    <x v="5"/>
    <s v="fiction"/>
    <m/>
    <x v="9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3556577788341889E-2"/>
    <n v="9610522.3880597018"/>
    <x v="7"/>
    <s v="photography books"/>
    <m/>
    <x v="9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8.8561080709546089E-2"/>
    <n v="15488386.363636363"/>
    <x v="3"/>
    <s v="plays"/>
    <m/>
    <x v="9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0.12868087988373569"/>
    <n v="6451290.9090909092"/>
    <x v="2"/>
    <s v="wearables"/>
    <m/>
    <x v="9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0.16680344192486896"/>
    <n v="12152983.783783784"/>
    <x v="1"/>
    <s v="rock"/>
    <m/>
    <x v="9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5.9369854956146016E-2"/>
    <n v="5903302.702702703"/>
    <x v="0"/>
    <s v="food trucks"/>
    <m/>
    <x v="9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9.8309033422511224E-2"/>
    <n v="226587.31487443656"/>
    <x v="5"/>
    <s v="radio &amp; podcasts"/>
    <m/>
    <x v="9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5.5641464947036277E-3"/>
    <n v="15845767.346938776"/>
    <x v="5"/>
    <s v="fiction"/>
    <m/>
    <x v="9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8.7925898683060014E-2"/>
    <n v="30820050"/>
    <x v="3"/>
    <s v="plays"/>
    <m/>
    <x v="9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0.15542422083754509"/>
    <n v="13919047.826086957"/>
    <x v="1"/>
    <s v="rock"/>
    <m/>
    <x v="9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0.18566414902642361"/>
    <n v="9386987.9194630869"/>
    <x v="3"/>
    <s v="plays"/>
    <m/>
    <x v="9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7.224037986399745E-2"/>
    <n v="590804.27807486628"/>
    <x v="3"/>
    <s v="plays"/>
    <m/>
    <x v="9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0.24762851599277041"/>
    <n v="5199469.3069306929"/>
    <x v="1"/>
    <s v="rock"/>
    <m/>
    <x v="9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1758991930101011"/>
    <n v="1377752400"/>
    <x v="1"/>
    <s v="metal"/>
    <m/>
    <x v="9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10371958976741422"/>
    <n v="909479.754601227"/>
    <x v="2"/>
    <s v="wearables"/>
    <m/>
    <x v="9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2.6904849318830873E-2"/>
    <n v="17131632"/>
    <x v="3"/>
    <s v="plays"/>
    <m/>
    <x v="9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0.2405891349329769"/>
    <n v="6717376.0765550239"/>
    <x v="4"/>
    <s v="drama"/>
    <m/>
    <x v="9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3.3851762422176454E-2"/>
    <n v="12677190"/>
    <x v="2"/>
    <s v="wearables"/>
    <m/>
    <x v="9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2.8181384786279424E-2"/>
    <n v="11705029.007633587"/>
    <x v="1"/>
    <s v="jazz"/>
    <m/>
    <x v="9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4.2565482434137519E-2"/>
    <n v="8667526.8292682935"/>
    <x v="2"/>
    <s v="wearables"/>
    <m/>
    <x v="9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6.8925079874116002E-2"/>
    <n v="7488949.253731343"/>
    <x v="6"/>
    <s v="video games"/>
    <m/>
    <x v="9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7.7848001776531325E-2"/>
    <n v="6843292.8909952603"/>
    <x v="3"/>
    <s v="plays"/>
    <m/>
    <x v="9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8.6559060930365639E-2"/>
    <n v="11707340.625"/>
    <x v="3"/>
    <s v="plays"/>
    <m/>
    <x v="9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9307245311959497E-2"/>
    <n v="839225.25"/>
    <x v="3"/>
    <s v="plays"/>
    <m/>
    <x v="9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26592352272412167"/>
    <n v="577772.03728362184"/>
    <x v="3"/>
    <s v="plays"/>
    <m/>
    <x v="9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6.0272885489051683E-3"/>
    <n v="5757296.3855421683"/>
    <x v="2"/>
    <s v="web"/>
    <m/>
    <x v="9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3.4713768107207686E-2"/>
    <n v="298774800"/>
    <x v="3"/>
    <s v="plays"/>
    <m/>
    <x v="9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8.4677789251095523E-2"/>
    <n v="40310621.052631579"/>
    <x v="2"/>
    <s v="web"/>
    <m/>
    <x v="9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4.6662778101824849E-2"/>
    <n v="5494545.762711864"/>
    <x v="3"/>
    <s v="plays"/>
    <m/>
    <x v="9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3.024216412926509E-2"/>
    <n v="119075100"/>
    <x v="3"/>
    <s v="plays"/>
    <m/>
    <x v="9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3.4166424654492031E-2"/>
    <n v="311151.58671586716"/>
    <x v="2"/>
    <s v="wearables"/>
    <m/>
    <x v="9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0.27051592278784886"/>
    <n v="6118668.2926829271"/>
    <x v="3"/>
    <s v="plays"/>
    <m/>
    <x v="9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272385503517185"/>
    <n v="76216235.294117644"/>
    <x v="3"/>
    <s v="plays"/>
    <m/>
    <x v="9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0.32880309527467766"/>
    <n v="522388.36363636365"/>
    <x v="3"/>
    <s v="plays"/>
    <m/>
    <x v="9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2.1941553187696274E-2"/>
    <n v="20729463.157894738"/>
    <x v="3"/>
    <s v="plays"/>
    <m/>
    <x v="9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0.21664288776945587"/>
    <n v="26645133.333333332"/>
    <x v="4"/>
    <s v="animation"/>
    <m/>
    <x v="9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1.7510834829050474E-2"/>
    <n v="16823700"/>
    <x v="1"/>
    <s v="jazz"/>
    <m/>
    <x v="9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5.9216418739035711E-3"/>
    <n v="17166367.05882353"/>
    <x v="1"/>
    <s v="metal"/>
    <m/>
    <x v="9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4.5128369056041444E-2"/>
    <n v="9013658.8235294111"/>
    <x v="7"/>
    <s v="photography books"/>
    <m/>
    <x v="9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29746986060688918"/>
    <n v="846925.65320665087"/>
    <x v="3"/>
    <s v="plays"/>
    <m/>
    <x v="9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9.4091027468419297E-2"/>
    <n v="22978092.857142858"/>
    <x v="4"/>
    <s v="animation"/>
    <m/>
    <x v="9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5.669831535130513E-3"/>
    <n v="4618003.6363636367"/>
    <x v="5"/>
    <s v="translations"/>
    <m/>
    <x v="9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2.8251447298102205E-2"/>
    <n v="1825247.2553699284"/>
    <x v="3"/>
    <s v="plays"/>
    <m/>
    <x v="9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0.17234239646889579"/>
    <n v="11862793.700787401"/>
    <x v="6"/>
    <s v="video games"/>
    <m/>
    <x v="9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0.14291226615980449"/>
    <n v="3682668.6131386859"/>
    <x v="1"/>
    <s v="rock"/>
    <m/>
    <x v="9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3.9077219376718354E-2"/>
    <n v="8601720"/>
    <x v="6"/>
    <s v="video games"/>
    <m/>
    <x v="9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12933410084630553"/>
    <n v="1471582.8"/>
    <x v="1"/>
    <s v="electric music"/>
    <m/>
    <x v="9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6.431195586056096E-2"/>
    <n v="3594426.7379679144"/>
    <x v="2"/>
    <s v="wearables"/>
    <m/>
    <x v="9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5.2534085592253414E-2"/>
    <n v="18540963.380281691"/>
    <x v="1"/>
    <s v="indie rock"/>
    <m/>
    <x v="9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7.8506168521542644E-2"/>
    <n v="7053393.1034482755"/>
    <x v="3"/>
    <s v="plays"/>
    <m/>
    <x v="9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7.28552037452561E-2"/>
    <n v="877537.65182186232"/>
    <x v="1"/>
    <s v="rock"/>
    <m/>
    <x v="9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0.13300116627916642"/>
    <n v="12664258.407079646"/>
    <x v="5"/>
    <s v="translations"/>
    <m/>
    <x v="9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1.3592304490274423E-2"/>
    <n v="13244587.5"/>
    <x v="3"/>
    <s v="plays"/>
    <m/>
    <x v="9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"/>
    <n v="13739433.96226415"/>
    <x v="3"/>
    <s v="plays"/>
    <m/>
    <x v="9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16451999089264335"/>
    <n v="2169188.2179675996"/>
    <x v="5"/>
    <s v="translations"/>
    <m/>
    <x v="9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6.7644314918108104E-3"/>
    <n v="2564971.0843373495"/>
    <x v="6"/>
    <s v="video games"/>
    <m/>
    <x v="9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2.5586558527919998E-2"/>
    <n v="2214843.9344262294"/>
    <x v="3"/>
    <s v="plays"/>
    <m/>
    <x v="9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6.1134177942140204E-2"/>
    <n v="8642020"/>
    <x v="2"/>
    <s v="web"/>
    <m/>
    <x v="9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3.8497056579215719E-2"/>
    <n v="58208666.666666664"/>
    <x v="4"/>
    <s v="documentary"/>
    <m/>
    <x v="9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8.6140517064685715E-2"/>
    <n v="558067.95366795361"/>
    <x v="3"/>
    <s v="plays"/>
    <m/>
    <x v="9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0.32508170938798853"/>
    <n v="12742247.78761062"/>
    <x v="0"/>
    <s v="food trucks"/>
    <m/>
    <x v="9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2.4033827612364403E-2"/>
    <n v="1178949.8360655739"/>
    <x v="6"/>
    <s v="video games"/>
    <m/>
    <x v="9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0.17683735536686129"/>
    <n v="8654882.9268292692"/>
    <x v="3"/>
    <s v="plays"/>
    <m/>
    <x v="9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11790746992950117"/>
    <n v="1320555600"/>
    <x v="3"/>
    <s v="plays"/>
    <m/>
    <x v="9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4.2457050144808862E-2"/>
    <n v="8689653.658536585"/>
    <x v="1"/>
    <s v="electric music"/>
    <m/>
    <x v="9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3.9625912516363382E-2"/>
    <n v="4544282.1428571427"/>
    <x v="2"/>
    <s v="wearables"/>
    <m/>
    <x v="9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6.0377527260733088E-2"/>
    <n v="34829027.027027026"/>
    <x v="1"/>
    <s v="electric music"/>
    <m/>
    <x v="9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5.7772717315686985E-3"/>
    <n v="780178.40375586855"/>
    <x v="1"/>
    <s v="indie rock"/>
    <m/>
    <x v="9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0.11394418317582483"/>
    <n v="14383515.789473685"/>
    <x v="2"/>
    <s v="web"/>
    <m/>
    <x v="9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2.7552447231323461E-2"/>
    <n v="10669053.06122449"/>
    <x v="3"/>
    <s v="plays"/>
    <m/>
    <x v="9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9.6348896356453134E-2"/>
    <n v="17743353.488372091"/>
    <x v="3"/>
    <s v="plays"/>
    <m/>
    <x v="9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0.23969616891021919"/>
    <n v="16107050.602409638"/>
    <x v="4"/>
    <s v="documentary"/>
    <m/>
    <x v="9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1.2436070823423339E-2"/>
    <n v="23161320"/>
    <x v="4"/>
    <s v="television"/>
    <m/>
    <x v="9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0683034825287867"/>
    <n v="5196904.0540540544"/>
    <x v="0"/>
    <s v="food trucks"/>
    <m/>
    <x v="9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3.844870168880582E-2"/>
    <n v="1995278.6982248521"/>
    <x v="5"/>
    <s v="radio &amp; podcasts"/>
    <m/>
    <x v="9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9.1989502975604903E-2"/>
    <n v="3906239.3351800554"/>
    <x v="2"/>
    <s v="web"/>
    <m/>
    <x v="9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4.0180909762765213E-2"/>
    <n v="11494635.114503818"/>
    <x v="0"/>
    <s v="food trucks"/>
    <m/>
    <x v="9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5.5570348588165827E-3"/>
    <n v="12340257.142857144"/>
    <x v="2"/>
    <s v="wearables"/>
    <m/>
    <x v="9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20014582052638352"/>
    <n v="458208.95883777237"/>
    <x v="5"/>
    <s v="fiction"/>
    <m/>
    <x v="9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5.989383817184041E-3"/>
    <n v="19762175.342465755"/>
    <x v="3"/>
    <s v="plays"/>
    <m/>
    <x v="9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3.9372123989380461E-2"/>
    <n v="4789767.2727272725"/>
    <x v="4"/>
    <s v="television"/>
    <m/>
    <x v="9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3.7275762988273668E-2"/>
    <n v="20764692.537313432"/>
    <x v="7"/>
    <s v="photography books"/>
    <m/>
    <x v="9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0.10469780057635113"/>
    <n v="9119244.1558441557"/>
    <x v="4"/>
    <s v="documentary"/>
    <m/>
    <x v="9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2.4180568394485822E-2"/>
    <n v="802240.40404040401"/>
    <x v="6"/>
    <s v="mobile games"/>
    <m/>
    <x v="9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7.9519417265398601E-2"/>
    <n v="1565457.80730897"/>
    <x v="6"/>
    <s v="video games"/>
    <m/>
    <x v="9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16462159896349365"/>
    <n v="419073.16209034546"/>
    <x v="5"/>
    <s v="fiction"/>
    <m/>
    <x v="9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1.7896290993691558E-2"/>
    <n v="2188223.5649546827"/>
    <x v="3"/>
    <s v="plays"/>
    <m/>
    <x v="9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0.29396742785433821"/>
    <n v="16620242.553191489"/>
    <x v="7"/>
    <s v="photography books"/>
    <m/>
    <x v="9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2.2480487639244373E-2"/>
    <n v="8542660"/>
    <x v="3"/>
    <s v="plays"/>
    <m/>
    <x v="9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16444269343428289"/>
    <n v="1903837.2093023255"/>
    <x v="3"/>
    <s v="plays"/>
    <m/>
    <x v="9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2.0351113234159345E-2"/>
    <n v="1895683.9285714286"/>
    <x v="3"/>
    <s v="plays"/>
    <m/>
    <x v="9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8.75526508529368E-2"/>
    <n v="2413549.6240601502"/>
    <x v="1"/>
    <s v="rock"/>
    <m/>
    <x v="9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0.1517980478771043"/>
    <n v="25910967.272727273"/>
    <x v="0"/>
    <s v="food trucks"/>
    <m/>
    <x v="9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0.10503141394107875"/>
    <n v="2478407.5046904315"/>
    <x v="4"/>
    <s v="drama"/>
    <m/>
    <x v="9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8.1056224962199747E-2"/>
    <n v="567674.17110110517"/>
    <x v="2"/>
    <s v="web"/>
    <m/>
    <x v="9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9.1203169310133517E-2"/>
    <n v="17046283.146067414"/>
    <x v="3"/>
    <s v="plays"/>
    <m/>
    <x v="9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0.14475390465433149"/>
    <n v="8270603.773584906"/>
    <x v="1"/>
    <s v="world music"/>
    <m/>
    <x v="9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32355603489782947"/>
    <n v="1396482.1276595744"/>
    <x v="4"/>
    <s v="documentary"/>
    <m/>
    <x v="9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3.1439063697128213E-2"/>
    <n v="11650123.076923076"/>
    <x v="3"/>
    <s v="plays"/>
    <m/>
    <x v="9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7.3945316411495418E-2"/>
    <n v="24192310.344827585"/>
    <x v="4"/>
    <s v="drama"/>
    <m/>
    <x v="9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4.0300349549559633E-2"/>
    <n v="25737192"/>
    <x v="5"/>
    <s v="nonfiction"/>
    <m/>
    <x v="9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3.8433924343887538E-2"/>
    <n v="11733276.521739131"/>
    <x v="6"/>
    <s v="mobile games"/>
    <m/>
    <x v="9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9.669889123641115E-2"/>
    <n v="4389493.2515337421"/>
    <x v="2"/>
    <s v="wearables"/>
    <m/>
    <x v="9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8429686278411918E-2"/>
    <n v="8171883.8709677421"/>
    <x v="4"/>
    <s v="documentary"/>
    <m/>
    <x v="9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3.6148479881111667E-2"/>
    <n v="1339499.1596638656"/>
    <x v="2"/>
    <s v="web"/>
    <m/>
    <x v="9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0.26560926825186454"/>
    <n v="11429323.076923076"/>
    <x v="2"/>
    <s v="web"/>
    <m/>
    <x v="9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0.1352428877737612"/>
    <n v="18277560"/>
    <x v="1"/>
    <s v="indie rock"/>
    <m/>
    <x v="9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4.428646886914963E-2"/>
    <n v="11566213.333333334"/>
    <x v="3"/>
    <s v="plays"/>
    <m/>
    <x v="9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3.0636863806375023E-2"/>
    <n v="1836585.9375"/>
    <x v="2"/>
    <s v="wearables"/>
    <m/>
    <x v="9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3083653610270668"/>
    <n v="25930588.235294119"/>
    <x v="3"/>
    <s v="plays"/>
    <m/>
    <x v="9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3.5366497611533411E-2"/>
    <n v="7368404.0201005023"/>
    <x v="3"/>
    <s v="plays"/>
    <m/>
    <x v="9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5.1806885039083012E-2"/>
    <n v="14034919.626168225"/>
    <x v="2"/>
    <s v="wearables"/>
    <m/>
    <x v="9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0.33107839235972941"/>
    <n v="6982116.923076923"/>
    <x v="1"/>
    <s v="indie rock"/>
    <m/>
    <x v="9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5.5924501922404758E-3"/>
    <n v="1545026400"/>
    <x v="1"/>
    <s v="rock"/>
    <m/>
    <x v="9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3142288684936782"/>
    <n v="958893.2515337423"/>
    <x v="1"/>
    <s v="electric music"/>
    <m/>
    <x v="9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0663984780051413E-2"/>
    <n v="440733.41232227487"/>
    <x v="1"/>
    <s v="indie rock"/>
    <m/>
    <x v="9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3.8382292968843705E-2"/>
    <n v="237835.09945432143"/>
    <x v="3"/>
    <s v="plays"/>
    <m/>
    <x v="9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13582777431920018"/>
    <n v="1383396.0339943343"/>
    <x v="1"/>
    <s v="indie rock"/>
    <m/>
    <x v="9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10208798282653267"/>
    <n v="1064312.5628140704"/>
    <x v="3"/>
    <s v="plays"/>
    <m/>
    <x v="9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13205527063306288"/>
    <n v="4148615.303430079"/>
    <x v="1"/>
    <s v="rock"/>
    <m/>
    <x v="9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7.4676789520357209E-2"/>
    <n v="46314000"/>
    <x v="7"/>
    <s v="photography books"/>
    <m/>
    <x v="9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5.9604523983370341E-3"/>
    <n v="35357092.682926826"/>
    <x v="1"/>
    <s v="rock"/>
    <m/>
    <x v="9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0.10009894038783705"/>
    <n v="854046.12850082375"/>
    <x v="3"/>
    <s v="plays"/>
    <m/>
    <x v="9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8.8823710379189347E-2"/>
    <n v="9498314.6341463421"/>
    <x v="2"/>
    <s v="wearables"/>
    <m/>
    <x v="9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3.592554430941873E-2"/>
    <n v="19246704"/>
    <x v="2"/>
    <s v="web"/>
    <m/>
    <x v="9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0.16784860056229281"/>
    <n v="9852489.171974523"/>
    <x v="1"/>
    <s v="rock"/>
    <m/>
    <x v="9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0.28089284307946377"/>
    <n v="6149239.0243902439"/>
    <x v="7"/>
    <s v="photography books"/>
    <m/>
    <x v="9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5.7315759684572268E-3"/>
    <n v="1079889.1117478509"/>
    <x v="3"/>
    <s v="plays"/>
    <m/>
    <x v="9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0.18412806490514289"/>
    <n v="600290.66241021547"/>
    <x v="2"/>
    <s v="web"/>
    <m/>
    <x v="9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2.6728587895290756E-2"/>
    <n v="5300586.8852459015"/>
    <x v="7"/>
    <s v="photography books"/>
    <m/>
    <x v="9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6.3027030717799096E-2"/>
    <n v="9395235.6164383553"/>
    <x v="3"/>
    <s v="plays"/>
    <m/>
    <x v="9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12790692275907536"/>
    <n v="1625967.3298429318"/>
    <x v="1"/>
    <s v="indie rock"/>
    <m/>
    <x v="9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0.18054954768576856"/>
    <n v="1059454.1436464088"/>
    <x v="4"/>
    <s v="shorts"/>
    <m/>
    <x v="9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4.02733795358493E-2"/>
    <n v="22423002.985074628"/>
    <x v="1"/>
    <s v="indie rock"/>
    <m/>
    <x v="9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3622958813770542"/>
    <n v="279438480"/>
    <x v="5"/>
    <s v="translations"/>
    <m/>
    <x v="9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9.2193041986247878E-2"/>
    <n v="54117000"/>
    <x v="4"/>
    <s v="documentary"/>
    <m/>
    <x v="9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3.7871117224257504E-2"/>
    <n v="877239.97437540034"/>
    <x v="3"/>
    <s v="plays"/>
    <m/>
    <x v="9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5.9832916580449102E-3"/>
    <n v="30085575"/>
    <x v="2"/>
    <s v="wearables"/>
    <m/>
    <x v="9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11147481671437756"/>
    <n v="1304655.9292035399"/>
    <x v="3"/>
    <s v="plays"/>
    <m/>
    <x v="9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5.2794568025556481E-2"/>
    <n v="1884471.0997442454"/>
    <x v="3"/>
    <s v="plays"/>
    <m/>
    <x v="9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0.16746772059685497"/>
    <n v="471690.69003285869"/>
    <x v="3"/>
    <s v="plays"/>
    <m/>
    <x v="9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5.163449471105002E-2"/>
    <n v="7174988.5714285718"/>
    <x v="0"/>
    <s v="food trucks"/>
    <m/>
    <x v="9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6.33665039379642E-3"/>
    <n v="385519.59287531808"/>
    <x v="3"/>
    <s v="plays"/>
    <m/>
    <x v="9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4036276998567636E-2"/>
    <n v="602594.209776934"/>
    <x v="2"/>
    <s v="wearables"/>
    <m/>
    <x v="9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10319202554958114"/>
    <n v="11093002.94117647"/>
    <x v="2"/>
    <s v="web"/>
    <m/>
    <x v="9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8.8582745280777309E-2"/>
    <n v="470752.62206148281"/>
    <x v="3"/>
    <s v="plays"/>
    <m/>
    <x v="9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8.7476063240707766E-2"/>
    <n v="14943390.697674418"/>
    <x v="1"/>
    <s v="rock"/>
    <m/>
    <x v="9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5.5496333773450094E-3"/>
    <n v="4579252.9411764704"/>
    <x v="3"/>
    <s v="plays"/>
    <m/>
    <x v="9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6.2272816264527381E-2"/>
    <n v="80375684.210526317"/>
    <x v="4"/>
    <s v="television"/>
    <m/>
    <x v="9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9.2517160648339702E-2"/>
    <n v="1582525.0564334085"/>
    <x v="3"/>
    <s v="plays"/>
    <m/>
    <x v="9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0.17740903490542592"/>
    <n v="945918.72399445216"/>
    <x v="4"/>
    <s v="shorts"/>
    <m/>
    <x v="9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6.0952380952380954E-3"/>
    <n v="40502468.571428575"/>
    <x v="3"/>
    <s v="plays"/>
    <m/>
    <x v="9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"/>
    <n v="3304016.3265306121"/>
    <x v="3"/>
    <s v="plays"/>
    <m/>
    <x v="9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6.3050874174099226E-3"/>
    <n v="57100350"/>
    <x v="3"/>
    <s v="plays"/>
    <m/>
    <x v="9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1.6697084735385993E-2"/>
    <n v="18053790.69767442"/>
    <x v="3"/>
    <s v="plays"/>
    <m/>
    <x v="9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2.4618098918598716E-2"/>
    <n v="5778562.9629629627"/>
    <x v="1"/>
    <s v="rock"/>
    <m/>
    <x v="9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2.2689617845384435E-2"/>
    <n v="23438603.076923076"/>
    <x v="1"/>
    <s v="indie rock"/>
    <m/>
    <x v="9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9.5853105116409112E-2"/>
    <n v="11457057.142857144"/>
    <x v="1"/>
    <s v="metal"/>
    <m/>
    <x v="9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9456162559389746E-2"/>
    <n v="2926422.1374045801"/>
    <x v="1"/>
    <s v="electric music"/>
    <m/>
    <x v="9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11145519916506369"/>
    <n v="14745204"/>
    <x v="2"/>
    <s v="wearables"/>
    <m/>
    <x v="9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8.0737207597947933E-2"/>
    <n v="753847.96380090492"/>
    <x v="4"/>
    <s v="drama"/>
    <m/>
    <x v="9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0.19558637976917434"/>
    <n v="7640335.7142857146"/>
    <x v="1"/>
    <s v="electric music"/>
    <m/>
    <x v="9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2.4062743603947293E-2"/>
    <n v="110506984.61538461"/>
    <x v="1"/>
    <s v="rock"/>
    <m/>
    <x v="9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7.4864520739457291E-2"/>
    <n v="1270443600"/>
    <x v="3"/>
    <s v="plays"/>
    <m/>
    <x v="9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0.11059086754951629"/>
    <n v="8967003.8216560502"/>
    <x v="2"/>
    <s v="web"/>
    <m/>
    <x v="9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2.6230869908547165E-2"/>
    <n v="16071673.170731707"/>
    <x v="0"/>
    <s v="food trucks"/>
    <m/>
    <x v="9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1639241703403023E-2"/>
    <n v="330103.51267229882"/>
    <x v="3"/>
    <s v="plays"/>
    <m/>
    <x v="9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6.6369295351660473E-2"/>
    <n v="32566770"/>
    <x v="1"/>
    <s v="jazz"/>
    <m/>
    <x v="9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6.7335501474133114E-2"/>
    <n v="19259865"/>
    <x v="3"/>
    <s v="plays"/>
    <m/>
    <x v="9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6.1361195861528231E-2"/>
    <n v="22246105.263157893"/>
    <x v="5"/>
    <s v="fiction"/>
    <m/>
    <x v="9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0.11254158763355521"/>
    <n v="35747916.279069766"/>
    <x v="1"/>
    <s v="rock"/>
    <m/>
    <x v="9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0.13730566242830786"/>
    <n v="736619.97077447642"/>
    <x v="4"/>
    <s v="documentary"/>
    <m/>
    <x v="9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4.1353540773852747E-2"/>
    <n v="1810786.6336633663"/>
    <x v="4"/>
    <s v="documentary"/>
    <m/>
    <x v="9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15647749094268618"/>
    <n v="6596681.4159292039"/>
    <x v="4"/>
    <s v="science fiction"/>
    <m/>
    <x v="9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15052487711054954"/>
    <n v="849017.35384615383"/>
    <x v="3"/>
    <s v="plays"/>
    <m/>
    <x v="9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0.25212041490250886"/>
    <n v="9406928.5714285709"/>
    <x v="3"/>
    <s v="plays"/>
    <m/>
    <x v="9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5.3901430203233534E-2"/>
    <n v="300702.82117043599"/>
    <x v="1"/>
    <s v="indie rock"/>
    <m/>
    <x v="9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4.0430699254558986E-2"/>
    <n v="7774014.5454545459"/>
    <x v="1"/>
    <s v="rock"/>
    <m/>
    <x v="9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1.1148116665040899E-2"/>
    <n v="10840632.167832168"/>
    <x v="3"/>
    <s v="plays"/>
    <m/>
    <x v="9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307168183526413E-2"/>
    <n v="728437.68595041323"/>
    <x v="3"/>
    <s v="plays"/>
    <m/>
    <x v="9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4.9960563536652777E-2"/>
    <n v="1667243.2548179871"/>
    <x v="4"/>
    <s v="science fiction"/>
    <m/>
    <x v="9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0.22237846853181156"/>
    <n v="3334833.2493702769"/>
    <x v="4"/>
    <s v="shorts"/>
    <m/>
    <x v="9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7.708016069072389E-2"/>
    <n v="874678.36257309944"/>
    <x v="4"/>
    <s v="animation"/>
    <m/>
    <x v="9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0.1187632130947439"/>
    <n v="77120682.35294117"/>
    <x v="3"/>
    <s v="plays"/>
    <m/>
    <x v="9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1.2893070780272528E-2"/>
    <n v="615157.22808627808"/>
    <x v="0"/>
    <s v="food trucks"/>
    <m/>
    <x v="9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6.1180009431918113E-3"/>
    <n v="10234147.826086957"/>
    <x v="7"/>
    <s v="photography books"/>
    <m/>
    <x v="9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8.2957022830463995E-2"/>
    <n v="1567469.387755102"/>
    <x v="3"/>
    <s v="plays"/>
    <m/>
    <x v="9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0.27569989772834502"/>
    <n v="393830.38397328882"/>
    <x v="4"/>
    <s v="science fiction"/>
    <m/>
    <x v="9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0"/>
    <n v="237941.02040816325"/>
    <x v="1"/>
    <s v="rock"/>
    <m/>
    <x v="9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0.25157731611199724"/>
    <n v="11374103.571428571"/>
    <x v="7"/>
    <s v="photography books"/>
    <m/>
    <x v="9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3.6209562844965237E-2"/>
    <n v="1518753.3404029692"/>
    <x v="6"/>
    <s v="mobile games"/>
    <m/>
    <x v="9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0.14667739041365468"/>
    <n v="597560.61588330637"/>
    <x v="4"/>
    <s v="animation"/>
    <m/>
    <x v="9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0.27716492997495407"/>
    <n v="588177.3422187377"/>
    <x v="6"/>
    <s v="mobile games"/>
    <m/>
    <x v="9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0"/>
    <n v="15600118.811881188"/>
    <x v="6"/>
    <s v="video games"/>
    <m/>
    <x v="9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36601815891814288"/>
    <n v="20509307.462686568"/>
    <x v="3"/>
    <s v="plays"/>
    <m/>
    <x v="9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5.879859765344597E-3"/>
    <n v="15972926.086956521"/>
    <x v="3"/>
    <s v="plays"/>
    <m/>
    <x v="9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0.10569980704280017"/>
    <n v="21116729.032258064"/>
    <x v="4"/>
    <s v="animation"/>
    <m/>
    <x v="9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4.0229403383580178E-2"/>
    <n v="10093844.295302013"/>
    <x v="6"/>
    <s v="video games"/>
    <m/>
    <x v="9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2.9052454206069056E-2"/>
    <n v="16167365.217391305"/>
    <x v="4"/>
    <s v="animation"/>
    <m/>
    <x v="9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3.8733506558182106E-2"/>
    <n v="27404273.684210528"/>
    <x v="1"/>
    <s v="rock"/>
    <m/>
    <x v="9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2356961732034134E-2"/>
    <n v="4250987.2340425532"/>
    <x v="4"/>
    <s v="animation"/>
    <m/>
    <x v="9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0.14274091097249383"/>
    <n v="15622589.69072165"/>
    <x v="3"/>
    <s v="plays"/>
    <m/>
    <x v="9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2.3986267861649205E-2"/>
    <n v="35150487.804878049"/>
    <x v="2"/>
    <s v="wearables"/>
    <m/>
    <x v="9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6.744357923074977E-3"/>
    <n v="718137.44394618832"/>
    <x v="3"/>
    <s v="plays"/>
    <m/>
    <x v="9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6.1830650999466719E-2"/>
    <n v="830302.37529691216"/>
    <x v="5"/>
    <s v="nonfiction"/>
    <m/>
    <x v="9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5.7816139857242307E-2"/>
    <n v="5981025.5999999996"/>
    <x v="1"/>
    <s v="rock"/>
    <m/>
    <x v="9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1.7051025192889722E-2"/>
    <n v="6388245.3781512603"/>
    <x v="3"/>
    <s v="plays"/>
    <m/>
    <x v="9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0.31970079284771946"/>
    <n v="26600128.301886793"/>
    <x v="3"/>
    <s v="plays"/>
    <m/>
    <x v="9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6.185359768873723E-3"/>
    <n v="6527725.2336448599"/>
    <x v="3"/>
    <s v="plays"/>
    <m/>
    <x v="9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2.5122143337529084E-2"/>
    <n v="6198308.1081081079"/>
    <x v="2"/>
    <s v="web"/>
    <m/>
    <x v="9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8.7426598085357507E-2"/>
    <n v="787517.19745222933"/>
    <x v="5"/>
    <s v="fiction"/>
    <m/>
    <x v="9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3.0422415235545546E-2"/>
    <n v="6515768.8073394494"/>
    <x v="6"/>
    <s v="mobile games"/>
    <m/>
    <x v="9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4.2586199029643036E-2"/>
    <n v="219765.38283062645"/>
    <x v="5"/>
    <s v="translations"/>
    <m/>
    <x v="9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2391649725814442"/>
    <n v="1267423200"/>
    <x v="1"/>
    <s v="rock"/>
    <m/>
    <x v="9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1.275245883346883E-2"/>
    <n v="13417877.227722771"/>
    <x v="3"/>
    <s v="plays"/>
    <m/>
    <x v="9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3.124373498022532E-2"/>
    <n v="23442528.813559324"/>
    <x v="3"/>
    <s v="plays"/>
    <m/>
    <x v="9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7.9616733889360386E-2"/>
    <n v="976236.40449438198"/>
    <x v="4"/>
    <s v="drama"/>
    <m/>
    <x v="9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161558230366036E-2"/>
    <n v="16907154.545454547"/>
    <x v="5"/>
    <s v="nonfiction"/>
    <m/>
    <x v="9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3.3286177914620949E-2"/>
    <n v="765037.12433706538"/>
    <x v="1"/>
    <s v="rock"/>
    <m/>
    <x v="9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199206502518686"/>
    <n v="97120800"/>
    <x v="1"/>
    <s v="rock"/>
    <m/>
    <x v="9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8.8516152216074534E-2"/>
    <n v="14822491.304347826"/>
    <x v="3"/>
    <s v="plays"/>
    <m/>
    <x v="9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0.1166639931168244"/>
    <n v="7972606.4516129028"/>
    <x v="3"/>
    <s v="plays"/>
    <m/>
    <x v="9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0.12115608410782892"/>
    <n v="9830347.826086957"/>
    <x v="7"/>
    <s v="photography books"/>
    <m/>
    <x v="9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7.6867848687775076E-2"/>
    <n v="5171820.6896551726"/>
    <x v="1"/>
    <s v="rock"/>
    <m/>
    <x v="9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2.6942906297623692E-2"/>
    <n v="2826118.9427312776"/>
    <x v="1"/>
    <s v="rock"/>
    <m/>
    <x v="9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0.1725372655608429"/>
    <n v="12189028.037383178"/>
    <x v="1"/>
    <s v="indie rock"/>
    <m/>
    <x v="9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0"/>
    <n v="6346818.0904522613"/>
    <x v="7"/>
    <s v="photography books"/>
    <m/>
    <x v="9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0.10159859031955933"/>
    <n v="247102.90275761974"/>
    <x v="3"/>
    <s v="plays"/>
    <m/>
    <x v="9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0.26185410560457051"/>
    <n v="16925609.30232558"/>
    <x v="3"/>
    <s v="plays"/>
    <m/>
    <x v="9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2014498283098054"/>
    <n v="445691.76618478942"/>
    <x v="1"/>
    <s v="jazz"/>
    <m/>
    <x v="9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0.10258651240497424"/>
    <n v="488598.55491329479"/>
    <x v="3"/>
    <s v="plays"/>
    <m/>
    <x v="9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0.29481368042197043"/>
    <n v="28193850"/>
    <x v="4"/>
    <s v="documentary"/>
    <m/>
    <x v="9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0.11714010793624231"/>
    <n v="17824468.965517242"/>
    <x v="4"/>
    <s v="television"/>
    <m/>
    <x v="9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1.3382178284070191E-2"/>
    <n v="683302.85714285716"/>
    <x v="6"/>
    <s v="video games"/>
    <m/>
    <x v="9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0.18478503837269952"/>
    <n v="23805678.688524589"/>
    <x v="7"/>
    <s v="photography books"/>
    <m/>
    <x v="9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0.13821922951994159"/>
    <n v="826238.01478352689"/>
    <x v="3"/>
    <s v="plays"/>
    <m/>
    <x v="9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7215448952607303E-2"/>
    <n v="5340012.7659574468"/>
    <x v="3"/>
    <s v="plays"/>
    <m/>
    <x v="9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2.8610256777054574E-2"/>
    <n v="100692000"/>
    <x v="3"/>
    <s v="plays"/>
    <m/>
    <x v="9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4.4463691459034352E-2"/>
    <n v="13407051.72413793"/>
    <x v="5"/>
    <s v="translations"/>
    <m/>
    <x v="9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3.2364117902481518E-2"/>
    <n v="10039425.563909775"/>
    <x v="6"/>
    <s v="video games"/>
    <m/>
    <x v="9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.3505110840383657E-2"/>
    <n v="15417932.530120483"/>
    <x v="3"/>
    <s v="plays"/>
    <m/>
    <x v="9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0.15953797801566663"/>
    <n v="14901863.736263737"/>
    <x v="2"/>
    <s v="web"/>
    <m/>
    <x v="9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6875540544658073E-2"/>
    <n v="2813571.4285714286"/>
    <x v="3"/>
    <s v="plays"/>
    <m/>
    <x v="9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3.4302865718573571E-2"/>
    <n v="3846723.6641221372"/>
    <x v="4"/>
    <s v="animation"/>
    <m/>
    <x v="9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13600255241370734"/>
    <n v="646584.093113482"/>
    <x v="3"/>
    <s v="plays"/>
    <m/>
    <x v="9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3.5021669658100947E-2"/>
    <n v="11133419.54887218"/>
    <x v="4"/>
    <s v="television"/>
    <m/>
    <x v="9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2.9496422329774914E-2"/>
    <n v="50517806.896551721"/>
    <x v="1"/>
    <s v="rock"/>
    <m/>
    <x v="9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3.2338998946287618E-2"/>
    <n v="10123336.363636363"/>
    <x v="2"/>
    <s v="web"/>
    <m/>
    <x v="9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0.22281890344758504"/>
    <n v="5814042.5196850393"/>
    <x v="3"/>
    <s v="plays"/>
    <m/>
    <x v="9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4.0868156408272883E-2"/>
    <n v="8046117.3913043477"/>
    <x v="3"/>
    <s v="plays"/>
    <m/>
    <x v="9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0"/>
    <n v="8126120.4545454541"/>
    <x v="1"/>
    <s v="electric music"/>
    <m/>
    <x v="9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6.4879418896671417E-3"/>
    <n v="9721077.372262774"/>
    <x v="1"/>
    <s v="metal"/>
    <m/>
    <x v="9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.8017792570163036E-2"/>
    <n v="4269546.5875370922"/>
    <x v="3"/>
    <s v="plays"/>
    <m/>
    <x v="9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20208133247378601"/>
    <n v="1509831.2775330397"/>
    <x v="4"/>
    <s v="documentary"/>
    <m/>
    <x v="9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2.6208527053479043E-2"/>
    <n v="12327106.542056074"/>
    <x v="2"/>
    <s v="web"/>
    <m/>
    <x v="9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0.11676780235968266"/>
    <n v="133342920"/>
    <x v="0"/>
    <s v="food trucks"/>
    <m/>
    <x v="9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6.0454584892511189E-2"/>
    <n v="40219762.5"/>
    <x v="3"/>
    <s v="plays"/>
    <m/>
    <x v="9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6.7535198925045281E-2"/>
    <n v="8423881.9672131147"/>
    <x v="3"/>
    <s v="plays"/>
    <m/>
    <x v="9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15657688029033159"/>
    <n v="724595.18324607331"/>
    <x v="3"/>
    <s v="plays"/>
    <m/>
    <x v="9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12273874778582089"/>
    <n v="40804105.263157897"/>
    <x v="3"/>
    <s v="plays"/>
    <m/>
    <x v="9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5.5955360057198818E-2"/>
    <n v="13369776.923076924"/>
    <x v="3"/>
    <s v="plays"/>
    <m/>
    <x v="9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0.1065318087667522"/>
    <n v="20250250"/>
    <x v="1"/>
    <s v="rock"/>
    <m/>
    <x v="9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33183599444551515"/>
    <n v="29833053.06122449"/>
    <x v="0"/>
    <s v="food trucks"/>
    <m/>
    <x v="9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5.7444165467918631E-3"/>
    <n v="1504155600"/>
    <x v="5"/>
    <s v="nonfiction"/>
    <m/>
    <x v="9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0.10282607487355172"/>
    <n v="4835239.322033898"/>
    <x v="4"/>
    <s v="documentary"/>
    <m/>
    <x v="9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7.8756952762236043E-2"/>
    <n v="6273771.4285714282"/>
    <x v="3"/>
    <s v="plays"/>
    <m/>
    <x v="9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2.9749066623034701E-2"/>
    <n v="45393075"/>
    <x v="1"/>
    <s v="indie rock"/>
    <m/>
    <x v="9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0.24089011836419941"/>
    <n v="10380904.225352112"/>
    <x v="4"/>
    <s v="documentary"/>
    <m/>
    <x v="9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0.24290238730588173"/>
    <n v="17198894.117647059"/>
    <x v="3"/>
    <s v="plays"/>
    <m/>
    <x v="9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1.7279903232541898E-2"/>
    <n v="214323942.85714287"/>
    <x v="3"/>
    <s v="plays"/>
    <m/>
    <x v="9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0.12905550193179954"/>
    <n v="2034426.1001517451"/>
    <x v="5"/>
    <s v="fiction"/>
    <m/>
    <x v="9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6.6303287814284493E-3"/>
    <n v="1622900.6226650062"/>
    <x v="3"/>
    <s v="plays"/>
    <m/>
    <x v="9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13124902588613599"/>
    <n v="17577456"/>
    <x v="1"/>
    <s v="indie rock"/>
    <m/>
    <x v="9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10878279418805258"/>
    <n v="79510725"/>
    <x v="6"/>
    <s v="video games"/>
    <m/>
    <x v="9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7.9886826995090282E-2"/>
    <n v="10734485.950413223"/>
    <x v="3"/>
    <s v="plays"/>
    <m/>
    <x v="9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4.3741228972315443E-2"/>
    <n v="369663.81614110101"/>
    <x v="3"/>
    <s v="plays"/>
    <m/>
    <x v="9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1.2989332510675609E-2"/>
    <n v="5966346.1883408073"/>
    <x v="1"/>
    <s v="rock"/>
    <m/>
    <x v="9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7828474558976652E-2"/>
    <n v="11675178.947368421"/>
    <x v="4"/>
    <s v="documentary"/>
    <m/>
    <x v="9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17885547911939373"/>
    <n v="45271393.548387095"/>
    <x v="3"/>
    <s v="plays"/>
    <m/>
    <x v="9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5.4887001385896788E-3"/>
    <n v="14576200"/>
    <x v="0"/>
    <s v="food trucks"/>
    <m/>
    <x v="9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7.5143603761997094E-2"/>
    <n v="49862040"/>
    <x v="3"/>
    <s v="plays"/>
    <m/>
    <x v="9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1.2410604861854455E-2"/>
    <n v="81913552.941176474"/>
    <x v="1"/>
    <s v="rock"/>
    <m/>
    <x v="9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16179911628468779"/>
    <n v="20057231.25"/>
    <x v="2"/>
    <s v="web"/>
    <m/>
    <x v="9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5.9586042521262012E-2"/>
    <n v="16322265"/>
    <x v="5"/>
    <s v="fiction"/>
    <m/>
    <x v="9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5.3102485030354148E-2"/>
    <n v="527684.44084278774"/>
    <x v="4"/>
    <s v="shorts"/>
    <m/>
    <x v="9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8.7024919250916266E-2"/>
    <n v="249958.97832817337"/>
    <x v="3"/>
    <s v="plays"/>
    <m/>
    <x v="9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1.2379142177026891E-2"/>
    <n v="53694969.230769232"/>
    <x v="4"/>
    <s v="documentary"/>
    <m/>
    <x v="9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7.2257779628825833E-2"/>
    <n v="4677197.3941368079"/>
    <x v="3"/>
    <s v="plays"/>
    <m/>
    <x v="9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12995665757127015"/>
    <n v="20974142.465753425"/>
    <x v="3"/>
    <s v="plays"/>
    <m/>
    <x v="9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3.5724386359238476E-2"/>
    <n v="11340843.75"/>
    <x v="4"/>
    <s v="animation"/>
    <m/>
    <x v="9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2.2055326706013983E-2"/>
    <n v="47494363.636363633"/>
    <x v="3"/>
    <s v="plays"/>
    <m/>
    <x v="9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6.1572046290983895E-2"/>
    <n v="632735.76403113478"/>
    <x v="1"/>
    <s v="rock"/>
    <m/>
    <x v="9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6.4150228170697918E-2"/>
    <n v="7025937.4407582935"/>
    <x v="6"/>
    <s v="video games"/>
    <m/>
    <x v="9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5.7115931061071205E-3"/>
    <n v="1092273.7906137183"/>
    <x v="4"/>
    <s v="documentary"/>
    <m/>
    <x v="9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6.5243275864881175E-3"/>
    <n v="6970320"/>
    <x v="0"/>
    <s v="food trucks"/>
    <m/>
    <x v="9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6.3322366251289536E-3"/>
    <n v="2903262.1276595746"/>
    <x v="2"/>
    <s v="wearables"/>
    <m/>
    <x v="9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0.15681662256199158"/>
    <n v="6107165.2173913047"/>
    <x v="3"/>
    <s v="plays"/>
    <m/>
    <x v="9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3.9905936007981188E-2"/>
    <n v="1362236.1185983827"/>
    <x v="1"/>
    <s v="rock"/>
    <m/>
    <x v="9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7.1368770672925158E-2"/>
    <n v="689847.04336399469"/>
    <x v="1"/>
    <s v="rock"/>
    <m/>
    <x v="9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6.6852740126685951E-3"/>
    <n v="1205670.8955223882"/>
    <x v="1"/>
    <s v="rock"/>
    <m/>
    <x v="9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5.4911112636419797E-3"/>
    <n v="1437021.3698630137"/>
    <x v="3"/>
    <s v="plays"/>
    <m/>
    <x v="9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0.19669282863410492"/>
    <n v="781291.59763313609"/>
    <x v="3"/>
    <s v="plays"/>
    <m/>
    <x v="9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8.0551393467186094E-2"/>
    <n v="1158719.8149575945"/>
    <x v="3"/>
    <s v="plays"/>
    <m/>
    <x v="9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6.527308627470179E-3"/>
    <n v="3368335.8778625955"/>
    <x v="7"/>
    <s v="photography books"/>
    <m/>
    <x v="9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4.197848602591172E-2"/>
    <n v="1146652.9832935561"/>
    <x v="1"/>
    <s v="indie rock"/>
    <m/>
    <x v="9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7.5442240844114841E-2"/>
    <n v="4193089.0243902439"/>
    <x v="3"/>
    <s v="plays"/>
    <m/>
    <x v="9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33066616754792316"/>
    <n v="9451836.7346938774"/>
    <x v="3"/>
    <s v="plays"/>
    <m/>
    <x v="9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22787802828536027"/>
    <n v="1831393.7349397591"/>
    <x v="6"/>
    <s v="video games"/>
    <m/>
    <x v="9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6.0149622185185648E-3"/>
    <n v="4339892.4471299089"/>
    <x v="4"/>
    <s v="drama"/>
    <m/>
    <x v="9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160518420794296"/>
    <n v="60332112"/>
    <x v="1"/>
    <s v="indie rock"/>
    <m/>
    <x v="9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0.1456553733177563"/>
    <n v="7464439.7905759159"/>
    <x v="2"/>
    <s v="web"/>
    <m/>
    <x v="9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7.5523216127111381E-2"/>
    <n v="427317.82945736434"/>
    <x v="0"/>
    <s v="food trucks"/>
    <m/>
    <x v="9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17279903232541896"/>
    <n v="1627952.7627302276"/>
    <x v="3"/>
    <s v="plays"/>
    <m/>
    <x v="9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10859592011161247"/>
    <n v="1433653200"/>
    <x v="1"/>
    <s v="jazz"/>
    <m/>
    <x v="9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8.3977116235825738E-2"/>
    <n v="716146.05067064089"/>
    <x v="1"/>
    <s v="rock"/>
    <m/>
    <x v="9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4.7771889228931851E-2"/>
    <n v="43865672.727272727"/>
    <x v="3"/>
    <s v="plays"/>
    <m/>
    <x v="9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5.5302979678459258E-3"/>
    <n v="917433.47034644743"/>
    <x v="3"/>
    <s v="plays"/>
    <m/>
    <x v="9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4.3883822803392633E-2"/>
    <n v="17234865"/>
    <x v="4"/>
    <s v="documentary"/>
    <m/>
    <x v="9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23271711779849608"/>
    <n v="17308381.395348836"/>
    <x v="2"/>
    <s v="wearables"/>
    <m/>
    <x v="9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5.8619510527087096E-2"/>
    <n v="33182460"/>
    <x v="3"/>
    <s v="plays"/>
    <m/>
    <x v="9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0.14986923908889496"/>
    <n v="35205278.048780486"/>
    <x v="6"/>
    <s v="video games"/>
    <m/>
    <x v="9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1.6898354053375329E-2"/>
    <n v="66701582.608695649"/>
    <x v="7"/>
    <s v="photography books"/>
    <m/>
    <x v="9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4.6012648000503947E-2"/>
    <n v="7032224.5989304809"/>
    <x v="4"/>
    <s v="animation"/>
    <m/>
    <x v="9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9.3487587853291254E-2"/>
    <n v="450459.54782608693"/>
    <x v="3"/>
    <s v="plays"/>
    <m/>
    <x v="9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0.13756570792602976"/>
    <n v="17152568.181818184"/>
    <x v="3"/>
    <s v="plays"/>
    <m/>
    <x v="9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0.25331222398133491"/>
    <n v="6803095.2879581153"/>
    <x v="1"/>
    <s v="rock"/>
    <m/>
    <x v="9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6.5209240149329169E-3"/>
    <n v="9532748.2014388498"/>
    <x v="1"/>
    <s v="rock"/>
    <m/>
    <x v="9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0.17026375489597098"/>
    <n v="8187193.5483870972"/>
    <x v="1"/>
    <s v="indie rock"/>
    <m/>
    <x v="9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0.15730369809342093"/>
    <n v="13261821.428571429"/>
    <x v="3"/>
    <s v="plays"/>
    <m/>
    <x v="9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6.6767931362566556E-3"/>
    <n v="12813077.227722771"/>
    <x v="3"/>
    <s v="plays"/>
    <m/>
    <x v="9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4694309965900032"/>
    <n v="18875808"/>
    <x v="3"/>
    <s v="plays"/>
    <m/>
    <x v="9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0.15441207323384198"/>
    <n v="6256957.2815533979"/>
    <x v="4"/>
    <s v="documentary"/>
    <m/>
    <x v="9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0.24752344192597062"/>
    <n v="8852189.6103896108"/>
    <x v="4"/>
    <s v="television"/>
    <m/>
    <x v="9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3.3331095829215174E-2"/>
    <n v="260781.56218571909"/>
    <x v="3"/>
    <s v="plays"/>
    <m/>
    <x v="9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30932111224082026"/>
    <n v="656147.9779411765"/>
    <x v="3"/>
    <s v="plays"/>
    <m/>
    <x v="9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0.12163045626624906"/>
    <n v="8416714.7928994074"/>
    <x v="4"/>
    <s v="documentary"/>
    <m/>
    <x v="9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4.5989676275794339E-2"/>
    <n v="713977.77777777775"/>
    <x v="3"/>
    <s v="plays"/>
    <m/>
    <x v="9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2.7921651844923144E-2"/>
    <n v="3509338.775510204"/>
    <x v="4"/>
    <s v="documentary"/>
    <m/>
    <x v="9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34107244737543629"/>
    <n v="57996000"/>
    <x v="1"/>
    <s v="indie rock"/>
    <m/>
    <x v="9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90670548705318E-2"/>
    <n v="10726268.702290077"/>
    <x v="1"/>
    <s v="rock"/>
    <m/>
    <x v="9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7.7189301608606722E-2"/>
    <n v="12385303.937007874"/>
    <x v="3"/>
    <s v="plays"/>
    <m/>
    <x v="9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21502689015002369"/>
    <n v="4310315.4929577466"/>
    <x v="4"/>
    <s v="documentary"/>
    <m/>
    <x v="9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9.1930569232993531E-2"/>
    <n v="30020563.636363637"/>
    <x v="3"/>
    <s v="plays"/>
    <m/>
    <x v="9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3.1487715854852126E-2"/>
    <n v="16338042.857142856"/>
    <x v="3"/>
    <s v="plays"/>
    <m/>
    <x v="9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0.27720514938695984"/>
    <n v="9275574.1935483869"/>
    <x v="3"/>
    <s v="plays"/>
    <m/>
    <x v="9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1088500328221042"/>
    <n v="22533904.47761194"/>
    <x v="7"/>
    <s v="photography books"/>
    <m/>
    <x v="9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3.3444349995122698E-2"/>
    <n v="8204000"/>
    <x v="0"/>
    <s v="food trucks"/>
    <m/>
    <x v="9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0.15691060454169026"/>
    <n v="310281.14190456347"/>
    <x v="4"/>
    <s v="documentary"/>
    <m/>
    <x v="9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0.17793388180834574"/>
    <n v="1369041.6886543536"/>
    <x v="5"/>
    <s v="nonfiction"/>
    <m/>
    <x v="9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8.1156708531880783E-2"/>
    <n v="1197158.4269662921"/>
    <x v="3"/>
    <s v="plays"/>
    <m/>
    <x v="9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3.2251388825431299E-2"/>
    <n v="3160163.2075471696"/>
    <x v="2"/>
    <s v="wearables"/>
    <m/>
    <x v="9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1.3035047985270396E-2"/>
    <n v="9143652.4137931038"/>
    <x v="1"/>
    <s v="indie rock"/>
    <m/>
    <x v="9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0.18136343947798628"/>
    <n v="1120293.75"/>
    <x v="3"/>
    <s v="plays"/>
    <m/>
    <x v="9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9.3977847332987002E-2"/>
    <n v="27606888"/>
    <x v="7"/>
    <s v="photography books"/>
    <m/>
    <x v="9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1.2434524457155292E-2"/>
    <n v="9204317.8807947021"/>
    <x v="5"/>
    <s v="nonfiction"/>
    <m/>
    <x v="9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1.3350912034178335E-2"/>
    <n v="805016.41791044781"/>
    <x v="2"/>
    <s v="wearables"/>
    <m/>
    <x v="9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5.7589725992882868E-3"/>
    <n v="490472.04968944099"/>
    <x v="1"/>
    <s v="jazz"/>
    <m/>
    <x v="9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6.2832982079509908E-2"/>
    <n v="40468764.705882356"/>
    <x v="4"/>
    <s v="documentary"/>
    <m/>
    <x v="9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6.5290133028646051E-3"/>
    <n v="6015501.8181818184"/>
    <x v="3"/>
    <s v="plays"/>
    <m/>
    <x v="9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4.492058181511905E-2"/>
    <n v="959729.92518703244"/>
    <x v="4"/>
    <s v="drama"/>
    <m/>
    <x v="9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3.7859169148983719E-2"/>
    <n v="3017188.5462555066"/>
    <x v="1"/>
    <s v="rock"/>
    <m/>
    <x v="9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1.1325536016384277E-2"/>
    <n v="12405921.951219512"/>
    <x v="4"/>
    <s v="animation"/>
    <m/>
    <x v="9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4.6644122007696277E-2"/>
    <n v="1378566.6312433581"/>
    <x v="1"/>
    <s v="indie rock"/>
    <m/>
    <x v="9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13807639704286384"/>
    <n v="1378530000"/>
    <x v="7"/>
    <s v="photography books"/>
    <m/>
    <x v="9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0"/>
    <n v="5258034.7826086953"/>
    <x v="3"/>
    <s v="plays"/>
    <m/>
    <x v="9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30628370342614164"/>
    <n v="33247260"/>
    <x v="4"/>
    <s v="shorts"/>
    <m/>
    <x v="9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2442133588099121"/>
    <n v="423466.26865671639"/>
    <x v="3"/>
    <s v="plays"/>
    <m/>
    <x v="9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1.71582996125084E-2"/>
    <n v="675412.78497988381"/>
    <x v="3"/>
    <s v="plays"/>
    <m/>
    <x v="9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28270615757570045"/>
    <n v="3522777.9310344825"/>
    <x v="3"/>
    <s v="plays"/>
    <m/>
    <x v="9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7.6261896061390819E-2"/>
    <n v="2109399.0697674421"/>
    <x v="4"/>
    <s v="documentary"/>
    <m/>
    <x v="9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8499173871893999E-2"/>
    <n v="3246999.1735537192"/>
    <x v="3"/>
    <s v="plays"/>
    <m/>
    <x v="9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0.11783970363314536"/>
    <n v="9533290.9090909082"/>
    <x v="4"/>
    <s v="documentary"/>
    <m/>
    <x v="9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2.3155909219187566E-2"/>
    <n v="2090808.4033613445"/>
    <x v="1"/>
    <s v="rock"/>
    <m/>
    <x v="9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"/>
    <n v="1287306.2106210622"/>
    <x v="6"/>
    <s v="mobile games"/>
    <m/>
    <x v="9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1550539626773189E-2"/>
    <n v="18246424.390243903"/>
    <x v="3"/>
    <s v="plays"/>
    <m/>
    <x v="9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2215171169489686E-2"/>
    <n v="10370095.52238806"/>
    <x v="5"/>
    <s v="fiction"/>
    <m/>
    <x v="9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1511567691640191"/>
    <n v="1419312.3966942148"/>
    <x v="4"/>
    <s v="animation"/>
    <m/>
    <x v="9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5.4350749162800312E-2"/>
    <n v="231477.31489903585"/>
    <x v="0"/>
    <s v="food trucks"/>
    <m/>
    <x v="9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73295445293035"/>
    <n v="3176801.913875598"/>
    <x v="3"/>
    <s v="plays"/>
    <m/>
    <x v="9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6.0035020428583344E-2"/>
    <n v="900640.44475330086"/>
    <x v="4"/>
    <s v="documentary"/>
    <m/>
    <x v="9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13477624107428576"/>
    <n v="102886560"/>
    <x v="3"/>
    <s v="plays"/>
    <m/>
    <x v="9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6.4657088437426761E-3"/>
    <n v="668517.65882941475"/>
    <x v="4"/>
    <s v="documentary"/>
    <m/>
    <x v="9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3.9138304985241595E-2"/>
    <n v="254670.76686527004"/>
    <x v="2"/>
    <s v="web"/>
    <m/>
    <x v="9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8.0727896533745944E-2"/>
    <n v="15952940.425531914"/>
    <x v="3"/>
    <s v="plays"/>
    <m/>
    <x v="9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17294845895716884"/>
    <n v="12722918.644067796"/>
    <x v="2"/>
    <s v="wearables"/>
    <m/>
    <x v="9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0.13590457233945563"/>
    <n v="6210772.682926829"/>
    <x v="3"/>
    <s v="plays"/>
    <m/>
    <x v="9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1.3124041329793489E-2"/>
    <n v="8128644.444444444"/>
    <x v="0"/>
    <s v="food trucks"/>
    <m/>
    <x v="9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3.4015132009420301E-2"/>
    <n v="18368024.096385542"/>
    <x v="1"/>
    <s v="indie rock"/>
    <m/>
    <x v="9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3.6048575455426189E-2"/>
    <n v="15636717.391304348"/>
    <x v="7"/>
    <s v="photography books"/>
    <m/>
    <x v="9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4.4407086102168022E-2"/>
    <n v="6221687.6712328764"/>
    <x v="3"/>
    <s v="plays"/>
    <m/>
    <x v="9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0.19600386903470646"/>
    <n v="559520.66508313536"/>
    <x v="3"/>
    <s v="plays"/>
    <m/>
    <x v="9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4.6616165820361273E-2"/>
    <n v="1737628.9156626507"/>
    <x v="4"/>
    <s v="animation"/>
    <m/>
    <x v="9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17353298678459669"/>
    <n v="652211.2254443405"/>
    <x v="7"/>
    <s v="photography books"/>
    <m/>
    <x v="9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18714008214899194"/>
    <n v="18722271.428571429"/>
    <x v="3"/>
    <s v="plays"/>
    <m/>
    <x v="9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9.602236756326768E-2"/>
    <n v="16288429.787234042"/>
    <x v="3"/>
    <s v="plays"/>
    <m/>
    <x v="9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12351619734800431"/>
    <n v="15392690.109890111"/>
    <x v="3"/>
    <s v="plays"/>
    <m/>
    <x v="9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9.9786394748740986E-2"/>
    <n v="1750936.3636363635"/>
    <x v="4"/>
    <s v="documentary"/>
    <m/>
    <x v="9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8.1698154497045733E-2"/>
    <n v="148178160"/>
    <x v="3"/>
    <s v="plays"/>
    <m/>
    <x v="9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7.3084946023722161E-2"/>
    <n v="828756.56742556917"/>
    <x v="3"/>
    <s v="plays"/>
    <m/>
    <x v="9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5.5536400639594214E-3"/>
    <n v="6248284.3373493971"/>
    <x v="1"/>
    <s v="jazz"/>
    <m/>
    <x v="9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7973533971227369E-2"/>
    <n v="7512393.75"/>
    <x v="4"/>
    <s v="animation"/>
    <m/>
    <x v="9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0.1899914913407216"/>
    <n v="5526174.8987854254"/>
    <x v="3"/>
    <s v="plays"/>
    <m/>
    <x v="9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4.1152363582349777E-2"/>
    <n v="645013.86829481029"/>
    <x v="4"/>
    <s v="science fiction"/>
    <m/>
    <x v="9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5.7646163047368339E-2"/>
    <n v="478972.46885978919"/>
    <x v="4"/>
    <s v="television"/>
    <m/>
    <x v="9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18115697845256354"/>
    <n v="41807362.5"/>
    <x v="2"/>
    <s v="wearables"/>
    <m/>
    <x v="9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9.189482828350512E-2"/>
    <n v="10529446.153846154"/>
    <x v="3"/>
    <s v="plays"/>
    <m/>
    <x v="9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12766922471743386"/>
    <n v="14305160"/>
    <x v="3"/>
    <s v="plays"/>
    <m/>
    <x v="9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3175917716393861E-2"/>
    <n v="4431271.6216216218"/>
    <x v="1"/>
    <s v="indie rock"/>
    <m/>
    <x v="9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0.1405034707702601"/>
    <n v="7606884.7058823528"/>
    <x v="3"/>
    <s v="plays"/>
    <m/>
    <x v="9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1.274514489636604E-2"/>
    <n v="7290232.2580645159"/>
    <x v="2"/>
    <s v="wearables"/>
    <m/>
    <x v="9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9.1328110507013713E-2"/>
    <n v="3451128.9293849659"/>
    <x v="4"/>
    <s v="television"/>
    <m/>
    <x v="9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1.265085485516089E-2"/>
    <n v="2257997.3553719008"/>
    <x v="6"/>
    <s v="video games"/>
    <m/>
    <x v="9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4416220103463469E-2"/>
    <n v="18061827.906976745"/>
    <x v="6"/>
    <s v="video games"/>
    <m/>
    <x v="9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12926450134991407"/>
    <n v="1542088800"/>
    <x v="4"/>
    <s v="animation"/>
    <m/>
    <x v="9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0.17850759017152565"/>
    <n v="239121.66719694561"/>
    <x v="1"/>
    <s v="rock"/>
    <m/>
    <x v="9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6.7584882388224453E-3"/>
    <n v="41241251.612903222"/>
    <x v="4"/>
    <s v="drama"/>
    <m/>
    <x v="9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2392588810270625"/>
    <n v="1256659.1024555461"/>
    <x v="4"/>
    <s v="science fiction"/>
    <m/>
    <x v="9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22527156291587344"/>
    <n v="35524246.153846152"/>
    <x v="4"/>
    <s v="drama"/>
    <m/>
    <x v="9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0.15091657211597612"/>
    <n v="353834.50496377784"/>
    <x v="3"/>
    <s v="plays"/>
    <m/>
    <x v="9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0"/>
    <n v="945945.42056074762"/>
    <x v="1"/>
    <s v="indie rock"/>
    <m/>
    <x v="9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1.1703977157737914E-2"/>
    <n v="32099869.565217391"/>
    <x v="3"/>
    <s v="plays"/>
    <m/>
    <x v="9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0.29939695329577642"/>
    <n v="600733.01886792458"/>
    <x v="3"/>
    <s v="plays"/>
    <m/>
    <x v="9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15213984694731397"/>
    <n v="13541965.714285715"/>
    <x v="4"/>
    <s v="documentary"/>
    <m/>
    <x v="9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2.0228980824611924E-2"/>
    <n v="25631784"/>
    <x v="3"/>
    <s v="plays"/>
    <m/>
    <x v="9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0.12354671738945787"/>
    <n v="673264.0384615385"/>
    <x v="4"/>
    <s v="drama"/>
    <m/>
    <x v="9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24149600419440426"/>
    <n v="2547306.1682242989"/>
    <x v="6"/>
    <s v="mobile games"/>
    <m/>
    <x v="9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2.4890714207930806E-2"/>
    <n v="659769.69121140137"/>
    <x v="4"/>
    <s v="animation"/>
    <m/>
    <x v="9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7.9666538631158162E-2"/>
    <n v="623784.23645320197"/>
    <x v="3"/>
    <s v="plays"/>
    <m/>
    <x v="9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5.1257955661868353E-2"/>
    <n v="18972630"/>
    <x v="5"/>
    <s v="translations"/>
    <m/>
    <x v="9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0.14520011047834494"/>
    <n v="32632885.714285713"/>
    <x v="2"/>
    <s v="wearables"/>
    <m/>
    <x v="9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4.1760503512356634E-2"/>
    <n v="10423476.258992806"/>
    <x v="2"/>
    <s v="web"/>
    <m/>
    <x v="9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8.8887860094211874E-2"/>
    <n v="97287525"/>
    <x v="3"/>
    <s v="plays"/>
    <m/>
    <x v="9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2067669456477196E-2"/>
    <n v="9006905.660377359"/>
    <x v="4"/>
    <s v="drama"/>
    <m/>
    <x v="9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4.0822872472262316E-2"/>
    <n v="3890097.6377952755"/>
    <x v="2"/>
    <s v="wearables"/>
    <m/>
    <x v="9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0"/>
    <n v="6886261.8556701029"/>
    <x v="0"/>
    <s v="food trucks"/>
    <m/>
    <x v="9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0056425372632417"/>
    <n v="2707732.1739130435"/>
    <x v="1"/>
    <s v="rock"/>
    <m/>
    <x v="9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5.6470986854024845E-3"/>
    <n v="14434675.471698113"/>
    <x v="1"/>
    <s v="electric music"/>
    <m/>
    <x v="9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6.090041260029537E-3"/>
    <n v="9991521.1267605629"/>
    <x v="4"/>
    <s v="television"/>
    <m/>
    <x v="9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2.5187000359439486E-2"/>
    <n v="6504654.0284360191"/>
    <x v="5"/>
    <s v="translations"/>
    <m/>
    <x v="9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3.3796708106750659E-2"/>
    <n v="1369996.0714285714"/>
    <x v="5"/>
    <s v="fiction"/>
    <m/>
    <x v="9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17820360862307461"/>
    <n v="11605284.955752213"/>
    <x v="4"/>
    <s v="science fiction"/>
    <m/>
    <x v="9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7.2713134062316165E-2"/>
    <n v="517748.18577648769"/>
    <x v="2"/>
    <s v="wearables"/>
    <m/>
    <x v="9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1.1509990911903009E-2"/>
    <n v="8679058.9595375732"/>
    <x v="0"/>
    <s v="food trucks"/>
    <m/>
    <x v="9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6.1027186902146452E-2"/>
    <n v="14586910.344827587"/>
    <x v="7"/>
    <s v="photography books"/>
    <m/>
    <x v="9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25722669345155391"/>
    <n v="920527.95838751621"/>
    <x v="3"/>
    <s v="plays"/>
    <m/>
    <x v="9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7.145525114896796E-2"/>
    <n v="147890400"/>
    <x v="5"/>
    <s v="fiction"/>
    <m/>
    <x v="9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3.8372459537611862E-2"/>
    <n v="2846092.4187725633"/>
    <x v="3"/>
    <s v="plays"/>
    <m/>
    <x v="9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0.30086806577139652"/>
    <n v="897812.97709923668"/>
    <x v="0"/>
    <s v="food trucks"/>
    <m/>
    <x v="9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22705613870730293"/>
    <n v="2413094.4444444445"/>
    <x v="3"/>
    <s v="plays"/>
    <m/>
    <x v="9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8.4994152212925736E-2"/>
    <n v="72469885.714285716"/>
    <x v="5"/>
    <s v="translations"/>
    <m/>
    <x v="9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0.19101413552838803"/>
    <n v="637474.68030690541"/>
    <x v="3"/>
    <s v="plays"/>
    <m/>
    <x v="9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0.10098459984852311"/>
    <n v="12660417.391304348"/>
    <x v="3"/>
    <s v="plays"/>
    <m/>
    <x v="9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3.3699061761955446E-2"/>
    <n v="15086668.235294119"/>
    <x v="2"/>
    <s v="wearables"/>
    <m/>
    <x v="9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3.8425119049252769E-2"/>
    <n v="10934550"/>
    <x v="8"/>
    <s v="audio"/>
    <m/>
    <x v="9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0.16365367315948626"/>
    <n v="562792.14081047894"/>
    <x v="0"/>
    <s v="food trucks"/>
    <m/>
    <x v="9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701162203418044"/>
    <n v="2149429.9159663864"/>
    <x v="4"/>
    <s v="shorts"/>
    <m/>
    <x v="9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1917737172941421E-2"/>
    <n v="24420431.25"/>
    <x v="7"/>
    <s v="photography books"/>
    <m/>
    <x v="9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6.4845761653999226E-3"/>
    <n v="4971935.8208955228"/>
    <x v="2"/>
    <s v="wearables"/>
    <m/>
    <x v="9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2.4643883054506623E-2"/>
    <n v="7193446.153846154"/>
    <x v="3"/>
    <s v="plays"/>
    <m/>
    <x v="9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8224968883389149E-2"/>
    <n v="27718733.333333332"/>
    <x v="4"/>
    <s v="animation"/>
    <m/>
    <x v="9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"/>
    <n v="12351780"/>
    <x v="2"/>
    <s v="wearables"/>
    <m/>
    <x v="9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1.2168225720587116E-2"/>
    <n v="2452961.6580310883"/>
    <x v="2"/>
    <s v="web"/>
    <m/>
    <x v="9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2.9629263836248938E-2"/>
    <n v="703885.13513513515"/>
    <x v="4"/>
    <s v="documentary"/>
    <m/>
    <x v="9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.17692172003717463"/>
    <e v="#DIV/0!"/>
    <x v="3"/>
    <s v="plays"/>
    <m/>
    <x v="9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1.2677317373999351E-2"/>
    <n v="759040.75723830739"/>
    <x v="4"/>
    <s v="documentary"/>
    <m/>
    <x v="9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0.18651666724729807"/>
    <n v="7235864.5161290327"/>
    <x v="6"/>
    <s v="video games"/>
    <m/>
    <x v="9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0.12035715987191993"/>
    <n v="3124901.7391304346"/>
    <x v="4"/>
    <s v="drama"/>
    <m/>
    <x v="9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6.033834728238598E-3"/>
    <n v="23096961.290322579"/>
    <x v="1"/>
    <s v="rock"/>
    <m/>
    <x v="9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26602630146829609"/>
    <n v="3937601.1527377521"/>
    <x v="5"/>
    <s v="radio &amp; podcasts"/>
    <m/>
    <x v="9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7180340988667055E-2"/>
    <n v="598451.58227848099"/>
    <x v="3"/>
    <s v="plays"/>
    <m/>
    <x v="9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1004400199314003"/>
    <n v="72090378.947368428"/>
    <x v="2"/>
    <s v="web"/>
    <m/>
    <x v="9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0.11836848767816924"/>
    <n v="419648.56439704675"/>
    <x v="3"/>
    <s v="plays"/>
    <m/>
    <x v="9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6.4661269246830924E-2"/>
    <n v="1062844.1971383148"/>
    <x v="3"/>
    <s v="plays"/>
    <m/>
    <x v="9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0.13572965292325384"/>
    <n v="11677987.786259541"/>
    <x v="4"/>
    <s v="drama"/>
    <m/>
    <x v="9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5.5241878868370106E-2"/>
    <n v="4322913.8121546963"/>
    <x v="3"/>
    <s v="plays"/>
    <m/>
    <x v="9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6.1514959669254562E-3"/>
    <n v="5877082.8451882843"/>
    <x v="6"/>
    <s v="video games"/>
    <m/>
    <x v="9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1.3457855883185812E-2"/>
    <n v="36690891.428571425"/>
    <x v="4"/>
    <s v="television"/>
    <m/>
    <x v="9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3.1161870335457531E-2"/>
    <n v="2626404.5454545454"/>
    <x v="1"/>
    <s v="rock"/>
    <m/>
    <x v="9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1.3045250713412148E-2"/>
    <n v="9960848.1203007512"/>
    <x v="3"/>
    <s v="plays"/>
    <m/>
    <x v="9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25628560107684917"/>
    <n v="1518148.9361702127"/>
    <x v="5"/>
    <s v="nonfiction"/>
    <m/>
    <x v="9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2.8916429110169187E-2"/>
    <n v="19158876.923076924"/>
    <x v="0"/>
    <s v="food trucks"/>
    <m/>
    <x v="9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1.137316785374106E-2"/>
    <n v="151953840"/>
    <x v="4"/>
    <s v="animation"/>
    <m/>
    <x v="9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8.5141319386374356E-2"/>
    <n v="801977.66497461929"/>
    <x v="1"/>
    <s v="rock"/>
    <m/>
    <x v="9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1.666184553080706E-2"/>
    <n v="48622162.5"/>
    <x v="3"/>
    <s v="plays"/>
    <m/>
    <x v="9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3.5219104407524168E-2"/>
    <n v="3990370.7317073173"/>
    <x v="4"/>
    <s v="drama"/>
    <m/>
    <x v="9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7.7298627680960658E-2"/>
    <n v="7027897.3821989531"/>
    <x v="4"/>
    <s v="shorts"/>
    <m/>
    <x v="9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3.4077936240181295E-2"/>
    <n v="14248476.404494382"/>
    <x v="4"/>
    <s v="shorts"/>
    <m/>
    <x v="9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8.8283980136104459E-2"/>
    <n v="643446.79130874178"/>
    <x v="3"/>
    <s v="plays"/>
    <m/>
    <x v="9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2.6780483722487241E-2"/>
    <n v="20489485.714285713"/>
    <x v="2"/>
    <s v="wearables"/>
    <m/>
    <x v="9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0.22030038254863726"/>
    <n v="9893240.8163265307"/>
    <x v="3"/>
    <s v="plays"/>
    <m/>
    <x v="9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21382433736728784"/>
    <n v="239763.55263157896"/>
    <x v="4"/>
    <s v="animation"/>
    <m/>
    <x v="9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28068424581702506"/>
    <n v="17363430"/>
    <x v="1"/>
    <s v="indie rock"/>
    <m/>
    <x v="9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7283728347114877"/>
    <n v="155790800"/>
    <x v="6"/>
    <s v="video games"/>
    <m/>
    <x v="9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9.4262076627213129E-2"/>
    <n v="719977.80269058293"/>
    <x v="5"/>
    <s v="fiction"/>
    <m/>
    <x v="9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3495575911736708"/>
    <n v="381590.10989010992"/>
    <x v="6"/>
    <s v="video games"/>
    <m/>
    <x v="9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6959772160911359E-3"/>
    <n v="12039257.142857144"/>
    <x v="3"/>
    <s v="plays"/>
    <m/>
    <x v="9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0.22626982152444053"/>
    <n v="621168.80072137062"/>
    <x v="1"/>
    <s v="indie rock"/>
    <m/>
    <x v="9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5.6305645814027144E-3"/>
    <n v="6315096.2962962966"/>
    <x v="4"/>
    <s v="drama"/>
    <m/>
    <x v="9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1.1305689352631518E-2"/>
    <n v="7567360.3960396042"/>
    <x v="3"/>
    <s v="plays"/>
    <m/>
    <x v="9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0.17514068793241366"/>
    <n v="9177660"/>
    <x v="5"/>
    <s v="fiction"/>
    <m/>
    <x v="9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0.12940826196733379"/>
    <n v="1461589.7338403042"/>
    <x v="4"/>
    <s v="documentary"/>
    <m/>
    <x v="9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10018654526005454"/>
    <n v="1065747.2222222222"/>
    <x v="6"/>
    <s v="mobile games"/>
    <m/>
    <x v="9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3.3189129638123246E-2"/>
    <n v="20291890.90909091"/>
    <x v="0"/>
    <s v="food trucks"/>
    <m/>
    <x v="9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0.12460206395767306"/>
    <n v="6183794.3319838056"/>
    <x v="7"/>
    <s v="photography books"/>
    <m/>
    <x v="9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15666228983025743"/>
    <n v="3635845.0632911394"/>
    <x v="6"/>
    <s v="mobile games"/>
    <m/>
    <x v="9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0.17833524052965566"/>
    <n v="29714987.755102042"/>
    <x v="1"/>
    <s v="indie rock"/>
    <m/>
    <x v="9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9.3989624589774445E-2"/>
    <n v="7667620"/>
    <x v="6"/>
    <s v="video games"/>
    <m/>
    <x v="9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7.7342971457468795E-2"/>
    <n v="17301857.142857142"/>
    <x v="1"/>
    <s v="rock"/>
    <m/>
    <x v="9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10955752454773285"/>
    <n v="586982.00743494427"/>
    <x v="3"/>
    <s v="plays"/>
    <m/>
    <x v="9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86226108869315E-2"/>
    <n v="17470677.272727273"/>
    <x v="3"/>
    <s v="plays"/>
    <m/>
    <x v="9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7.2902902446803655E-2"/>
    <n v="9123092.307692308"/>
    <x v="4"/>
    <s v="drama"/>
    <m/>
    <x v="9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7.6958558309674338E-2"/>
    <n v="489316.58291457285"/>
    <x v="3"/>
    <s v="plays"/>
    <m/>
    <x v="9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5.677084291560331E-2"/>
    <n v="1798549.6062992127"/>
    <x v="2"/>
    <s v="wearables"/>
    <m/>
    <x v="9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13609970182530534"/>
    <n v="1332306000"/>
    <x v="1"/>
    <s v="indie rock"/>
    <m/>
    <x v="9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24354232308933438"/>
    <n v="511878.80532565672"/>
    <x v="2"/>
    <s v="web"/>
    <m/>
    <x v="9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1.1674571324334184E-2"/>
    <n v="16090356.521739131"/>
    <x v="3"/>
    <s v="plays"/>
    <m/>
    <x v="9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6.6772389616893413E-3"/>
    <n v="1258788.326848249"/>
    <x v="1"/>
    <s v="rock"/>
    <m/>
    <x v="9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3.4976755031551947E-2"/>
    <n v="2676255.5956678702"/>
    <x v="1"/>
    <s v="indie rock"/>
    <m/>
    <x v="9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0.19180547212762281"/>
    <n v="10363653.333333334"/>
    <x v="1"/>
    <s v="rock"/>
    <m/>
    <x v="9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4.5982422671524019E-2"/>
    <n v="10785983.606557377"/>
    <x v="5"/>
    <s v="translations"/>
    <m/>
    <x v="9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7953097532695833E-2"/>
    <n v="6534032.5791855203"/>
    <x v="4"/>
    <s v="science fiction"/>
    <m/>
    <x v="9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0.25486618907066538"/>
    <n v="11587342.857142856"/>
    <x v="3"/>
    <s v="plays"/>
    <m/>
    <x v="9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4.1139666719723772E-2"/>
    <n v="1439059.4911937378"/>
    <x v="3"/>
    <s v="plays"/>
    <m/>
    <x v="9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0.26150200212470376"/>
    <n v="417076.48725212464"/>
    <x v="4"/>
    <s v="animation"/>
    <m/>
    <x v="9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1.3102546534512927E-2"/>
    <n v="6661618.1818181816"/>
    <x v="3"/>
    <s v="plays"/>
    <m/>
    <x v="9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1.1131389823590661E-2"/>
    <n v="59713061.538461536"/>
    <x v="1"/>
    <s v="rock"/>
    <m/>
    <x v="9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0.11205580379028757"/>
    <n v="18162550.588235293"/>
    <x v="4"/>
    <s v="documentary"/>
    <m/>
    <x v="9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4.8457805113812751E-2"/>
    <n v="797255.19553072623"/>
    <x v="3"/>
    <s v="plays"/>
    <m/>
    <x v="9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0.130776649829173"/>
    <n v="367926.80756395997"/>
    <x v="3"/>
    <s v="plays"/>
    <m/>
    <x v="9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13620879745677658"/>
    <n v="39412897.297297299"/>
    <x v="1"/>
    <s v="electric music"/>
    <m/>
    <x v="9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1.229920900712073E-2"/>
    <n v="5758775.409836066"/>
    <x v="1"/>
    <s v="rock"/>
    <m/>
    <x v="9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0.30394709069162035"/>
    <n v="247694.59459459459"/>
    <x v="3"/>
    <s v="plays"/>
    <m/>
    <x v="9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8.0078744098363394E-2"/>
    <n v="2199936.1629881156"/>
    <x v="4"/>
    <s v="animation"/>
    <m/>
    <x v="9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653134846340015E-2"/>
    <n v="520944.44036697247"/>
    <x v="1"/>
    <s v="rock"/>
    <m/>
    <x v="9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28304372373125902"/>
    <n v="41107165.714285716"/>
    <x v="4"/>
    <s v="shorts"/>
    <m/>
    <x v="9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9.5772779081628831E-2"/>
    <n v="15370200"/>
    <x v="1"/>
    <s v="rock"/>
    <m/>
    <x v="9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2351619734800432E-2"/>
    <n v="4663932"/>
    <x v="8"/>
    <s v="audio"/>
    <m/>
    <x v="9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5.4832828414371683E-2"/>
    <n v="10948350"/>
    <x v="0"/>
    <s v="food trucks"/>
    <m/>
    <x v="9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1.8506856533305915E-2"/>
    <n v="2510432.2580645164"/>
    <x v="3"/>
    <s v="plays"/>
    <m/>
    <x v="9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9.7541431259524594E-2"/>
    <n v="23609137.5"/>
    <x v="3"/>
    <s v="plays"/>
    <m/>
    <x v="9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7254654325295934"/>
    <n v="35190972.972972974"/>
    <x v="1"/>
    <s v="jazz"/>
    <m/>
    <x v="9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1.9595995884840862E-2"/>
    <n v="5399911.8367346935"/>
    <x v="4"/>
    <s v="science fiction"/>
    <m/>
    <x v="9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7.8982659466812197E-2"/>
    <n v="15100344.827586208"/>
    <x v="1"/>
    <s v="jazz"/>
    <m/>
    <x v="9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4.9605481405695324E-2"/>
    <n v="447395.89216944802"/>
    <x v="3"/>
    <s v="plays"/>
    <m/>
    <x v="9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9.9382448507468871E-2"/>
    <n v="18385200"/>
    <x v="2"/>
    <s v="web"/>
    <m/>
    <x v="9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3.0127363428895656E-2"/>
    <n v="34151057.142857142"/>
    <x v="6"/>
    <s v="video games"/>
    <m/>
    <x v="9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0.11045954419193971"/>
    <n v="1464451.4851485149"/>
    <x v="4"/>
    <s v="documentary"/>
    <m/>
    <x v="9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9.0584349935970879E-2"/>
    <n v="828604.83570985741"/>
    <x v="2"/>
    <s v="web"/>
    <m/>
    <x v="9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6.8091094535973382E-2"/>
    <n v="9336414.7058823537"/>
    <x v="5"/>
    <s v="translations"/>
    <m/>
    <x v="9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0.12725841831181661"/>
    <n v="9935501.538461538"/>
    <x v="1"/>
    <s v="rock"/>
    <m/>
    <x v="9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29002293204578966"/>
    <n v="9951069.2307692301"/>
    <x v="0"/>
    <s v="food trucks"/>
    <m/>
    <x v="9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21098183117483418"/>
    <n v="929950"/>
    <x v="3"/>
    <s v="plays"/>
    <m/>
    <x v="9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4.2114868303297248E-2"/>
    <n v="14085070.588235294"/>
    <x v="4"/>
    <s v="documentary"/>
    <m/>
    <x v="9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6.6970061338487999E-2"/>
    <n v="16512697.674418604"/>
    <x v="5"/>
    <s v="radio &amp; podcasts"/>
    <m/>
    <x v="9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6.7548360404276947E-2"/>
    <n v="12548505.882352941"/>
    <x v="6"/>
    <s v="video games"/>
    <m/>
    <x v="9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5.5486340341908885E-2"/>
    <n v="5542306.7193675889"/>
    <x v="3"/>
    <s v="plays"/>
    <m/>
    <x v="9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8.0469404861693211E-2"/>
    <n v="348710.23464802798"/>
    <x v="4"/>
    <s v="animation"/>
    <m/>
    <x v="9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1.766866829774651E-2"/>
    <n v="9345622.9299363066"/>
    <x v="3"/>
    <s v="plays"/>
    <m/>
    <x v="9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0.14301077404581453"/>
    <n v="779944.75138121552"/>
    <x v="3"/>
    <s v="plays"/>
    <m/>
    <x v="9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4.1505462415321444E-2"/>
    <n v="7965914.7540983604"/>
    <x v="4"/>
    <s v="drama"/>
    <m/>
    <x v="9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9.8807448983792831E-2"/>
    <n v="720075.68555758684"/>
    <x v="3"/>
    <s v="plays"/>
    <m/>
    <x v="9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0.19627472821872222"/>
    <n v="530960.39850560401"/>
    <x v="1"/>
    <s v="rock"/>
    <m/>
    <x v="9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4.8548844689211536E-2"/>
    <n v="17370878.048780486"/>
    <x v="4"/>
    <s v="documentary"/>
    <m/>
    <x v="9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7.539484121270508E-2"/>
    <n v="1376197200"/>
    <x v="0"/>
    <s v="food trucks"/>
    <m/>
    <x v="9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0.10480753175693899"/>
    <n v="7231416.4948453605"/>
    <x v="2"/>
    <s v="wearables"/>
    <m/>
    <x v="9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6.6300174037956849E-2"/>
    <n v="1258272.6315789474"/>
    <x v="3"/>
    <s v="plays"/>
    <m/>
    <x v="9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0.1499649387527453"/>
    <n v="15273494.117647059"/>
    <x v="3"/>
    <s v="plays"/>
    <m/>
    <x v="9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0.14003500875218805"/>
    <n v="454144.34721736086"/>
    <x v="3"/>
    <s v="plays"/>
    <m/>
    <x v="9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0.2455936509677886"/>
    <n v="13527050.46728972"/>
    <x v="5"/>
    <s v="nonfiction"/>
    <m/>
    <x v="9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6.4968108810466038E-2"/>
    <n v="9114232.5"/>
    <x v="1"/>
    <s v="rock"/>
    <m/>
    <x v="9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2382207799243138E-2"/>
    <n v="625885.02242152463"/>
    <x v="0"/>
    <s v="food trucks"/>
    <m/>
    <x v="9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2270164938409075E-2"/>
    <n v="4912017.7215189878"/>
    <x v="1"/>
    <s v="jazz"/>
    <m/>
    <x v="9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9.490711663805497E-2"/>
    <n v="13240061.538461538"/>
    <x v="4"/>
    <s v="science fiction"/>
    <m/>
    <x v="9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8.9227386434250572E-2"/>
    <n v="211808.80424601937"/>
    <x v="3"/>
    <s v="plays"/>
    <m/>
    <x v="9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7.5418533580887695E-2"/>
    <n v="91717680"/>
    <x v="3"/>
    <s v="plays"/>
    <m/>
    <x v="9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0.15458802152491438"/>
    <n v="6717712.5"/>
    <x v="1"/>
    <s v="electric music"/>
    <m/>
    <x v="9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5.1711631047088702E-2"/>
    <n v="57865430.769230768"/>
    <x v="3"/>
    <s v="plays"/>
    <m/>
    <x v="9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0.10478976553289962"/>
    <n v="2054868.0497925312"/>
    <x v="3"/>
    <s v="plays"/>
    <m/>
    <x v="9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5.9100927145794596E-2"/>
    <n v="8604529.4117647056"/>
    <x v="3"/>
    <s v="plays"/>
    <m/>
    <x v="9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6.262443344457868E-3"/>
    <n v="5797225.2100840332"/>
    <x v="1"/>
    <s v="indie rock"/>
    <m/>
    <x v="9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6.1632490594625132E-2"/>
    <n v="25504036.363636363"/>
    <x v="3"/>
    <s v="plays"/>
    <m/>
    <x v="9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13268290628216706"/>
    <n v="1142975.959933222"/>
    <x v="5"/>
    <s v="nonfiction"/>
    <m/>
    <x v="9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6.6224251872904621E-3"/>
    <n v="2013494.4444444445"/>
    <x v="3"/>
    <s v="plays"/>
    <m/>
    <x v="9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3542972054982649E-2"/>
    <n v="11471090.625"/>
    <x v="7"/>
    <s v="photography books"/>
    <m/>
    <x v="9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2.9313120308374029E-2"/>
    <n v="687581.52985074627"/>
    <x v="3"/>
    <s v="plays"/>
    <m/>
    <x v="9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0.14742397860462259"/>
    <n v="23843981.25"/>
    <x v="1"/>
    <s v="indie rock"/>
    <m/>
    <x v="9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3.0062153502366143E-2"/>
    <n v="533774.52655031567"/>
    <x v="3"/>
    <s v="plays"/>
    <m/>
    <x v="9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3.6451451223401828E-2"/>
    <n v="3293250"/>
    <x v="7"/>
    <s v="photography books"/>
    <m/>
    <x v="9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7.6551884406654544E-2"/>
    <n v="25505070.967741936"/>
    <x v="3"/>
    <s v="plays"/>
    <m/>
    <x v="9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6.0483024151207564E-2"/>
    <n v="6806495.2380952379"/>
    <x v="3"/>
    <s v="plays"/>
    <m/>
    <x v="9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0.16242326487681491"/>
    <n v="8303493.506493507"/>
    <x v="0"/>
    <s v="food trucks"/>
    <m/>
    <x v="9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2.0152882002076867E-2"/>
    <n v="13400287.5"/>
    <x v="1"/>
    <s v="indie rock"/>
    <m/>
    <x v="9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1.1772871869458473E-2"/>
    <n v="1957272"/>
    <x v="3"/>
    <s v="plays"/>
    <m/>
    <x v="9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6.1052743557663623E-2"/>
    <n v="17903875.862068966"/>
    <x v="3"/>
    <s v="plays"/>
    <m/>
    <x v="9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2.2245446055951933E-2"/>
    <n v="507320.27424094023"/>
    <x v="3"/>
    <s v="plays"/>
    <m/>
    <x v="9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11016998745639633"/>
    <n v="5095191.3669064753"/>
    <x v="3"/>
    <s v="plays"/>
    <m/>
    <x v="9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2.3885944614465925E-2"/>
    <n v="13783062.857142856"/>
    <x v="4"/>
    <s v="animation"/>
    <m/>
    <x v="9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8.1158440115457545E-2"/>
    <n v="899654.76477683953"/>
    <x v="4"/>
    <s v="television"/>
    <m/>
    <x v="9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0.20297126646660635"/>
    <n v="601566.99029126216"/>
    <x v="4"/>
    <s v="television"/>
    <m/>
    <x v="9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29302121147991989"/>
    <n v="511042.39631336404"/>
    <x v="4"/>
    <s v="animation"/>
    <m/>
    <x v="9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4.6731019174321306E-2"/>
    <n v="22766067.692307692"/>
    <x v="3"/>
    <s v="plays"/>
    <m/>
    <x v="9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8.0986915551456221E-2"/>
    <n v="13630251.063829787"/>
    <x v="3"/>
    <s v="plays"/>
    <m/>
    <x v="9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"/>
    <n v="34061200"/>
    <x v="4"/>
    <s v="drama"/>
    <m/>
    <x v="9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1.7837765522572206E-2"/>
    <n v="5655081.7120622564"/>
    <x v="3"/>
    <s v="plays"/>
    <m/>
    <x v="9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0.16238559196929436"/>
    <n v="7680340.2061855672"/>
    <x v="3"/>
    <s v="plays"/>
    <m/>
    <x v="9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5.0329237092647736E-2"/>
    <n v="11982976.744186046"/>
    <x v="2"/>
    <s v="wearables"/>
    <m/>
    <x v="9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0.10424981254384055"/>
    <n v="3973065.6"/>
    <x v="3"/>
    <s v="plays"/>
    <m/>
    <x v="9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8.9469196035396242E-2"/>
    <n v="528174.59016393439"/>
    <x v="3"/>
    <s v="plays"/>
    <m/>
    <x v="9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11797614728292038"/>
    <n v="327816.13796040026"/>
    <x v="1"/>
    <s v="rock"/>
    <m/>
    <x v="9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6.9720826191790375E-2"/>
    <n v="467959.24528301886"/>
    <x v="6"/>
    <s v="video games"/>
    <m/>
    <x v="9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13612998522895126"/>
    <n v="84740200"/>
    <x v="5"/>
    <s v="translations"/>
    <m/>
    <x v="9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10372721662900954"/>
    <n v="2075895.4356846474"/>
    <x v="0"/>
    <s v="food trucks"/>
    <m/>
    <x v="9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7.3814563277813966E-2"/>
    <n v="2140367.4418604653"/>
    <x v="3"/>
    <s v="plays"/>
    <m/>
    <x v="9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16605974563132175"/>
    <n v="1407128400"/>
    <x v="1"/>
    <s v="jazz"/>
    <m/>
    <x v="9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9.3033352456855789E-2"/>
    <n v="360482.10961737332"/>
    <x v="4"/>
    <s v="shorts"/>
    <m/>
    <x v="9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0.25267054649799109"/>
    <n v="3604128.1173594133"/>
    <x v="2"/>
    <s v="web"/>
    <m/>
    <x v="9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1.1834873921608754E-2"/>
    <n v="6240446.153846154"/>
    <x v="2"/>
    <s v="web"/>
    <m/>
    <x v="9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2.999182722708062E-2"/>
    <n v="477726.92307692306"/>
    <x v="1"/>
    <s v="metal"/>
    <m/>
    <x v="9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7.5219976103750363E-2"/>
    <n v="5642250"/>
    <x v="7"/>
    <s v="photography books"/>
    <m/>
    <x v="9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2.8525380457261849E-2"/>
    <n v="3005700"/>
    <x v="0"/>
    <s v="food trucks"/>
    <m/>
    <x v="9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9.1286425423269479E-2"/>
    <n v="108266914.28571428"/>
    <x v="4"/>
    <s v="science fiction"/>
    <m/>
    <x v="9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13791277017286566"/>
    <n v="3699738.4615384615"/>
    <x v="1"/>
    <s v="rock"/>
    <m/>
    <x v="9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6.66611115740355E-3"/>
    <n v="1728259.2"/>
    <x v="4"/>
    <s v="documentary"/>
    <m/>
    <x v="9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5.3995005461994768E-2"/>
    <n v="18713127.272727273"/>
    <x v="3"/>
    <s v="plays"/>
    <m/>
    <x v="9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19446162488892729"/>
    <n v="1775934.5744680851"/>
    <x v="1"/>
    <s v="jazz"/>
    <m/>
    <x v="9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2.2378561338237971E-2"/>
    <n v="11791456.488549618"/>
    <x v="3"/>
    <s v="plays"/>
    <m/>
    <x v="9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15447429765965842"/>
    <n v="14809365.517241379"/>
    <x v="3"/>
    <s v="plays"/>
    <m/>
    <x v="9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6.4976202465846886E-2"/>
    <n v="1251723.0479774224"/>
    <x v="1"/>
    <s v="jazz"/>
    <m/>
    <x v="9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9.2322656694354313E-2"/>
    <n v="4821313.2352941176"/>
    <x v="4"/>
    <s v="documentary"/>
    <m/>
    <x v="9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3.7624140066312546E-2"/>
    <n v="55134288"/>
    <x v="3"/>
    <s v="plays"/>
    <m/>
    <x v="9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5.5136219646362415E-2"/>
    <n v="3367787.1121718376"/>
    <x v="8"/>
    <s v="audio"/>
    <m/>
    <x v="9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7.7154499205683721E-2"/>
    <n v="17695184.210526317"/>
    <x v="3"/>
    <s v="plays"/>
    <m/>
    <x v="9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5.1893512590182996E-2"/>
    <n v="924880.19740900677"/>
    <x v="3"/>
    <s v="plays"/>
    <m/>
    <x v="9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7.1190211345939933E-2"/>
    <n v="1323720.9809264306"/>
    <x v="1"/>
    <s v="indie rock"/>
    <m/>
    <x v="9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2.6988352838977932E-2"/>
    <n v="1193753.9608574091"/>
    <x v="3"/>
    <s v="plays"/>
    <m/>
    <x v="9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5.6782020919442872E-2"/>
    <n v="343828.45528455282"/>
    <x v="3"/>
    <s v="plays"/>
    <m/>
    <x v="9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12421472388102005"/>
    <n v="25215703.44827586"/>
    <x v="1"/>
    <s v="indie rock"/>
    <m/>
    <x v="9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0910461053641158"/>
    <n v="1081930.0492610838"/>
    <x v="7"/>
    <s v="photography books"/>
    <m/>
    <x v="9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3.856705042412277E-2"/>
    <n v="4739525.0755287008"/>
    <x v="8"/>
    <s v="audio"/>
    <m/>
    <x v="9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5.7658273294876689E-2"/>
    <n v="1153344.6153846155"/>
    <x v="7"/>
    <s v="photography books"/>
    <m/>
    <x v="9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29425251279385406"/>
    <n v="13265286.486486487"/>
    <x v="5"/>
    <s v="fiction"/>
    <m/>
    <x v="9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1.1163673406734485E-2"/>
    <n v="7200234.4186046515"/>
    <x v="4"/>
    <s v="drama"/>
    <m/>
    <x v="9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2.7491849812024478E-2"/>
    <n v="4330046.2809917359"/>
    <x v="0"/>
    <s v="food trucks"/>
    <m/>
    <x v="9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1.0962358003206491E-2"/>
    <n v="533494.41624365479"/>
    <x v="6"/>
    <s v="mobile games"/>
    <m/>
    <x v="9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3.914085816331523E-2"/>
    <n v="799617.13940856967"/>
    <x v="3"/>
    <s v="plays"/>
    <m/>
    <x v="9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5.6073892930016661E-2"/>
    <n v="13471060.194174757"/>
    <x v="3"/>
    <s v="plays"/>
    <m/>
    <x v="9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1.1242139285421521E-2"/>
    <n v="10457461.224489795"/>
    <x v="3"/>
    <s v="plays"/>
    <m/>
    <x v="9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0.13523374307279237"/>
    <n v="11631960"/>
    <x v="5"/>
    <s v="nonfiction"/>
    <m/>
    <x v="9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1439694065011185"/>
    <n v="1557645.3563714903"/>
    <x v="3"/>
    <s v="plays"/>
    <m/>
    <x v="9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6.2438950552608362E-2"/>
    <n v="11366247.76119403"/>
    <x v="2"/>
    <s v="wearables"/>
    <m/>
    <x v="9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1.7162443738608729E-2"/>
    <n v="5537375.4646840151"/>
    <x v="3"/>
    <s v="plays"/>
    <m/>
    <x v="9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8.9354275741710301E-2"/>
    <n v="8848470.8571428563"/>
    <x v="4"/>
    <s v="television"/>
    <m/>
    <x v="9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7.5226525549687243E-2"/>
    <n v="20058886.956521738"/>
    <x v="2"/>
    <s v="web"/>
    <m/>
    <x v="9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3.9202234527368061E-2"/>
    <n v="6962589.4736842103"/>
    <x v="4"/>
    <s v="documentary"/>
    <m/>
    <x v="9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0.10886125259812855"/>
    <n v="5699194.936708861"/>
    <x v="4"/>
    <s v="documentary"/>
    <m/>
    <x v="9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9.9523347670531642E-2"/>
    <n v="20314332.467532467"/>
    <x v="1"/>
    <s v="rock"/>
    <m/>
    <x v="9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9.7386555404118405E-2"/>
    <n v="863664.30205949652"/>
    <x v="3"/>
    <s v="plays"/>
    <m/>
    <x v="9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21146180114017918"/>
    <n v="19176698.734177217"/>
    <x v="3"/>
    <s v="plays"/>
    <m/>
    <x v="9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9.5503857460492739E-2"/>
    <n v="7392159.1836734693"/>
    <x v="1"/>
    <s v="rock"/>
    <m/>
    <x v="9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6.0440459851165366E-3"/>
    <n v="1608090.438695163"/>
    <x v="3"/>
    <s v="plays"/>
    <m/>
    <x v="9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1349959447540723E-2"/>
    <n v="208724.49623029472"/>
    <x v="1"/>
    <s v="electric music"/>
    <m/>
    <x v="9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9.1489813589504809E-2"/>
    <n v="457422.74455582438"/>
    <x v="2"/>
    <s v="wearables"/>
    <m/>
    <x v="9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5.5333580797403007E-3"/>
    <n v="27884378.571428571"/>
    <x v="4"/>
    <s v="drama"/>
    <m/>
    <x v="9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10249927396347609"/>
    <n v="1265695200"/>
    <x v="2"/>
    <s v="wearables"/>
    <m/>
    <x v="9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4.6480100706884867E-2"/>
    <n v="1587569.2682926829"/>
    <x v="3"/>
    <s v="plays"/>
    <m/>
    <x v="9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3.1430315062716575E-2"/>
    <n v="16565074.698795181"/>
    <x v="2"/>
    <s v="wearables"/>
    <m/>
    <x v="9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0.11002375758098747"/>
    <n v="655767.0264965652"/>
    <x v="5"/>
    <s v="translations"/>
    <m/>
    <x v="9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8.830693528328129E-2"/>
    <n v="12662968.965517242"/>
    <x v="4"/>
    <s v="animation"/>
    <m/>
    <x v="9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2.4921730191118516E-2"/>
    <n v="684981.33333333337"/>
    <x v="5"/>
    <s v="nonfiction"/>
    <m/>
    <x v="9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4.4687120334036226E-2"/>
    <n v="1150517.1747211895"/>
    <x v="2"/>
    <s v="web"/>
    <m/>
    <x v="9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0.20141832067475138"/>
    <n v="9210471.4285714291"/>
    <x v="4"/>
    <s v="drama"/>
    <m/>
    <x v="9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5.7776055195391397E-2"/>
    <n v="10921848.175182482"/>
    <x v="3"/>
    <s v="plays"/>
    <m/>
    <x v="9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4.5309765063474124E-2"/>
    <n v="7179658.064516129"/>
    <x v="3"/>
    <s v="plays"/>
    <m/>
    <x v="9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3.9489550547799984E-2"/>
    <n v="12257193.6"/>
    <x v="3"/>
    <s v="plays"/>
    <m/>
    <x v="9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1.188760271631722E-2"/>
    <n v="103842000"/>
    <x v="3"/>
    <s v="plays"/>
    <m/>
    <x v="9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0.24131546356357214"/>
    <n v="7284635.6435643565"/>
    <x v="3"/>
    <s v="plays"/>
    <m/>
    <x v="9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7.0442343675476027E-2"/>
    <n v="14299794.174757281"/>
    <x v="5"/>
    <s v="radio &amp; podcasts"/>
    <m/>
    <x v="9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6.1345145681940758E-3"/>
    <n v="789081.68067226897"/>
    <x v="1"/>
    <s v="rock"/>
    <m/>
    <x v="9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3.3719515450562974E-2"/>
    <n v="1953642.0731707318"/>
    <x v="6"/>
    <s v="mobile games"/>
    <m/>
    <x v="9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0.17614263359448926"/>
    <n v="8763385.9872611463"/>
    <x v="3"/>
    <s v="plays"/>
    <m/>
    <x v="9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0.13808332671227436"/>
    <n v="2370817.2972972975"/>
    <x v="4"/>
    <s v="documentary"/>
    <m/>
    <x v="9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0.16379801394908086"/>
    <n v="4625224.2424242422"/>
    <x v="2"/>
    <s v="wearables"/>
    <m/>
    <x v="9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7.1017186697189705E-2"/>
    <n v="10887951.219512194"/>
    <x v="5"/>
    <s v="fiction"/>
    <m/>
    <x v="9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7.9621230432371723E-2"/>
    <n v="40010589.473684214"/>
    <x v="3"/>
    <s v="plays"/>
    <m/>
    <x v="9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3.4042150801999974E-2"/>
    <n v="25388940"/>
    <x v="1"/>
    <s v="rock"/>
    <m/>
    <x v="9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0.15449538659609469"/>
    <n v="498116.20553359686"/>
    <x v="4"/>
    <s v="documentary"/>
    <m/>
    <x v="9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0.12429143995216138"/>
    <n v="10129925"/>
    <x v="3"/>
    <s v="plays"/>
    <m/>
    <x v="9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2221048209489133E-2"/>
    <n v="11686998.347107438"/>
    <x v="3"/>
    <s v="plays"/>
    <m/>
    <x v="9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1.2203120948182497E-2"/>
    <n v="887345.86466165411"/>
    <x v="6"/>
    <s v="mobile games"/>
    <m/>
    <x v="9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4.0248984691410479E-2"/>
    <n v="2458971.755725191"/>
    <x v="3"/>
    <s v="plays"/>
    <m/>
    <x v="9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0.32349589525337796"/>
    <n v="8579953.591160221"/>
    <x v="2"/>
    <s v="web"/>
    <m/>
    <x v="9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6.4911275629504148E-2"/>
    <n v="146510280"/>
    <x v="3"/>
    <s v="plays"/>
    <m/>
    <x v="9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2706278489858801E-2"/>
    <n v="11148609.836065574"/>
    <x v="4"/>
    <s v="drama"/>
    <m/>
    <x v="9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3.6192089515101403E-2"/>
    <n v="1337885.7142857143"/>
    <x v="2"/>
    <s v="wearables"/>
    <m/>
    <x v="9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5.7569833407294579E-3"/>
    <n v="6853298.6301369863"/>
    <x v="2"/>
    <s v="web"/>
    <m/>
    <x v="9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13335491492584547"/>
    <n v="1331084.7457627119"/>
    <x v="1"/>
    <s v="rock"/>
    <m/>
    <x v="9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7.9876089655790378E-2"/>
    <n v="1436021.6326530613"/>
    <x v="1"/>
    <s v="metal"/>
    <m/>
    <x v="9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6.9790773078209287E-2"/>
    <n v="2773544.7761194031"/>
    <x v="3"/>
    <s v="plays"/>
    <m/>
    <x v="9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4.1444130598349636E-2"/>
    <n v="733259.06579608237"/>
    <x v="7"/>
    <s v="photography books"/>
    <m/>
    <x v="9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2.4262643111683978E-2"/>
    <n v="49129572.413793102"/>
    <x v="5"/>
    <s v="nonfiction"/>
    <m/>
    <x v="9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7.010881472285109E-2"/>
    <n v="8221560"/>
    <x v="1"/>
    <s v="indie rock"/>
    <m/>
    <x v="9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0.13422614054087034"/>
    <n v="94534560"/>
    <x v="3"/>
    <s v="plays"/>
    <m/>
    <x v="9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6.4432124783548334E-3"/>
    <n v="7021112.0418848172"/>
    <x v="1"/>
    <s v="indie rock"/>
    <m/>
    <x v="9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1.7441606953387305E-2"/>
    <n v="92897550"/>
    <x v="3"/>
    <s v="plays"/>
    <m/>
    <x v="9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6.7786461349007071E-3"/>
    <n v="9805209.2307692301"/>
    <x v="3"/>
    <s v="plays"/>
    <m/>
    <x v="9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0.2871156836942218"/>
    <n v="10389422.950819673"/>
    <x v="1"/>
    <s v="electric music"/>
    <m/>
    <x v="9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3.5865415030099553E-2"/>
    <n v="85054235.294117644"/>
    <x v="3"/>
    <s v="plays"/>
    <m/>
    <x v="9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1.1265569368916886E-2"/>
    <n v="10957500"/>
    <x v="3"/>
    <s v="plays"/>
    <m/>
    <x v="9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18293664124938949"/>
    <n v="37574364.705882356"/>
    <x v="2"/>
    <s v="wearables"/>
    <m/>
    <x v="9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3.2773543011178512E-2"/>
    <n v="389187.83943329396"/>
    <x v="2"/>
    <s v="web"/>
    <m/>
    <x v="9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7.4053088210131249E-2"/>
    <n v="4586978.5714285718"/>
    <x v="3"/>
    <s v="plays"/>
    <m/>
    <x v="9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17014048661883419"/>
    <n v="2067719.2182410425"/>
    <x v="4"/>
    <s v="animation"/>
    <m/>
    <x v="9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7.3389071653725893E-2"/>
    <n v="3862790.1639344264"/>
    <x v="2"/>
    <s v="wearables"/>
    <m/>
    <x v="9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16901932172546191"/>
    <n v="1280120400"/>
    <x v="1"/>
    <s v="electric music"/>
    <m/>
    <x v="9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8.8877258037837026E-2"/>
    <n v="5405506.666666667"/>
    <x v="5"/>
    <s v="nonfiction"/>
    <m/>
    <x v="9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12140663071306722"/>
    <n v="11250347.368421054"/>
    <x v="3"/>
    <s v="plays"/>
    <m/>
    <x v="9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0.10167969202351061"/>
    <n v="9313042.3357664235"/>
    <x v="7"/>
    <s v="photography books"/>
    <m/>
    <x v="9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0.33911489148589863"/>
    <n v="423083.68174726987"/>
    <x v="3"/>
    <s v="plays"/>
    <m/>
    <x v="9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6.846481906745211E-2"/>
    <n v="5261775"/>
    <x v="3"/>
    <s v="plays"/>
    <m/>
    <x v="9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3.646252715698637E-2"/>
    <n v="9609810.81081081"/>
    <x v="3"/>
    <s v="plays"/>
    <m/>
    <x v="9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2.6479179366099479E-2"/>
    <n v="11451947.368421054"/>
    <x v="4"/>
    <s v="drama"/>
    <m/>
    <x v="9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4987996833098698E-2"/>
    <n v="932084.58498023718"/>
    <x v="1"/>
    <s v="rock"/>
    <m/>
    <x v="9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17077231780728344"/>
    <n v="1193408.4772370486"/>
    <x v="1"/>
    <s v="electric music"/>
    <m/>
    <x v="9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16013952386101912"/>
    <n v="7462577.1428571427"/>
    <x v="6"/>
    <s v="video games"/>
    <m/>
    <x v="9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2.8786573941913491E-2"/>
    <n v="9042961.4457831327"/>
    <x v="1"/>
    <s v="rock"/>
    <m/>
    <x v="9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7.0187752237234613E-2"/>
    <n v="13550328"/>
    <x v="1"/>
    <s v="jazz"/>
    <m/>
    <x v="9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0.22627054954112868"/>
    <n v="5699902.978723404"/>
    <x v="3"/>
    <s v="plays"/>
    <m/>
    <x v="9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5.295485322955653E-2"/>
    <n v="8824013.5135135129"/>
    <x v="1"/>
    <s v="rock"/>
    <m/>
    <x v="9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0.14474957117939538"/>
    <n v="7547436.3636363633"/>
    <x v="1"/>
    <s v="indie rock"/>
    <m/>
    <x v="9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5.6201219098110933E-3"/>
    <n v="6199272.5806451617"/>
    <x v="4"/>
    <s v="science fiction"/>
    <m/>
    <x v="9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2694813045786893"/>
    <n v="2822610.5263157897"/>
    <x v="5"/>
    <s v="translations"/>
    <m/>
    <x v="9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9.3456488216694444E-2"/>
    <n v="9253584"/>
    <x v="3"/>
    <s v="plays"/>
    <m/>
    <x v="9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16319143872606068"/>
    <n v="404337.00879765395"/>
    <x v="6"/>
    <s v="video games"/>
    <m/>
    <x v="9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4.3278779744500631E-2"/>
    <n v="6472483.333333333"/>
    <x v="3"/>
    <s v="plays"/>
    <m/>
    <x v="9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15065072744772559"/>
    <n v="59646738.461538464"/>
    <x v="3"/>
    <s v="plays"/>
    <m/>
    <x v="9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2.2301205658930935E-2"/>
    <n v="301622.41681260947"/>
    <x v="1"/>
    <s v="indie rock"/>
    <m/>
    <x v="9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5.7906534028533442E-2"/>
    <n v="634476.6680832979"/>
    <x v="3"/>
    <s v="plays"/>
    <m/>
    <x v="9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0.24197058483601819"/>
    <n v="18814384.615384616"/>
    <x v="2"/>
    <s v="web"/>
    <m/>
    <x v="9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6.1049129286793541E-2"/>
    <n v="141611760"/>
    <x v="1"/>
    <s v="rock"/>
    <m/>
    <x v="9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9.9550868880905363E-2"/>
    <n v="710482.3262153567"/>
    <x v="3"/>
    <s v="plays"/>
    <m/>
    <x v="9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19028611266796988"/>
    <n v="1951567.4556213017"/>
    <x v="3"/>
    <s v="plays"/>
    <m/>
    <x v="9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3.2896450198886457E-2"/>
    <n v="7549675.8620689651"/>
    <x v="4"/>
    <s v="animation"/>
    <m/>
    <x v="9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5.4017690793734953E-2"/>
    <n v="1733220.2166064982"/>
    <x v="3"/>
    <s v="plays"/>
    <m/>
    <x v="9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0.11173704548628892"/>
    <n v="8968324.3902439028"/>
    <x v="4"/>
    <s v="drama"/>
    <m/>
    <x v="9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34225812129627819"/>
    <n v="23087700"/>
    <x v="3"/>
    <s v="plays"/>
    <m/>
    <x v="9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0.18596427047131273"/>
    <n v="8083073.2919254657"/>
    <x v="4"/>
    <s v="animation"/>
    <m/>
    <x v="9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4.3596730245231606E-2"/>
    <n v="10056991.304347826"/>
    <x v="1"/>
    <s v="rock"/>
    <m/>
    <x v="9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6.4971960769781859E-2"/>
    <n v="440807.37605804112"/>
    <x v="2"/>
    <s v="web"/>
    <m/>
    <x v="9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0.18875038455577736"/>
    <n v="12277785.826771654"/>
    <x v="4"/>
    <s v="animation"/>
    <m/>
    <x v="9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3.973387762438714E-2"/>
    <n v="7356191.3043478262"/>
    <x v="1"/>
    <s v="jazz"/>
    <m/>
    <x v="9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5.9542679144900967E-2"/>
    <n v="1521224.2142025612"/>
    <x v="1"/>
    <s v="rock"/>
    <m/>
    <x v="9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13459595892291251"/>
    <n v="43629909.677419357"/>
    <x v="4"/>
    <s v="animation"/>
    <m/>
    <x v="9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22815270815723013"/>
    <n v="31208080"/>
    <x v="3"/>
    <s v="plays"/>
    <m/>
    <x v="9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4.0943753518603819E-2"/>
    <n v="1138046.3611859838"/>
    <x v="3"/>
    <s v="plays"/>
    <m/>
    <x v="9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9.3314864766348329E-2"/>
    <n v="247136400"/>
    <x v="0"/>
    <s v="food trucks"/>
    <m/>
    <x v="9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17629790147780666"/>
    <n v="196377428.57142857"/>
    <x v="3"/>
    <s v="plays"/>
    <m/>
    <x v="9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2.5187000359439486E-2"/>
    <n v="7582773.4806629838"/>
    <x v="5"/>
    <s v="nonfiction"/>
    <m/>
    <x v="9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6.8484355605016478E-2"/>
    <n v="13772356.363636363"/>
    <x v="1"/>
    <s v="rock"/>
    <m/>
    <x v="9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1.7537492479582216E-2"/>
    <n v="47685019.354838707"/>
    <x v="4"/>
    <s v="drama"/>
    <m/>
    <x v="9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4.2970598391160332E-2"/>
    <n v="18052292.307692308"/>
    <x v="6"/>
    <s v="mobile games"/>
    <m/>
    <x v="9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0.12852572610050153"/>
    <n v="8368307.0270270268"/>
    <x v="2"/>
    <s v="web"/>
    <m/>
    <x v="9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0.18074768215304918"/>
    <n v="11081484.297520662"/>
    <x v="3"/>
    <s v="plays"/>
    <m/>
    <x v="9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2.3766729549471934E-2"/>
    <n v="1187329.9591836734"/>
    <x v="3"/>
    <s v="plays"/>
    <m/>
    <x v="9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2.4098986587407778E-2"/>
    <n v="1434430800"/>
    <x v="1"/>
    <s v="rock"/>
    <m/>
    <x v="9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0.12047368060784447"/>
    <n v="14902573.58490566"/>
    <x v="7"/>
    <s v="photography books"/>
    <m/>
    <x v="9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106120765343393E-2"/>
    <n v="11002740.845070422"/>
    <x v="7"/>
    <s v="photography books"/>
    <m/>
    <x v="9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0.18969773897033182"/>
    <n v="6658825.7510729618"/>
    <x v="3"/>
    <s v="plays"/>
    <m/>
    <x v="9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0.11406898321760085"/>
    <n v="6956884.4036697252"/>
    <x v="1"/>
    <s v="rock"/>
    <m/>
    <x v="9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31117958417865366"/>
    <n v="21200561.194029849"/>
    <x v="4"/>
    <s v="documentary"/>
    <m/>
    <x v="9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0.15553067064825182"/>
    <n v="17539436.842105262"/>
    <x v="4"/>
    <s v="drama"/>
    <m/>
    <x v="9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0.24219732780961503"/>
    <n v="36626065.116279073"/>
    <x v="3"/>
    <s v="plays"/>
    <m/>
    <x v="9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10036480639186061"/>
    <n v="77101578.947368428"/>
    <x v="0"/>
    <s v="food trucks"/>
    <m/>
    <x v="9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6.4241720179127335E-3"/>
    <n v="638048.7666034156"/>
    <x v="4"/>
    <s v="documentary"/>
    <m/>
    <x v="9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5.714857200005715E-2"/>
    <n v="6844854.2986425338"/>
    <x v="3"/>
    <s v="plays"/>
    <m/>
    <x v="9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1.1898210806549965E-2"/>
    <n v="2139163.4756995584"/>
    <x v="6"/>
    <s v="video games"/>
    <m/>
    <x v="9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8349157675652558E-2"/>
    <n v="543417.75401069515"/>
    <x v="5"/>
    <s v="nonfiction"/>
    <m/>
    <x v="9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6.4188113965996343E-2"/>
    <n v="19807464.705882352"/>
    <x v="6"/>
    <s v="video games"/>
    <m/>
    <x v="9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1.1800657394955711E-2"/>
    <n v="40680500"/>
    <x v="1"/>
    <s v="rock"/>
    <m/>
    <x v="9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0.14857779619126535"/>
    <n v="8274216.3934426233"/>
    <x v="1"/>
    <s v="rock"/>
    <m/>
    <x v="9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1.2413686088913028E-2"/>
    <n v="10467554.887218045"/>
    <x v="3"/>
    <s v="plays"/>
    <m/>
    <x v="9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0.15538111148363526"/>
    <n v="626502.6918441141"/>
    <x v="5"/>
    <s v="nonfiction"/>
    <m/>
    <x v="9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7.2555777253763831E-2"/>
    <n v="22451791.304347824"/>
    <x v="3"/>
    <s v="plays"/>
    <m/>
    <x v="9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9.5735005504762813E-2"/>
    <n v="28830485.106382977"/>
    <x v="6"/>
    <s v="video games"/>
    <m/>
    <x v="9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7.3275730467438099E-2"/>
    <n v="5498077.4193548383"/>
    <x v="1"/>
    <s v="rock"/>
    <m/>
    <x v="9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7.5228709791343135E-2"/>
    <n v="7092291.4285714282"/>
    <x v="4"/>
    <s v="documentary"/>
    <m/>
    <x v="9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0.10514024727332846"/>
    <n v="664301.14285714284"/>
    <x v="1"/>
    <s v="rock"/>
    <m/>
    <x v="9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0.15315616568434004"/>
    <n v="5605100"/>
    <x v="1"/>
    <s v="rock"/>
    <m/>
    <x v="9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0.21652039323261002"/>
    <n v="999756.5625"/>
    <x v="5"/>
    <s v="nonfiction"/>
    <m/>
    <x v="9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6.9075846718777353E-2"/>
    <n v="9566850.9554140121"/>
    <x v="4"/>
    <s v="shorts"/>
    <m/>
    <x v="9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0.18721270371918095"/>
    <n v="6673397.9381443299"/>
    <x v="3"/>
    <s v="plays"/>
    <m/>
    <x v="9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7.9484893730353015E-2"/>
    <n v="15919946.341463415"/>
    <x v="4"/>
    <s v="drama"/>
    <m/>
    <x v="9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14067698454194402"/>
    <n v="21965605.714285713"/>
    <x v="3"/>
    <s v="plays"/>
    <m/>
    <x v="9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9.0387536563013918E-2"/>
    <n v="9318974.0259740259"/>
    <x v="3"/>
    <s v="plays"/>
    <m/>
    <x v="9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0.33648430928040834"/>
    <n v="69093490.909090906"/>
    <x v="3"/>
    <s v="plays"/>
    <m/>
    <x v="9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0.22041841682311153"/>
    <n v="315538.76683203405"/>
    <x v="7"/>
    <s v="photography books"/>
    <m/>
    <x v="9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0.2034742544050806"/>
    <n v="1116754.9730146492"/>
    <x v="5"/>
    <s v="translations"/>
    <m/>
    <x v="9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7.3239342843351041E-2"/>
    <n v="7870385.4545454541"/>
    <x v="5"/>
    <s v="translations"/>
    <m/>
    <x v="9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3.7785259025822554E-2"/>
    <n v="11533462.18487395"/>
    <x v="3"/>
    <s v="plays"/>
    <m/>
    <x v="9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3.6376312957545814E-2"/>
    <n v="810933.78839590447"/>
    <x v="2"/>
    <s v="web"/>
    <m/>
    <x v="9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7.5109677199091854E-2"/>
    <n v="13471276.595744681"/>
    <x v="1"/>
    <s v="indie rock"/>
    <m/>
    <x v="9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0.35856077688168325"/>
    <n v="726693.15525876463"/>
    <x v="1"/>
    <s v="jazz"/>
    <m/>
    <x v="9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5.0558365654016932E-2"/>
    <n v="5895793.1034482755"/>
    <x v="3"/>
    <s v="plays"/>
    <m/>
    <x v="9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0.27870320431267404"/>
    <n v="8910321.0191082805"/>
    <x v="4"/>
    <s v="documentary"/>
    <m/>
    <x v="9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2294672564694312E-2"/>
    <n v="397865.72318143223"/>
    <x v="3"/>
    <s v="plays"/>
    <m/>
    <x v="9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9.4954080799988128E-2"/>
    <n v="9401574.1935483869"/>
    <x v="2"/>
    <s v="web"/>
    <m/>
    <x v="9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1.6951826206110663E-2"/>
    <n v="11585590.909090908"/>
    <x v="2"/>
    <s v="wearables"/>
    <m/>
    <x v="9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3.3766276400421145E-2"/>
    <n v="46538727.272727273"/>
    <x v="7"/>
    <s v="photography books"/>
    <m/>
    <x v="9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1.9529660672145822E-2"/>
    <n v="14122034.042553192"/>
    <x v="4"/>
    <s v="documentary"/>
    <m/>
    <x v="9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0.20943939583338245"/>
    <n v="1129658.1979320531"/>
    <x v="2"/>
    <s v="web"/>
    <m/>
    <x v="9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0.20300894978113096"/>
    <n v="31984575"/>
    <x v="2"/>
    <s v="web"/>
    <m/>
    <x v="9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1.7105469473864269E-2"/>
    <n v="13777854.545454545"/>
    <x v="0"/>
    <s v="food trucks"/>
    <m/>
    <x v="9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6.0925217116601281E-2"/>
    <n v="7424979.0697674416"/>
    <x v="4"/>
    <s v="drama"/>
    <m/>
    <x v="9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9506802997545394E-2"/>
    <n v="4329076.2214983711"/>
    <x v="1"/>
    <s v="indie rock"/>
    <m/>
    <x v="9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9.8056840281749991E-2"/>
    <n v="1322978400"/>
    <x v="1"/>
    <s v="rock"/>
    <m/>
    <x v="9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0.21342358923504354"/>
    <n v="8367412.5"/>
    <x v="1"/>
    <s v="electric music"/>
    <m/>
    <x v="9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6.5914327852373875E-2"/>
    <n v="42311496.774193548"/>
    <x v="6"/>
    <s v="video games"/>
    <m/>
    <x v="9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3.3013741970095052E-2"/>
    <n v="892282.20858895709"/>
    <x v="1"/>
    <s v="indie rock"/>
    <m/>
    <x v="9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0.14820303816228234"/>
    <n v="592182.41923365893"/>
    <x v="5"/>
    <s v="fiction"/>
    <m/>
    <x v="9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0.20471223348200651"/>
    <n v="2900556.6371681415"/>
    <x v="3"/>
    <s v="plays"/>
    <m/>
    <x v="9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0.11000239956214732"/>
    <n v="8460205.0632911399"/>
    <x v="0"/>
    <s v="food trucks"/>
    <m/>
    <x v="9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0.14959106355994212"/>
    <n v="5912928"/>
    <x v="4"/>
    <s v="shorts"/>
    <m/>
    <x v="9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3.9677572488326998E-2"/>
    <n v="43568331.428571425"/>
    <x v="0"/>
    <s v="food trucks"/>
    <m/>
    <x v="9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11391086936986938"/>
    <n v="21645542.857142858"/>
    <x v="3"/>
    <s v="plays"/>
    <m/>
    <x v="9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5.57219474820645E-2"/>
    <n v="23868000"/>
    <x v="2"/>
    <s v="wearables"/>
    <m/>
    <x v="9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5.4461750548163185E-2"/>
    <n v="7790422.0858895704"/>
    <x v="3"/>
    <s v="plays"/>
    <m/>
    <x v="9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2.6337954364006991E-2"/>
    <n v="15441416.470588235"/>
    <x v="3"/>
    <s v="plays"/>
    <m/>
    <x v="9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0.1385274432401368"/>
    <n v="6619835.9447004609"/>
    <x v="4"/>
    <s v="television"/>
    <m/>
    <x v="9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2.9356146320818646E-2"/>
    <n v="9813432"/>
    <x v="4"/>
    <s v="shorts"/>
    <m/>
    <x v="9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5.5119335914075085E-2"/>
    <n v="431398.16625916871"/>
    <x v="3"/>
    <s v="plays"/>
    <m/>
    <x v="9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6.6215481731424488E-3"/>
    <n v="1453137.1937639199"/>
    <x v="7"/>
    <s v="photography books"/>
    <m/>
    <x v="9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3.3682871090506342E-2"/>
    <n v="5131932"/>
    <x v="0"/>
    <s v="food trucks"/>
    <m/>
    <x v="9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6.8792099331622225E-2"/>
    <n v="10972257.142857144"/>
    <x v="3"/>
    <s v="plays"/>
    <m/>
    <x v="9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9.4714854728272665E-2"/>
    <n v="2430239.5437262356"/>
    <x v="4"/>
    <s v="drama"/>
    <m/>
    <x v="9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1499591361354031"/>
    <n v="11921920.661157025"/>
    <x v="3"/>
    <s v="plays"/>
    <m/>
    <x v="9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0.10326513382732067"/>
    <n v="651323.79310344823"/>
    <x v="3"/>
    <s v="plays"/>
    <m/>
    <x v="9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2.8125900907763454E-2"/>
    <n v="18967688.888888888"/>
    <x v="4"/>
    <s v="science fiction"/>
    <m/>
    <x v="9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3.1097911775224293E-2"/>
    <n v="736403.17965023848"/>
    <x v="7"/>
    <s v="photography books"/>
    <m/>
    <x v="9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0.25811345105042555"/>
    <n v="292630.10555300594"/>
    <x v="7"/>
    <s v="photography books"/>
    <m/>
    <x v="9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6.6723381540976495E-3"/>
    <n v="19328131.343283582"/>
    <x v="1"/>
    <s v="rock"/>
    <m/>
    <x v="9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13292563318525358"/>
    <n v="27404273.684210528"/>
    <x v="7"/>
    <s v="photography books"/>
    <m/>
    <x v="9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5.879514058163093E-3"/>
    <n v="1195765.3376729048"/>
    <x v="0"/>
    <s v="food trucks"/>
    <m/>
    <x v="9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13131796730729772"/>
    <n v="131761800"/>
    <x v="1"/>
    <s v="metal"/>
    <m/>
    <x v="9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226708480334509E-2"/>
    <n v="28085298.113207549"/>
    <x v="5"/>
    <s v="nonfiction"/>
    <m/>
    <x v="9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1.1050817645393075E-2"/>
    <n v="647828.50041425019"/>
    <x v="1"/>
    <s v="electric music"/>
    <m/>
    <x v="9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17443390433703837"/>
    <n v="3183459.2920353981"/>
    <x v="3"/>
    <s v="plays"/>
    <m/>
    <x v="9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2.4306874287884542E-2"/>
    <n v="17777070"/>
    <x v="3"/>
    <s v="plays"/>
    <m/>
    <x v="9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0.24399818130985229"/>
    <n v="6621108.8082901556"/>
    <x v="4"/>
    <s v="shorts"/>
    <m/>
    <x v="9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1.2350094298115838E-2"/>
    <n v="741968.39872746554"/>
    <x v="3"/>
    <s v="plays"/>
    <m/>
    <x v="9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0.25734433066489082"/>
    <n v="24597761.53846154"/>
    <x v="3"/>
    <s v="plays"/>
    <m/>
    <x v="9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12123491228710223"/>
    <n v="703755.61643835611"/>
    <x v="1"/>
    <s v="indie rock"/>
    <m/>
    <x v="9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825672537619271"/>
    <n v="46489354.838709675"/>
    <x v="3"/>
    <s v="plays"/>
    <m/>
    <x v="9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0.1100351581634746"/>
    <n v="5150097.931034483"/>
    <x v="3"/>
    <s v="plays"/>
    <m/>
    <x v="9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4.3367261331633065E-2"/>
    <n v="11436108.196721312"/>
    <x v="1"/>
    <s v="electric music"/>
    <m/>
    <x v="9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5.5336642771996892E-3"/>
    <n v="1062203.2653061224"/>
    <x v="1"/>
    <s v="indie rock"/>
    <m/>
    <x v="9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0.28737039758347621"/>
    <n v="8040567.2727272725"/>
    <x v="4"/>
    <s v="documentary"/>
    <m/>
    <x v="9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0.27796217567548481"/>
    <n v="7021760.4395604394"/>
    <x v="5"/>
    <s v="translations"/>
    <m/>
    <x v="9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2.4094631665867696E-2"/>
    <n v="7209497.4874371858"/>
    <x v="4"/>
    <s v="documentary"/>
    <m/>
    <x v="9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0.18871237874574415"/>
    <n v="24573407.142857142"/>
    <x v="4"/>
    <s v="television"/>
    <m/>
    <x v="9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5.1237528643201781E-2"/>
    <n v="14190796.261682242"/>
    <x v="3"/>
    <s v="plays"/>
    <m/>
    <x v="9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1.9776905518580679E-2"/>
    <n v="897862.19178082189"/>
    <x v="0"/>
    <s v="food trucks"/>
    <m/>
    <x v="9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1.1102347452589508E-2"/>
    <n v="57651866.666666664"/>
    <x v="3"/>
    <s v="plays"/>
    <m/>
    <x v="9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3.2883469206001235E-2"/>
    <n v="1291559.7051597051"/>
    <x v="4"/>
    <s v="documentary"/>
    <m/>
    <x v="9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0.11260410014466499"/>
    <n v="11241278.048780488"/>
    <x v="1"/>
    <s v="jazz"/>
    <m/>
    <x v="9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6.122870707931413E-3"/>
    <n v="1411189200"/>
    <x v="2"/>
    <s v="web"/>
    <m/>
    <x v="9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0.18613352260041691"/>
    <n v="9651916.9811320752"/>
    <x v="1"/>
    <s v="rock"/>
    <m/>
    <x v="9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0.2495506602694553"/>
    <n v="13252385.454545455"/>
    <x v="2"/>
    <s v="web"/>
    <m/>
    <x v="9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9.6991903870246379E-2"/>
    <n v="95535000"/>
    <x v="5"/>
    <s v="nonfiction"/>
    <m/>
    <x v="9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2.5612772235754897E-2"/>
    <n v="84354525"/>
    <x v="5"/>
    <s v="radio &amp; podcasts"/>
    <m/>
    <x v="9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8788506652958014E-2"/>
    <n v="5846720.3389830505"/>
    <x v="3"/>
    <s v="plays"/>
    <m/>
    <x v="9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0.20810200852158456"/>
    <n v="7841685.8638743451"/>
    <x v="4"/>
    <s v="documentary"/>
    <m/>
    <x v="9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4.638462239328086E-2"/>
    <n v="31816712.195121951"/>
    <x v="3"/>
    <s v="plays"/>
    <m/>
    <x v="9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7.1141196411681165E-2"/>
    <n v="339828.46975088969"/>
    <x v="6"/>
    <s v="video games"/>
    <m/>
    <x v="9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0.15266132509087824"/>
    <n v="19130265"/>
    <x v="3"/>
    <s v="plays"/>
    <m/>
    <x v="9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6.0763493293229422E-3"/>
    <n v="4804029.7297297297"/>
    <x v="3"/>
    <s v="plays"/>
    <m/>
    <x v="9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1020371616114539E-2"/>
    <n v="3394324.6753246752"/>
    <x v="2"/>
    <s v="web"/>
    <m/>
    <x v="9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8.3396370654100188E-2"/>
    <n v="7530415.6424581008"/>
    <x v="4"/>
    <s v="drama"/>
    <m/>
    <x v="9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7.2109217730547265E-2"/>
    <n v="2980421.4149139579"/>
    <x v="4"/>
    <s v="drama"/>
    <m/>
    <x v="9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7.5371163725533818E-2"/>
    <n v="9763327.6595744677"/>
    <x v="3"/>
    <s v="plays"/>
    <m/>
    <x v="9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5.1702718940668739E-2"/>
    <n v="806409.6463022508"/>
    <x v="4"/>
    <s v="television"/>
    <m/>
    <x v="9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5.4803696204844037E-2"/>
    <n v="27301153.846153848"/>
    <x v="7"/>
    <s v="photography books"/>
    <m/>
    <x v="9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15838230077788806"/>
    <n v="48567066.666666664"/>
    <x v="4"/>
    <s v="shorts"/>
    <m/>
    <x v="9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7.0747701369664767E-2"/>
    <n v="8617407.692307692"/>
    <x v="5"/>
    <s v="radio &amp; podcasts"/>
    <m/>
    <x v="9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18358611239098829"/>
    <n v="6714336"/>
    <x v="3"/>
    <s v="plays"/>
    <m/>
    <x v="9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0.11151846327557607"/>
    <n v="6083322.3529411769"/>
    <x v="4"/>
    <s v="animation"/>
    <m/>
    <x v="9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9.1013993401485471E-2"/>
    <n v="35006210.526315786"/>
    <x v="2"/>
    <s v="web"/>
    <m/>
    <x v="9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5.035176301103543E-2"/>
    <n v="683375.85139318882"/>
    <x v="1"/>
    <s v="world music"/>
    <m/>
    <x v="9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6.7548360404276935E-3"/>
    <n v="31979250"/>
    <x v="3"/>
    <s v="plays"/>
    <m/>
    <x v="9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6.066780371103811E-2"/>
    <n v="687397.11664482311"/>
    <x v="3"/>
    <s v="plays"/>
    <m/>
    <x v="9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6.8842043365706623E-2"/>
    <n v="23186049.230769232"/>
    <x v="3"/>
    <s v="plays"/>
    <m/>
    <x v="9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2.3622221620730469E-2"/>
    <n v="97558320"/>
    <x v="0"/>
    <s v="food trucks"/>
    <m/>
    <x v="9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18669678135821907"/>
    <n v="36339859.459459461"/>
    <x v="3"/>
    <s v="plays"/>
    <m/>
    <x v="9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5.6011077746487642E-2"/>
    <n v="367771.88244638604"/>
    <x v="2"/>
    <s v="web"/>
    <m/>
    <x v="9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8.0975367582379193E-2"/>
    <n v="8124984.7826086953"/>
    <x v="3"/>
    <s v="plays"/>
    <m/>
    <x v="9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4.2446752065489271E-2"/>
    <n v="16769985.882352941"/>
    <x v="3"/>
    <s v="plays"/>
    <m/>
    <x v="9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1.2308291942427966E-2"/>
    <n v="12536646.428571429"/>
    <x v="3"/>
    <s v="plays"/>
    <m/>
    <x v="9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1.8587120674299434E-2"/>
    <n v="9685925"/>
    <x v="1"/>
    <s v="rock"/>
    <m/>
    <x v="9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8.2261777012579196E-2"/>
    <n v="718464.98422712937"/>
    <x v="3"/>
    <s v="plays"/>
    <m/>
    <x v="9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3.5601441858395262E-2"/>
    <n v="13872754.285714285"/>
    <x v="3"/>
    <s v="plays"/>
    <m/>
    <x v="9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4.2066781014861089E-2"/>
    <n v="10896354.545454545"/>
    <x v="3"/>
    <s v="plays"/>
    <m/>
    <x v="9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575310614414536E-2"/>
    <n v="74477657.142857149"/>
    <x v="3"/>
    <s v="plays"/>
    <m/>
    <x v="9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5.368246820059349E-2"/>
    <n v="1484933.6065573771"/>
    <x v="4"/>
    <s v="documentary"/>
    <m/>
    <x v="9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0.20345640404934762"/>
    <n v="15957187.5"/>
    <x v="5"/>
    <s v="fiction"/>
    <m/>
    <x v="9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11257377307003577"/>
    <n v="19495719.402985074"/>
    <x v="6"/>
    <s v="video games"/>
    <m/>
    <x v="9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14034863877769096"/>
    <n v="20549127.272727273"/>
    <x v="2"/>
    <s v="web"/>
    <m/>
    <x v="9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2335941801678541"/>
    <n v="16635600"/>
    <x v="3"/>
    <s v="plays"/>
    <m/>
    <x v="9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2.00010000500025E-2"/>
    <n v="19346185.074626867"/>
    <x v="3"/>
    <s v="plays"/>
    <m/>
    <x v="9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0.21423488815153546"/>
    <n v="12408410.52631579"/>
    <x v="0"/>
    <s v="food trucks"/>
    <m/>
    <x v="9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11041857356637465"/>
    <n v="5659117.8707224336"/>
    <x v="7"/>
    <s v="photography books"/>
    <m/>
    <x v="9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9.718041814574363E-2"/>
    <n v="789413.3648728563"/>
    <x v="7"/>
    <s v="photography books"/>
    <m/>
    <x v="9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1.3208985412326735E-2"/>
    <n v="7228581.2154696137"/>
    <x v="3"/>
    <s v="plays"/>
    <m/>
    <x v="9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4.2841732948097747E-2"/>
    <n v="108639415.38461539"/>
    <x v="3"/>
    <s v="plays"/>
    <m/>
    <x v="9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6.0915251656133401E-2"/>
    <n v="8870175"/>
    <x v="4"/>
    <s v="documentary"/>
    <m/>
    <x v="9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0.11485075698234673"/>
    <n v="7049136.9458128074"/>
    <x v="2"/>
    <s v="web"/>
    <m/>
    <x v="9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2.7774370274017308E-2"/>
    <n v="1555822800"/>
    <x v="3"/>
    <s v="plays"/>
    <m/>
    <x v="9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5.8270813606234977E-3"/>
    <n v="951134.31686978834"/>
    <x v="1"/>
    <s v="rock"/>
    <m/>
    <x v="9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8.2245497915713048E-2"/>
    <n v="649571.22683142102"/>
    <x v="4"/>
    <s v="documentary"/>
    <m/>
    <x v="9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21442291942760991"/>
    <n v="69223885.714285716"/>
    <x v="4"/>
    <s v="science fiction"/>
    <m/>
    <x v="9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0.15379480675522328"/>
    <n v="872327.90697674418"/>
    <x v="2"/>
    <s v="web"/>
    <m/>
    <x v="9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.2763852768958309E-2"/>
    <n v="16924950"/>
    <x v="3"/>
    <s v="plays"/>
    <m/>
    <x v="9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2.3821931065286978E-2"/>
    <n v="1748324.8192771084"/>
    <x v="4"/>
    <s v="science fiction"/>
    <m/>
    <x v="9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9497928345113331E-2"/>
    <n v="10149856.488549618"/>
    <x v="3"/>
    <s v="plays"/>
    <m/>
    <x v="9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0.14883762885871418"/>
    <n v="11419617.857142856"/>
    <x v="4"/>
    <s v="animation"/>
    <m/>
    <x v="9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0.18934004288326567"/>
    <n v="9847080"/>
    <x v="5"/>
    <s v="translations"/>
    <m/>
    <x v="9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21947731242978955"/>
    <n v="26510989.09090909"/>
    <x v="2"/>
    <s v="web"/>
    <m/>
    <x v="9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2.662716969828088E-2"/>
    <n v="8375922.5806451617"/>
    <x v="5"/>
    <s v="translations"/>
    <m/>
    <x v="9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0.13105955408546954"/>
    <n v="5211365.4135338347"/>
    <x v="0"/>
    <s v="food trucks"/>
    <m/>
    <x v="9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3.9898259438431997E-2"/>
    <n v="11401957.894736841"/>
    <x v="7"/>
    <s v="photography books"/>
    <m/>
    <x v="9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0181921532034337E-2"/>
    <n v="9237112.2580645159"/>
    <x v="3"/>
    <s v="plays"/>
    <m/>
    <x v="9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0.27333139723593625"/>
    <n v="6124904.3478260869"/>
    <x v="1"/>
    <s v="rock"/>
    <m/>
    <x v="9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1.1539210477603114E-2"/>
    <n v="6112961.6326530613"/>
    <x v="3"/>
    <s v="plays"/>
    <m/>
    <x v="9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0.23969616891021919"/>
    <n v="849895.23204068653"/>
    <x v="1"/>
    <s v="world music"/>
    <m/>
    <x v="9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0.10016527269995493"/>
    <n v="11361031.578947369"/>
    <x v="0"/>
    <s v="food trucks"/>
    <m/>
    <x v="9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3.8351436124313444E-2"/>
    <n v="16963432.258064516"/>
    <x v="3"/>
    <s v="plays"/>
    <m/>
    <x v="9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6.6211097531705459E-3"/>
    <n v="2196975.7575757578"/>
    <x v="3"/>
    <s v="plays"/>
    <m/>
    <x v="9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3.753235210559102E-2"/>
    <n v="57571950"/>
    <x v="4"/>
    <s v="television"/>
    <m/>
    <x v="9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5.5476079793094775E-2"/>
    <n v="834302.67697798926"/>
    <x v="2"/>
    <s v="web"/>
    <m/>
    <x v="9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1.3375018808620199E-2"/>
    <n v="5127514.2857142854"/>
    <x v="3"/>
    <s v="plays"/>
    <m/>
    <x v="9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6.3118528707095832E-3"/>
    <n v="42779362.5"/>
    <x v="1"/>
    <s v="indie rock"/>
    <m/>
    <x v="9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0.23258241020977147"/>
    <n v="10756640"/>
    <x v="3"/>
    <s v="plays"/>
    <m/>
    <x v="9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9994000899865018E-2"/>
    <n v="9262234.2857142854"/>
    <x v="3"/>
    <s v="plays"/>
    <m/>
    <x v="9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18213640309062709"/>
    <n v="22697731.343283582"/>
    <x v="0"/>
    <s v="food trucks"/>
    <m/>
    <x v="9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0.12852531802713638"/>
    <n v="16095991.304347826"/>
    <x v="6"/>
    <s v="video games"/>
    <m/>
    <x v="9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3.6343353835359561E-2"/>
    <n v="1405826.6009852216"/>
    <x v="3"/>
    <s v="plays"/>
    <m/>
    <x v="9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3.0120706865778644E-2"/>
    <n v="1949618.3288409703"/>
    <x v="5"/>
    <s v="nonfiction"/>
    <m/>
    <x v="9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0.18829973894808918"/>
    <n v="4696695.9752321979"/>
    <x v="2"/>
    <s v="web"/>
    <m/>
    <x v="9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1.3180259266683326E-2"/>
    <n v="17482992"/>
    <x v="4"/>
    <s v="documentary"/>
    <m/>
    <x v="9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8.2817068597838009E-2"/>
    <n v="673340.84264832328"/>
    <x v="4"/>
    <s v="documentary"/>
    <m/>
    <x v="9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0.14327272560288198"/>
    <n v="4121168.5039370079"/>
    <x v="3"/>
    <s v="plays"/>
    <m/>
    <x v="9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16204172574437919"/>
    <n v="315222.70147559594"/>
    <x v="1"/>
    <s v="rock"/>
    <m/>
    <x v="9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9.2904681455838481E-2"/>
    <n v="14165100"/>
    <x v="1"/>
    <s v="rock"/>
    <m/>
    <x v="9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8.1003478810116755E-2"/>
    <n v="3113497.5"/>
    <x v="4"/>
    <s v="documentary"/>
    <m/>
    <x v="9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12268325811681199"/>
    <n v="23136637.5"/>
    <x v="5"/>
    <s v="radio &amp; podcasts"/>
    <m/>
    <x v="9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2.7774370274017308E-2"/>
    <n v="6884171.6814159295"/>
    <x v="5"/>
    <s v="translations"/>
    <m/>
    <x v="9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13021412440267049"/>
    <n v="22795031.25"/>
    <x v="4"/>
    <s v="drama"/>
    <m/>
    <x v="9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2.4482488644970761E-2"/>
    <n v="5858783.4024896268"/>
    <x v="1"/>
    <s v="rock"/>
    <m/>
    <x v="9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7.9283241740739085E-2"/>
    <n v="11567263.636363637"/>
    <x v="4"/>
    <s v="drama"/>
    <m/>
    <x v="9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10123114942015395"/>
    <n v="19365408"/>
    <x v="7"/>
    <s v="photography books"/>
    <m/>
    <x v="9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3.6674349603331248E-2"/>
    <n v="1679382.8978622328"/>
    <x v="5"/>
    <s v="translations"/>
    <m/>
    <x v="9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0.16279683562190961"/>
    <n v="755661.67400881054"/>
    <x v="0"/>
    <s v="food trucks"/>
    <m/>
    <x v="9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19099460440242563"/>
    <n v="12140164.285714285"/>
    <x v="3"/>
    <s v="plays"/>
    <m/>
    <x v="9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3.107471916222557E-2"/>
    <n v="10004529.496402878"/>
    <x v="3"/>
    <s v="plays"/>
    <m/>
    <x v="9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9.5554986775872375E-2"/>
    <n v="3387908.0213903743"/>
    <x v="1"/>
    <s v="indie rock"/>
    <m/>
    <x v="9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4.1222037104740782E-2"/>
    <n v="1308182.8877005347"/>
    <x v="0"/>
    <s v="food trucks"/>
    <m/>
    <x v="9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C028D8-60F6-46C9-938F-C433A84D1E41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 rowHeaderCaption=" ">
  <location ref="A3:F14" firstHeaderRow="1" firstDataRow="2" firstDataCol="1" rowPageCount="1" colPageCount="1"/>
  <pivotFields count="20"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numFmtId="9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dataField="1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Sub-Category" fld="17" subtotal="count" baseField="0" baseItem="0"/>
  </dataFields>
  <chartFormats count="23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7" format="8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1"/>
          </reference>
        </references>
      </pivotArea>
    </chartFormat>
    <chartFormat chart="7" format="9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2"/>
          </reference>
        </references>
      </pivotArea>
    </chartFormat>
    <chartFormat chart="7" format="10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3"/>
          </reference>
        </references>
      </pivotArea>
    </chartFormat>
    <chartFormat chart="7" format="11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4"/>
          </reference>
        </references>
      </pivotArea>
    </chartFormat>
    <chartFormat chart="7" format="12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5"/>
          </reference>
        </references>
      </pivotArea>
    </chartFormat>
    <chartFormat chart="7" format="13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6"/>
          </reference>
        </references>
      </pivotArea>
    </chartFormat>
    <chartFormat chart="7" format="14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7" count="1" selected="0">
            <x v="0"/>
          </reference>
        </references>
      </pivotArea>
    </chartFormat>
    <chartFormat chart="7" format="15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7" count="1" selected="0">
            <x v="1"/>
          </reference>
        </references>
      </pivotArea>
    </chartFormat>
    <chartFormat chart="7" format="16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7" count="1" selected="0">
            <x v="2"/>
          </reference>
        </references>
      </pivotArea>
    </chartFormat>
    <chartFormat chart="7" format="17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7" count="1" selected="0">
            <x v="3"/>
          </reference>
        </references>
      </pivotArea>
    </chartFormat>
    <chartFormat chart="7" format="18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7" count="1" selected="0">
            <x v="4"/>
          </reference>
        </references>
      </pivotArea>
    </chartFormat>
    <chartFormat chart="7" format="19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7" count="1" selected="0">
            <x v="6"/>
          </reference>
        </references>
      </pivotArea>
    </chartFormat>
    <chartFormat chart="7" format="20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0"/>
          </reference>
        </references>
      </pivotArea>
    </chartFormat>
    <chartFormat chart="7" format="21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1"/>
          </reference>
        </references>
      </pivotArea>
    </chartFormat>
    <chartFormat chart="7" format="22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2"/>
          </reference>
        </references>
      </pivotArea>
    </chartFormat>
    <chartFormat chart="7" format="23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3"/>
          </reference>
        </references>
      </pivotArea>
    </chartFormat>
    <chartFormat chart="7" format="24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4"/>
          </reference>
        </references>
      </pivotArea>
    </chartFormat>
    <chartFormat chart="7" format="25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5"/>
          </reference>
        </references>
      </pivotArea>
    </chartFormat>
    <chartFormat chart="7" format="26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4438AD-9ED9-49FE-A004-811C4E0AC9C4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29" firstHeaderRow="1" firstDataRow="2" firstDataCol="1" rowPageCount="1" colPageCount="1"/>
  <pivotFields count="19"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dataFiel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/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Parent Category" fld="1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D6DE35-DEC7-4FA0-8AA1-4E83C3C84678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5">
    <pivotField showAll="0"/>
    <pivotField showAll="0"/>
    <pivotField showAll="0"/>
    <pivotField showAll="0"/>
    <pivotField showAll="0"/>
    <pivotField axis="axisCol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/>
    <pivotField showAll="0"/>
    <pivotField dataField="1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4" hier="-1"/>
  </pageFields>
  <dataFields count="1">
    <dataField name="Count of Date Created Conversion" fld="20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tabSelected="1" topLeftCell="B1" workbookViewId="0">
      <selection activeCell="O15" sqref="O15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7" max="7" width="13" bestFit="1" customWidth="1"/>
    <col min="10" max="10" width="11.125" customWidth="1"/>
    <col min="11" max="11" width="11.125" bestFit="1" customWidth="1"/>
    <col min="14" max="14" width="28" bestFit="1" customWidth="1"/>
    <col min="15" max="15" width="14.5" style="11" bestFit="1" customWidth="1"/>
    <col min="16" max="16" width="16.5" bestFit="1" customWidth="1"/>
    <col min="17" max="17" width="18.875" bestFit="1" customWidth="1"/>
    <col min="18" max="18" width="16.375" bestFit="1" customWidth="1"/>
    <col min="20" max="20" width="16.75" bestFit="1" customWidth="1"/>
    <col min="21" max="21" width="22.375" bestFit="1" customWidth="1"/>
    <col min="22" max="22" width="12.375" bestFit="1" customWidth="1"/>
  </cols>
  <sheetData>
    <row r="1" spans="1:22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0" t="s">
        <v>2029</v>
      </c>
      <c r="P1" s="1" t="s">
        <v>2030</v>
      </c>
      <c r="Q1" s="1" t="s">
        <v>2031</v>
      </c>
      <c r="R1" s="1" t="s">
        <v>2032</v>
      </c>
      <c r="S1" s="1" t="s">
        <v>2044</v>
      </c>
      <c r="T1" s="1" t="s">
        <v>2043</v>
      </c>
      <c r="U1" s="1" t="s">
        <v>2075</v>
      </c>
      <c r="V1" s="1" t="s">
        <v>2076</v>
      </c>
    </row>
    <row r="2" spans="1:22" ht="19.5" x14ac:dyDescent="0.4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12">
        <f>E2/D2</f>
        <v>0</v>
      </c>
      <c r="P2" s="13" t="e">
        <f>E2/G2</f>
        <v>#DIV/0!</v>
      </c>
      <c r="Q2" t="str" cm="1">
        <f t="array" ref="Q2:R2">_xlfn.TEXTSPLIT(N2,"/",,FALSE,,#N/A)</f>
        <v>food</v>
      </c>
      <c r="R2" t="str">
        <v>food trucks</v>
      </c>
      <c r="S2" t="s">
        <v>2034</v>
      </c>
      <c r="T2">
        <f>COUNTIF(Q:Q,"food")</f>
        <v>46</v>
      </c>
      <c r="U2" s="6">
        <f>(((J2/60)/60)/24)+DATE(1970,1,1)</f>
        <v>42336.25</v>
      </c>
      <c r="V2" s="6">
        <f>(((K2/60)/60)/24)+DATE(1970,1,1)</f>
        <v>42353.25</v>
      </c>
    </row>
    <row r="3" spans="1:22" ht="19.5" x14ac:dyDescent="0.4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12">
        <f t="shared" ref="O3:O66" si="0">E3/D3</f>
        <v>10.4</v>
      </c>
      <c r="P3" s="13">
        <f t="shared" ref="P3:P66" si="1">E3/G3</f>
        <v>92.151898734177209</v>
      </c>
      <c r="Q3" t="str" cm="1">
        <f t="array" ref="Q3:R3">_xlfn.TEXTSPLIT(N3,"/",,FALSE,,#N/A)</f>
        <v>music</v>
      </c>
      <c r="R3" t="str">
        <v>rock</v>
      </c>
      <c r="S3" t="s">
        <v>2037</v>
      </c>
      <c r="T3">
        <f>COUNTIF(Q:Q,"music")</f>
        <v>175</v>
      </c>
      <c r="U3" s="6">
        <f t="shared" ref="U3:U66" si="2">(((J3/60)/60)/24)+DATE(1970,1,1)</f>
        <v>41870.208333333336</v>
      </c>
      <c r="V3" s="6">
        <f t="shared" ref="V3:V66" si="3">(((K3/60)/60)/24)+DATE(1970,1,1)</f>
        <v>41872.208333333336</v>
      </c>
    </row>
    <row r="4" spans="1:22" ht="33.75" x14ac:dyDescent="0.4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12">
        <f t="shared" si="0"/>
        <v>1.3147878228782288</v>
      </c>
      <c r="P4" s="13">
        <f t="shared" si="1"/>
        <v>100.01614035087719</v>
      </c>
      <c r="Q4" t="str" cm="1">
        <f t="array" ref="Q4:R4">_xlfn.TEXTSPLIT(N4,"/",,FALSE,,#N/A)</f>
        <v>technology</v>
      </c>
      <c r="R4" t="str">
        <v>web</v>
      </c>
      <c r="S4" t="s">
        <v>2040</v>
      </c>
      <c r="T4">
        <f>COUNTIF(Q:Q,"technology")</f>
        <v>96</v>
      </c>
      <c r="U4" s="6">
        <f t="shared" si="2"/>
        <v>41595.25</v>
      </c>
      <c r="V4" s="6">
        <f t="shared" si="3"/>
        <v>41597.25</v>
      </c>
    </row>
    <row r="5" spans="1:22" ht="33.75" x14ac:dyDescent="0.4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12">
        <f t="shared" si="0"/>
        <v>0.58976190476190471</v>
      </c>
      <c r="P5" s="13">
        <f t="shared" si="1"/>
        <v>103.20833333333333</v>
      </c>
      <c r="Q5" t="str" cm="1">
        <f t="array" ref="Q5:R5">_xlfn.TEXTSPLIT(N5,"/",,FALSE,,#N/A)</f>
        <v>music</v>
      </c>
      <c r="R5" t="str">
        <v>rock</v>
      </c>
      <c r="S5" t="s">
        <v>2041</v>
      </c>
      <c r="T5">
        <f>COUNTIF(Q:Q,"theater")</f>
        <v>344</v>
      </c>
      <c r="U5" s="6">
        <f t="shared" si="2"/>
        <v>43688.208333333328</v>
      </c>
      <c r="V5" s="6">
        <f t="shared" si="3"/>
        <v>43728.208333333328</v>
      </c>
    </row>
    <row r="6" spans="1:22" ht="19.5" x14ac:dyDescent="0.4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12">
        <f t="shared" si="0"/>
        <v>0.69276315789473686</v>
      </c>
      <c r="P6" s="13">
        <f t="shared" si="1"/>
        <v>99.339622641509436</v>
      </c>
      <c r="Q6" t="str" cm="1">
        <f t="array" ref="Q6:R6">_xlfn.TEXTSPLIT(N6,"/",,FALSE,,#N/A)</f>
        <v>theater</v>
      </c>
      <c r="R6" t="str">
        <v>plays</v>
      </c>
      <c r="S6" t="s">
        <v>2033</v>
      </c>
      <c r="T6">
        <f>COUNTIF(Q:Q,"film &amp; video")</f>
        <v>178</v>
      </c>
      <c r="U6" s="6">
        <f t="shared" si="2"/>
        <v>43485.25</v>
      </c>
      <c r="V6" s="6">
        <f t="shared" si="3"/>
        <v>43489.25</v>
      </c>
    </row>
    <row r="7" spans="1:22" ht="19.5" x14ac:dyDescent="0.4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12">
        <f t="shared" si="0"/>
        <v>1.7361842105263159</v>
      </c>
      <c r="P7" s="13">
        <f t="shared" si="1"/>
        <v>75.833333333333329</v>
      </c>
      <c r="Q7" t="str" cm="1">
        <f t="array" ref="Q7:R7">_xlfn.TEXTSPLIT(N7,"/",,FALSE,,#N/A)</f>
        <v>theater</v>
      </c>
      <c r="R7" t="str">
        <v>plays</v>
      </c>
      <c r="S7" t="s">
        <v>2039</v>
      </c>
      <c r="T7">
        <f>COUNTIF(Q:Q,"publishing")</f>
        <v>67</v>
      </c>
      <c r="U7" s="6">
        <f t="shared" si="2"/>
        <v>41149.208333333336</v>
      </c>
      <c r="V7" s="6">
        <f t="shared" si="3"/>
        <v>41160.208333333336</v>
      </c>
    </row>
    <row r="8" spans="1:22" ht="19.5" x14ac:dyDescent="0.4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12">
        <f t="shared" si="0"/>
        <v>0.20961538461538462</v>
      </c>
      <c r="P8" s="13">
        <f t="shared" si="1"/>
        <v>60.555555555555557</v>
      </c>
      <c r="Q8" t="str" cm="1">
        <f t="array" ref="Q8:R8">_xlfn.TEXTSPLIT(N8,"/",,FALSE,,#N/A)</f>
        <v>film &amp; video</v>
      </c>
      <c r="R8" t="str">
        <v>documentary</v>
      </c>
      <c r="S8" t="s">
        <v>2035</v>
      </c>
      <c r="T8">
        <f>COUNTIF(Q:Q,"games")</f>
        <v>48</v>
      </c>
      <c r="U8" s="6">
        <f t="shared" si="2"/>
        <v>42991.208333333328</v>
      </c>
      <c r="V8" s="6">
        <f t="shared" si="3"/>
        <v>42992.208333333328</v>
      </c>
    </row>
    <row r="9" spans="1:22" ht="19.5" x14ac:dyDescent="0.4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12">
        <f t="shared" si="0"/>
        <v>3.2757777777777779</v>
      </c>
      <c r="P9" s="13">
        <f t="shared" si="1"/>
        <v>64.93832599118943</v>
      </c>
      <c r="Q9" t="str" cm="1">
        <f t="array" ref="Q9:R9">_xlfn.TEXTSPLIT(N9,"/",,FALSE,,#N/A)</f>
        <v>theater</v>
      </c>
      <c r="R9" t="str">
        <v>plays</v>
      </c>
      <c r="S9" t="s">
        <v>2038</v>
      </c>
      <c r="T9">
        <f>COUNTIF(Q:Q,"photography")</f>
        <v>42</v>
      </c>
      <c r="U9" s="6">
        <f t="shared" si="2"/>
        <v>42229.208333333328</v>
      </c>
      <c r="V9" s="6">
        <f t="shared" si="3"/>
        <v>42231.208333333328</v>
      </c>
    </row>
    <row r="10" spans="1:22" ht="19.5" x14ac:dyDescent="0.4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12">
        <f t="shared" si="0"/>
        <v>0.19932788374205268</v>
      </c>
      <c r="P10" s="13">
        <f t="shared" si="1"/>
        <v>30.997175141242938</v>
      </c>
      <c r="Q10" t="str" cm="1">
        <f t="array" ref="Q10:R10">_xlfn.TEXTSPLIT(N10,"/",,FALSE,,#N/A)</f>
        <v>theater</v>
      </c>
      <c r="R10" t="str">
        <v>plays</v>
      </c>
      <c r="S10" t="s">
        <v>2036</v>
      </c>
      <c r="T10">
        <f>COUNTIF(Q:Q,"journalism")</f>
        <v>4</v>
      </c>
      <c r="U10" s="6">
        <f t="shared" si="2"/>
        <v>40399.208333333336</v>
      </c>
      <c r="V10" s="6">
        <f t="shared" si="3"/>
        <v>40401.208333333336</v>
      </c>
    </row>
    <row r="11" spans="1:22" ht="19.5" x14ac:dyDescent="0.4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12">
        <f t="shared" si="0"/>
        <v>0.51741935483870971</v>
      </c>
      <c r="P11" s="13">
        <f t="shared" si="1"/>
        <v>72.909090909090907</v>
      </c>
      <c r="Q11" t="str" cm="1">
        <f t="array" ref="Q11:R11">_xlfn.TEXTSPLIT(N11,"/",,FALSE,,#N/A)</f>
        <v>music</v>
      </c>
      <c r="R11" t="str">
        <v>electric music</v>
      </c>
      <c r="U11" s="6">
        <f t="shared" si="2"/>
        <v>41536.208333333336</v>
      </c>
      <c r="V11" s="6">
        <f t="shared" si="3"/>
        <v>41585.25</v>
      </c>
    </row>
    <row r="12" spans="1:22" ht="19.5" x14ac:dyDescent="0.4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12">
        <f t="shared" si="0"/>
        <v>2.6611538461538462</v>
      </c>
      <c r="P12" s="13">
        <f t="shared" si="1"/>
        <v>62.9</v>
      </c>
      <c r="Q12" t="str" cm="1">
        <f t="array" ref="Q12:R12">_xlfn.TEXTSPLIT(N12,"/",,FALSE,,#N/A)</f>
        <v>film &amp; video</v>
      </c>
      <c r="R12" t="str">
        <v>drama</v>
      </c>
      <c r="U12" s="6">
        <f t="shared" si="2"/>
        <v>40404.208333333336</v>
      </c>
      <c r="V12" s="6">
        <f t="shared" si="3"/>
        <v>40452.208333333336</v>
      </c>
    </row>
    <row r="13" spans="1:22" ht="33.75" x14ac:dyDescent="0.4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12">
        <f t="shared" si="0"/>
        <v>0.48095238095238096</v>
      </c>
      <c r="P13" s="13">
        <f t="shared" si="1"/>
        <v>112.22222222222223</v>
      </c>
      <c r="Q13" t="str" cm="1">
        <f t="array" ref="Q13:R13">_xlfn.TEXTSPLIT(N13,"/",,FALSE,,#N/A)</f>
        <v>theater</v>
      </c>
      <c r="R13" t="str">
        <v>plays</v>
      </c>
      <c r="U13" s="6">
        <f t="shared" si="2"/>
        <v>40442.208333333336</v>
      </c>
      <c r="V13" s="6">
        <f t="shared" si="3"/>
        <v>40448.208333333336</v>
      </c>
    </row>
    <row r="14" spans="1:22" ht="19.5" x14ac:dyDescent="0.4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12">
        <f t="shared" si="0"/>
        <v>0.89349206349206345</v>
      </c>
      <c r="P14" s="13">
        <f t="shared" si="1"/>
        <v>102.34545454545454</v>
      </c>
      <c r="Q14" t="str" cm="1">
        <f t="array" ref="Q14:R14">_xlfn.TEXTSPLIT(N14,"/",,FALSE,,#N/A)</f>
        <v>film &amp; video</v>
      </c>
      <c r="R14" t="str">
        <v>drama</v>
      </c>
      <c r="U14" s="6">
        <f t="shared" si="2"/>
        <v>43760.208333333328</v>
      </c>
      <c r="V14" s="6">
        <f t="shared" si="3"/>
        <v>43768.208333333328</v>
      </c>
    </row>
    <row r="15" spans="1:22" ht="33.75" x14ac:dyDescent="0.4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12">
        <f t="shared" si="0"/>
        <v>2.4511904761904764</v>
      </c>
      <c r="P15" s="13">
        <f t="shared" si="1"/>
        <v>105.05102040816327</v>
      </c>
      <c r="Q15" t="str" cm="1">
        <f t="array" ref="Q15:R15">_xlfn.TEXTSPLIT(N15,"/",,FALSE,,#N/A)</f>
        <v>music</v>
      </c>
      <c r="R15" t="str">
        <v>indie rock</v>
      </c>
      <c r="U15" s="6">
        <f t="shared" si="2"/>
        <v>42532.208333333328</v>
      </c>
      <c r="V15" s="6">
        <f t="shared" si="3"/>
        <v>42544.208333333328</v>
      </c>
    </row>
    <row r="16" spans="1:22" ht="19.5" x14ac:dyDescent="0.4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12">
        <f t="shared" si="0"/>
        <v>0.66769503546099296</v>
      </c>
      <c r="P16" s="13">
        <f t="shared" si="1"/>
        <v>94.144999999999996</v>
      </c>
      <c r="Q16" t="str" cm="1">
        <f t="array" ref="Q16:R16">_xlfn.TEXTSPLIT(N16,"/",,FALSE,,#N/A)</f>
        <v>music</v>
      </c>
      <c r="R16" t="str">
        <v>indie rock</v>
      </c>
      <c r="U16" s="6">
        <f t="shared" si="2"/>
        <v>40974.25</v>
      </c>
      <c r="V16" s="6">
        <f t="shared" si="3"/>
        <v>41001.208333333336</v>
      </c>
    </row>
    <row r="17" spans="1:22" ht="19.5" x14ac:dyDescent="0.4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12">
        <f t="shared" si="0"/>
        <v>0.47307881773399013</v>
      </c>
      <c r="P17" s="13">
        <f t="shared" si="1"/>
        <v>84.986725663716811</v>
      </c>
      <c r="Q17" t="str" cm="1">
        <f t="array" ref="Q17:R17">_xlfn.TEXTSPLIT(N17,"/",,FALSE,,#N/A)</f>
        <v>technology</v>
      </c>
      <c r="R17" t="str">
        <v>wearables</v>
      </c>
      <c r="U17" s="6">
        <f t="shared" si="2"/>
        <v>43809.25</v>
      </c>
      <c r="V17" s="6">
        <f t="shared" si="3"/>
        <v>43813.25</v>
      </c>
    </row>
    <row r="18" spans="1:22" ht="19.5" x14ac:dyDescent="0.4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12">
        <f t="shared" si="0"/>
        <v>6.4947058823529416</v>
      </c>
      <c r="P18" s="13">
        <f t="shared" si="1"/>
        <v>110.41</v>
      </c>
      <c r="Q18" t="str" cm="1">
        <f t="array" ref="Q18:R18">_xlfn.TEXTSPLIT(N18,"/",,FALSE,,#N/A)</f>
        <v>publishing</v>
      </c>
      <c r="R18" t="str">
        <v>nonfiction</v>
      </c>
      <c r="U18" s="6">
        <f t="shared" si="2"/>
        <v>41661.25</v>
      </c>
      <c r="V18" s="6">
        <f t="shared" si="3"/>
        <v>41683.25</v>
      </c>
    </row>
    <row r="19" spans="1:22" ht="19.5" x14ac:dyDescent="0.4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12">
        <f t="shared" si="0"/>
        <v>1.5939125295508274</v>
      </c>
      <c r="P19" s="13">
        <f t="shared" si="1"/>
        <v>107.96236989591674</v>
      </c>
      <c r="Q19" t="str" cm="1">
        <f t="array" ref="Q19:R19">_xlfn.TEXTSPLIT(N19,"/",,FALSE,,#N/A)</f>
        <v>film &amp; video</v>
      </c>
      <c r="R19" t="str">
        <v>animation</v>
      </c>
      <c r="U19" s="6">
        <f t="shared" si="2"/>
        <v>40555.25</v>
      </c>
      <c r="V19" s="6">
        <f t="shared" si="3"/>
        <v>40556.25</v>
      </c>
    </row>
    <row r="20" spans="1:22" ht="19.5" x14ac:dyDescent="0.4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12">
        <f t="shared" si="0"/>
        <v>0.66912087912087914</v>
      </c>
      <c r="P20" s="13">
        <f t="shared" si="1"/>
        <v>45.103703703703701</v>
      </c>
      <c r="Q20" t="str" cm="1">
        <f t="array" ref="Q20:R20">_xlfn.TEXTSPLIT(N20,"/",,FALSE,,#N/A)</f>
        <v>theater</v>
      </c>
      <c r="R20" t="str">
        <v>plays</v>
      </c>
      <c r="U20" s="6">
        <f t="shared" si="2"/>
        <v>43351.208333333328</v>
      </c>
      <c r="V20" s="6">
        <f t="shared" si="3"/>
        <v>43359.208333333328</v>
      </c>
    </row>
    <row r="21" spans="1:22" ht="19.5" x14ac:dyDescent="0.4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12">
        <f t="shared" si="0"/>
        <v>0.48529600000000001</v>
      </c>
      <c r="P21" s="13">
        <f t="shared" si="1"/>
        <v>45.001483679525222</v>
      </c>
      <c r="Q21" t="str" cm="1">
        <f t="array" ref="Q21:R21">_xlfn.TEXTSPLIT(N21,"/",,FALSE,,#N/A)</f>
        <v>theater</v>
      </c>
      <c r="R21" t="str">
        <v>plays</v>
      </c>
      <c r="U21" s="6">
        <f t="shared" si="2"/>
        <v>43528.25</v>
      </c>
      <c r="V21" s="6">
        <f t="shared" si="3"/>
        <v>43549.208333333328</v>
      </c>
    </row>
    <row r="22" spans="1:22" ht="19.5" x14ac:dyDescent="0.4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12">
        <f t="shared" si="0"/>
        <v>1.1224279210925645</v>
      </c>
      <c r="P22" s="13">
        <f t="shared" si="1"/>
        <v>105.97134670487107</v>
      </c>
      <c r="Q22" t="str" cm="1">
        <f t="array" ref="Q22:R22">_xlfn.TEXTSPLIT(N22,"/",,FALSE,,#N/A)</f>
        <v>film &amp; video</v>
      </c>
      <c r="R22" t="str">
        <v>drama</v>
      </c>
      <c r="U22" s="6">
        <f t="shared" si="2"/>
        <v>41848.208333333336</v>
      </c>
      <c r="V22" s="6">
        <f t="shared" si="3"/>
        <v>41848.208333333336</v>
      </c>
    </row>
    <row r="23" spans="1:22" ht="19.5" x14ac:dyDescent="0.4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12">
        <f t="shared" si="0"/>
        <v>0.40992553191489361</v>
      </c>
      <c r="P23" s="13">
        <f t="shared" si="1"/>
        <v>69.055555555555557</v>
      </c>
      <c r="Q23" t="str" cm="1">
        <f t="array" ref="Q23:R23">_xlfn.TEXTSPLIT(N23,"/",,FALSE,,#N/A)</f>
        <v>theater</v>
      </c>
      <c r="R23" t="str">
        <v>plays</v>
      </c>
      <c r="U23" s="6">
        <f t="shared" si="2"/>
        <v>40770.208333333336</v>
      </c>
      <c r="V23" s="6">
        <f t="shared" si="3"/>
        <v>40804.208333333336</v>
      </c>
    </row>
    <row r="24" spans="1:22" ht="19.5" x14ac:dyDescent="0.4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12">
        <f t="shared" si="0"/>
        <v>1.2807106598984772</v>
      </c>
      <c r="P24" s="13">
        <f t="shared" si="1"/>
        <v>85.044943820224717</v>
      </c>
      <c r="Q24" t="str" cm="1">
        <f t="array" ref="Q24:R24">_xlfn.TEXTSPLIT(N24,"/",,FALSE,,#N/A)</f>
        <v>theater</v>
      </c>
      <c r="R24" t="str">
        <v>plays</v>
      </c>
      <c r="U24" s="6">
        <f t="shared" si="2"/>
        <v>43193.208333333328</v>
      </c>
      <c r="V24" s="6">
        <f t="shared" si="3"/>
        <v>43208.208333333328</v>
      </c>
    </row>
    <row r="25" spans="1:22" ht="19.5" x14ac:dyDescent="0.4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12">
        <f t="shared" si="0"/>
        <v>3.3204444444444445</v>
      </c>
      <c r="P25" s="13">
        <f t="shared" si="1"/>
        <v>105.22535211267606</v>
      </c>
      <c r="Q25" t="str" cm="1">
        <f t="array" ref="Q25:R25">_xlfn.TEXTSPLIT(N25,"/",,FALSE,,#N/A)</f>
        <v>film &amp; video</v>
      </c>
      <c r="R25" t="str">
        <v>documentary</v>
      </c>
      <c r="U25" s="6">
        <f t="shared" si="2"/>
        <v>43510.25</v>
      </c>
      <c r="V25" s="6">
        <f t="shared" si="3"/>
        <v>43563.208333333328</v>
      </c>
    </row>
    <row r="26" spans="1:22" ht="19.5" x14ac:dyDescent="0.4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12">
        <f t="shared" si="0"/>
        <v>1.1283225108225108</v>
      </c>
      <c r="P26" s="13">
        <f t="shared" si="1"/>
        <v>39.003741114852225</v>
      </c>
      <c r="Q26" t="str" cm="1">
        <f t="array" ref="Q26:R26">_xlfn.TEXTSPLIT(N26,"/",,FALSE,,#N/A)</f>
        <v>technology</v>
      </c>
      <c r="R26" t="str">
        <v>wearables</v>
      </c>
      <c r="U26" s="6">
        <f t="shared" si="2"/>
        <v>41811.208333333336</v>
      </c>
      <c r="V26" s="6">
        <f t="shared" si="3"/>
        <v>41813.208333333336</v>
      </c>
    </row>
    <row r="27" spans="1:22" ht="19.5" x14ac:dyDescent="0.4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12">
        <f t="shared" si="0"/>
        <v>2.1643636363636363</v>
      </c>
      <c r="P27" s="13">
        <f t="shared" si="1"/>
        <v>73.030674846625772</v>
      </c>
      <c r="Q27" t="str" cm="1">
        <f t="array" ref="Q27:R27">_xlfn.TEXTSPLIT(N27,"/",,FALSE,,#N/A)</f>
        <v>games</v>
      </c>
      <c r="R27" t="str">
        <v>video games</v>
      </c>
      <c r="U27" s="6">
        <f t="shared" si="2"/>
        <v>40681.208333333336</v>
      </c>
      <c r="V27" s="6">
        <f t="shared" si="3"/>
        <v>40701.208333333336</v>
      </c>
    </row>
    <row r="28" spans="1:22" ht="19.5" x14ac:dyDescent="0.4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12">
        <f t="shared" si="0"/>
        <v>0.4819906976744186</v>
      </c>
      <c r="P28" s="13">
        <f t="shared" si="1"/>
        <v>35.009459459459457</v>
      </c>
      <c r="Q28" t="str" cm="1">
        <f t="array" ref="Q28:R28">_xlfn.TEXTSPLIT(N28,"/",,FALSE,,#N/A)</f>
        <v>theater</v>
      </c>
      <c r="R28" t="str">
        <v>plays</v>
      </c>
      <c r="U28" s="6">
        <f t="shared" si="2"/>
        <v>43312.208333333328</v>
      </c>
      <c r="V28" s="6">
        <f t="shared" si="3"/>
        <v>43339.208333333328</v>
      </c>
    </row>
    <row r="29" spans="1:22" ht="19.5" x14ac:dyDescent="0.4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12">
        <f t="shared" si="0"/>
        <v>0.79949999999999999</v>
      </c>
      <c r="P29" s="13">
        <f t="shared" si="1"/>
        <v>106.6</v>
      </c>
      <c r="Q29" t="str" cm="1">
        <f t="array" ref="Q29:R29">_xlfn.TEXTSPLIT(N29,"/",,FALSE,,#N/A)</f>
        <v>music</v>
      </c>
      <c r="R29" t="str">
        <v>rock</v>
      </c>
      <c r="U29" s="6">
        <f t="shared" si="2"/>
        <v>42280.208333333328</v>
      </c>
      <c r="V29" s="6">
        <f t="shared" si="3"/>
        <v>42288.208333333328</v>
      </c>
    </row>
    <row r="30" spans="1:22" ht="19.5" x14ac:dyDescent="0.4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12">
        <f t="shared" si="0"/>
        <v>1.0522553516819573</v>
      </c>
      <c r="P30" s="13">
        <f t="shared" si="1"/>
        <v>61.997747747747745</v>
      </c>
      <c r="Q30" t="str" cm="1">
        <f t="array" ref="Q30:R30">_xlfn.TEXTSPLIT(N30,"/",,FALSE,,#N/A)</f>
        <v>theater</v>
      </c>
      <c r="R30" t="str">
        <v>plays</v>
      </c>
      <c r="U30" s="6">
        <f t="shared" si="2"/>
        <v>40218.25</v>
      </c>
      <c r="V30" s="6">
        <f t="shared" si="3"/>
        <v>40241.25</v>
      </c>
    </row>
    <row r="31" spans="1:22" ht="19.5" x14ac:dyDescent="0.4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12">
        <f t="shared" si="0"/>
        <v>3.2889978213507627</v>
      </c>
      <c r="P31" s="13">
        <f t="shared" si="1"/>
        <v>94.000622665006233</v>
      </c>
      <c r="Q31" t="str" cm="1">
        <f t="array" ref="Q31:R31">_xlfn.TEXTSPLIT(N31,"/",,FALSE,,#N/A)</f>
        <v>film &amp; video</v>
      </c>
      <c r="R31" t="str">
        <v>shorts</v>
      </c>
      <c r="U31" s="6">
        <f t="shared" si="2"/>
        <v>43301.208333333328</v>
      </c>
      <c r="V31" s="6">
        <f t="shared" si="3"/>
        <v>43341.208333333328</v>
      </c>
    </row>
    <row r="32" spans="1:22" ht="19.5" x14ac:dyDescent="0.4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12">
        <f t="shared" si="0"/>
        <v>1.606111111111111</v>
      </c>
      <c r="P32" s="13">
        <f t="shared" si="1"/>
        <v>112.05426356589147</v>
      </c>
      <c r="Q32" t="str" cm="1">
        <f t="array" ref="Q32:R32">_xlfn.TEXTSPLIT(N32,"/",,FALSE,,#N/A)</f>
        <v>film &amp; video</v>
      </c>
      <c r="R32" t="str">
        <v>animation</v>
      </c>
      <c r="U32" s="6">
        <f t="shared" si="2"/>
        <v>43609.208333333328</v>
      </c>
      <c r="V32" s="6">
        <f t="shared" si="3"/>
        <v>43614.208333333328</v>
      </c>
    </row>
    <row r="33" spans="1:22" ht="19.5" x14ac:dyDescent="0.4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12">
        <f t="shared" si="0"/>
        <v>3.1</v>
      </c>
      <c r="P33" s="13">
        <f t="shared" si="1"/>
        <v>48.008849557522126</v>
      </c>
      <c r="Q33" t="str" cm="1">
        <f t="array" ref="Q33:R33">_xlfn.TEXTSPLIT(N33,"/",,FALSE,,#N/A)</f>
        <v>games</v>
      </c>
      <c r="R33" t="str">
        <v>video games</v>
      </c>
      <c r="U33" s="6">
        <f t="shared" si="2"/>
        <v>42374.25</v>
      </c>
      <c r="V33" s="6">
        <f t="shared" si="3"/>
        <v>42402.25</v>
      </c>
    </row>
    <row r="34" spans="1:22" ht="19.5" x14ac:dyDescent="0.4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12">
        <f t="shared" si="0"/>
        <v>0.86807920792079207</v>
      </c>
      <c r="P34" s="13">
        <f t="shared" si="1"/>
        <v>38.004334633723452</v>
      </c>
      <c r="Q34" t="str" cm="1">
        <f t="array" ref="Q34:R34">_xlfn.TEXTSPLIT(N34,"/",,FALSE,,#N/A)</f>
        <v>film &amp; video</v>
      </c>
      <c r="R34" t="str">
        <v>documentary</v>
      </c>
      <c r="U34" s="6">
        <f t="shared" si="2"/>
        <v>43110.25</v>
      </c>
      <c r="V34" s="6">
        <f t="shared" si="3"/>
        <v>43137.25</v>
      </c>
    </row>
    <row r="35" spans="1:22" ht="19.5" x14ac:dyDescent="0.4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12">
        <f t="shared" si="0"/>
        <v>3.7782071713147412</v>
      </c>
      <c r="P35" s="13">
        <f t="shared" si="1"/>
        <v>35.000184535892231</v>
      </c>
      <c r="Q35" t="str" cm="1">
        <f t="array" ref="Q35:R35">_xlfn.TEXTSPLIT(N35,"/",,FALSE,,#N/A)</f>
        <v>theater</v>
      </c>
      <c r="R35" t="str">
        <v>plays</v>
      </c>
      <c r="U35" s="6">
        <f t="shared" si="2"/>
        <v>41917.208333333336</v>
      </c>
      <c r="V35" s="6">
        <f t="shared" si="3"/>
        <v>41954.25</v>
      </c>
    </row>
    <row r="36" spans="1:22" ht="33.75" x14ac:dyDescent="0.4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12">
        <f t="shared" si="0"/>
        <v>1.5080645161290323</v>
      </c>
      <c r="P36" s="13">
        <f t="shared" si="1"/>
        <v>85</v>
      </c>
      <c r="Q36" t="str" cm="1">
        <f t="array" ref="Q36:R36">_xlfn.TEXTSPLIT(N36,"/",,FALSE,,#N/A)</f>
        <v>film &amp; video</v>
      </c>
      <c r="R36" t="str">
        <v>documentary</v>
      </c>
      <c r="U36" s="6">
        <f t="shared" si="2"/>
        <v>42817.208333333328</v>
      </c>
      <c r="V36" s="6">
        <f t="shared" si="3"/>
        <v>42822.208333333328</v>
      </c>
    </row>
    <row r="37" spans="1:22" ht="19.5" x14ac:dyDescent="0.4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12">
        <f t="shared" si="0"/>
        <v>1.5030119521912351</v>
      </c>
      <c r="P37" s="13">
        <f t="shared" si="1"/>
        <v>95.993893129770996</v>
      </c>
      <c r="Q37" t="str" cm="1">
        <f t="array" ref="Q37:R37">_xlfn.TEXTSPLIT(N37,"/",,FALSE,,#N/A)</f>
        <v>film &amp; video</v>
      </c>
      <c r="R37" t="str">
        <v>drama</v>
      </c>
      <c r="U37" s="6">
        <f t="shared" si="2"/>
        <v>43484.25</v>
      </c>
      <c r="V37" s="6">
        <f t="shared" si="3"/>
        <v>43526.25</v>
      </c>
    </row>
    <row r="38" spans="1:22" ht="19.5" x14ac:dyDescent="0.4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12">
        <f t="shared" si="0"/>
        <v>1.572857142857143</v>
      </c>
      <c r="P38" s="13">
        <f t="shared" si="1"/>
        <v>68.8125</v>
      </c>
      <c r="Q38" t="str" cm="1">
        <f t="array" ref="Q38:R38">_xlfn.TEXTSPLIT(N38,"/",,FALSE,,#N/A)</f>
        <v>theater</v>
      </c>
      <c r="R38" t="str">
        <v>plays</v>
      </c>
      <c r="U38" s="6">
        <f t="shared" si="2"/>
        <v>40600.25</v>
      </c>
      <c r="V38" s="6">
        <f t="shared" si="3"/>
        <v>40625.208333333336</v>
      </c>
    </row>
    <row r="39" spans="1:22" ht="33.75" x14ac:dyDescent="0.4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12">
        <f t="shared" si="0"/>
        <v>1.3998765432098765</v>
      </c>
      <c r="P39" s="13">
        <f t="shared" si="1"/>
        <v>105.97196261682242</v>
      </c>
      <c r="Q39" t="str" cm="1">
        <f t="array" ref="Q39:R39">_xlfn.TEXTSPLIT(N39,"/",,FALSE,,#N/A)</f>
        <v>publishing</v>
      </c>
      <c r="R39" t="str">
        <v>fiction</v>
      </c>
      <c r="U39" s="6">
        <f t="shared" si="2"/>
        <v>43744.208333333328</v>
      </c>
      <c r="V39" s="6">
        <f t="shared" si="3"/>
        <v>43777.25</v>
      </c>
    </row>
    <row r="40" spans="1:22" ht="19.5" x14ac:dyDescent="0.4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12">
        <f t="shared" si="0"/>
        <v>3.2532258064516131</v>
      </c>
      <c r="P40" s="13">
        <f t="shared" si="1"/>
        <v>75.261194029850742</v>
      </c>
      <c r="Q40" t="str" cm="1">
        <f t="array" ref="Q40:R40">_xlfn.TEXTSPLIT(N40,"/",,FALSE,,#N/A)</f>
        <v>photography</v>
      </c>
      <c r="R40" t="str">
        <v>photography books</v>
      </c>
      <c r="U40" s="6">
        <f t="shared" si="2"/>
        <v>40469.208333333336</v>
      </c>
      <c r="V40" s="6">
        <f t="shared" si="3"/>
        <v>40474.208333333336</v>
      </c>
    </row>
    <row r="41" spans="1:22" ht="19.5" x14ac:dyDescent="0.4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12">
        <f t="shared" si="0"/>
        <v>0.50777777777777777</v>
      </c>
      <c r="P41" s="13">
        <f t="shared" si="1"/>
        <v>57.125</v>
      </c>
      <c r="Q41" t="str" cm="1">
        <f t="array" ref="Q41:R41">_xlfn.TEXTSPLIT(N41,"/",,FALSE,,#N/A)</f>
        <v>theater</v>
      </c>
      <c r="R41" t="str">
        <v>plays</v>
      </c>
      <c r="U41" s="6">
        <f t="shared" si="2"/>
        <v>41330.25</v>
      </c>
      <c r="V41" s="6">
        <f t="shared" si="3"/>
        <v>41344.208333333336</v>
      </c>
    </row>
    <row r="42" spans="1:22" ht="19.5" x14ac:dyDescent="0.4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12">
        <f t="shared" si="0"/>
        <v>1.6906818181818182</v>
      </c>
      <c r="P42" s="13">
        <f t="shared" si="1"/>
        <v>75.141414141414145</v>
      </c>
      <c r="Q42" t="str" cm="1">
        <f t="array" ref="Q42:R42">_xlfn.TEXTSPLIT(N42,"/",,FALSE,,#N/A)</f>
        <v>technology</v>
      </c>
      <c r="R42" t="str">
        <v>wearables</v>
      </c>
      <c r="U42" s="6">
        <f t="shared" si="2"/>
        <v>40334.208333333336</v>
      </c>
      <c r="V42" s="6">
        <f t="shared" si="3"/>
        <v>40353.208333333336</v>
      </c>
    </row>
    <row r="43" spans="1:22" ht="19.5" x14ac:dyDescent="0.4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12">
        <f t="shared" si="0"/>
        <v>2.1292857142857144</v>
      </c>
      <c r="P43" s="13">
        <f t="shared" si="1"/>
        <v>107.42342342342343</v>
      </c>
      <c r="Q43" t="str" cm="1">
        <f t="array" ref="Q43:R43">_xlfn.TEXTSPLIT(N43,"/",,FALSE,,#N/A)</f>
        <v>music</v>
      </c>
      <c r="R43" t="str">
        <v>rock</v>
      </c>
      <c r="U43" s="6">
        <f t="shared" si="2"/>
        <v>41156.208333333336</v>
      </c>
      <c r="V43" s="6">
        <f t="shared" si="3"/>
        <v>41182.208333333336</v>
      </c>
    </row>
    <row r="44" spans="1:22" ht="19.5" x14ac:dyDescent="0.4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12">
        <f t="shared" si="0"/>
        <v>4.4394444444444447</v>
      </c>
      <c r="P44" s="13">
        <f t="shared" si="1"/>
        <v>35.995495495495497</v>
      </c>
      <c r="Q44" t="str" cm="1">
        <f t="array" ref="Q44:R44">_xlfn.TEXTSPLIT(N44,"/",,FALSE,,#N/A)</f>
        <v>food</v>
      </c>
      <c r="R44" t="str">
        <v>food trucks</v>
      </c>
      <c r="U44" s="6">
        <f t="shared" si="2"/>
        <v>40728.208333333336</v>
      </c>
      <c r="V44" s="6">
        <f t="shared" si="3"/>
        <v>40737.208333333336</v>
      </c>
    </row>
    <row r="45" spans="1:22" ht="19.5" x14ac:dyDescent="0.4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12">
        <f t="shared" si="0"/>
        <v>1.859390243902439</v>
      </c>
      <c r="P45" s="13">
        <f t="shared" si="1"/>
        <v>26.998873148744366</v>
      </c>
      <c r="Q45" t="str" cm="1">
        <f t="array" ref="Q45:R45">_xlfn.TEXTSPLIT(N45,"/",,FALSE,,#N/A)</f>
        <v>publishing</v>
      </c>
      <c r="R45" t="str">
        <v>radio &amp; podcasts</v>
      </c>
      <c r="U45" s="6">
        <f t="shared" si="2"/>
        <v>41844.208333333336</v>
      </c>
      <c r="V45" s="6">
        <f t="shared" si="3"/>
        <v>41860.208333333336</v>
      </c>
    </row>
    <row r="46" spans="1:22" ht="19.5" x14ac:dyDescent="0.4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12">
        <f t="shared" si="0"/>
        <v>6.5881249999999998</v>
      </c>
      <c r="P46" s="13">
        <f t="shared" si="1"/>
        <v>107.56122448979592</v>
      </c>
      <c r="Q46" t="str" cm="1">
        <f t="array" ref="Q46:R46">_xlfn.TEXTSPLIT(N46,"/",,FALSE,,#N/A)</f>
        <v>publishing</v>
      </c>
      <c r="R46" t="str">
        <v>fiction</v>
      </c>
      <c r="U46" s="6">
        <f t="shared" si="2"/>
        <v>43541.208333333328</v>
      </c>
      <c r="V46" s="6">
        <f t="shared" si="3"/>
        <v>43542.208333333328</v>
      </c>
    </row>
    <row r="47" spans="1:22" ht="33.75" x14ac:dyDescent="0.4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12">
        <f t="shared" si="0"/>
        <v>0.4768421052631579</v>
      </c>
      <c r="P47" s="13">
        <f t="shared" si="1"/>
        <v>94.375</v>
      </c>
      <c r="Q47" t="str" cm="1">
        <f t="array" ref="Q47:R47">_xlfn.TEXTSPLIT(N47,"/",,FALSE,,#N/A)</f>
        <v>theater</v>
      </c>
      <c r="R47" t="str">
        <v>plays</v>
      </c>
      <c r="U47" s="6">
        <f t="shared" si="2"/>
        <v>42676.208333333328</v>
      </c>
      <c r="V47" s="6">
        <f t="shared" si="3"/>
        <v>42691.25</v>
      </c>
    </row>
    <row r="48" spans="1:22" ht="19.5" x14ac:dyDescent="0.4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12">
        <f t="shared" si="0"/>
        <v>1.1478378378378378</v>
      </c>
      <c r="P48" s="13">
        <f t="shared" si="1"/>
        <v>46.163043478260867</v>
      </c>
      <c r="Q48" t="str" cm="1">
        <f t="array" ref="Q48:R48">_xlfn.TEXTSPLIT(N48,"/",,FALSE,,#N/A)</f>
        <v>music</v>
      </c>
      <c r="R48" t="str">
        <v>rock</v>
      </c>
      <c r="U48" s="6">
        <f t="shared" si="2"/>
        <v>40367.208333333336</v>
      </c>
      <c r="V48" s="6">
        <f t="shared" si="3"/>
        <v>40390.208333333336</v>
      </c>
    </row>
    <row r="49" spans="1:22" ht="19.5" x14ac:dyDescent="0.4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12">
        <f t="shared" si="0"/>
        <v>4.7526666666666664</v>
      </c>
      <c r="P49" s="13">
        <f t="shared" si="1"/>
        <v>47.845637583892618</v>
      </c>
      <c r="Q49" t="str" cm="1">
        <f t="array" ref="Q49:R49">_xlfn.TEXTSPLIT(N49,"/",,FALSE,,#N/A)</f>
        <v>theater</v>
      </c>
      <c r="R49" t="str">
        <v>plays</v>
      </c>
      <c r="U49" s="6">
        <f t="shared" si="2"/>
        <v>41727.208333333336</v>
      </c>
      <c r="V49" s="6">
        <f t="shared" si="3"/>
        <v>41757.208333333336</v>
      </c>
    </row>
    <row r="50" spans="1:22" ht="19.5" x14ac:dyDescent="0.4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12">
        <f t="shared" si="0"/>
        <v>3.86972972972973</v>
      </c>
      <c r="P50" s="13">
        <f t="shared" si="1"/>
        <v>53.007815713698065</v>
      </c>
      <c r="Q50" t="str" cm="1">
        <f t="array" ref="Q50:R50">_xlfn.TEXTSPLIT(N50,"/",,FALSE,,#N/A)</f>
        <v>theater</v>
      </c>
      <c r="R50" t="str">
        <v>plays</v>
      </c>
      <c r="U50" s="6">
        <f t="shared" si="2"/>
        <v>42180.208333333328</v>
      </c>
      <c r="V50" s="6">
        <f t="shared" si="3"/>
        <v>42192.208333333328</v>
      </c>
    </row>
    <row r="51" spans="1:22" ht="19.5" x14ac:dyDescent="0.4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12">
        <f t="shared" si="0"/>
        <v>1.89625</v>
      </c>
      <c r="P51" s="13">
        <f t="shared" si="1"/>
        <v>45.059405940594061</v>
      </c>
      <c r="Q51" t="str" cm="1">
        <f t="array" ref="Q51:R51">_xlfn.TEXTSPLIT(N51,"/",,FALSE,,#N/A)</f>
        <v>music</v>
      </c>
      <c r="R51" t="str">
        <v>rock</v>
      </c>
      <c r="U51" s="6">
        <f t="shared" si="2"/>
        <v>43758.208333333328</v>
      </c>
      <c r="V51" s="6">
        <f t="shared" si="3"/>
        <v>43803.25</v>
      </c>
    </row>
    <row r="52" spans="1:22" ht="33.75" x14ac:dyDescent="0.4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12">
        <f t="shared" si="0"/>
        <v>0.02</v>
      </c>
      <c r="P52" s="13">
        <f t="shared" si="1"/>
        <v>2</v>
      </c>
      <c r="Q52" t="str" cm="1">
        <f t="array" ref="Q52:R52">_xlfn.TEXTSPLIT(N52,"/",,FALSE,,#N/A)</f>
        <v>music</v>
      </c>
      <c r="R52" t="str">
        <v>metal</v>
      </c>
      <c r="U52" s="6">
        <f t="shared" si="2"/>
        <v>41487.208333333336</v>
      </c>
      <c r="V52" s="6">
        <f t="shared" si="3"/>
        <v>41515.208333333336</v>
      </c>
    </row>
    <row r="53" spans="1:22" ht="19.5" x14ac:dyDescent="0.4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12">
        <f t="shared" si="0"/>
        <v>0.91867805186590767</v>
      </c>
      <c r="P53" s="13">
        <f t="shared" si="1"/>
        <v>99.006816632583508</v>
      </c>
      <c r="Q53" t="str" cm="1">
        <f t="array" ref="Q53:R53">_xlfn.TEXTSPLIT(N53,"/",,FALSE,,#N/A)</f>
        <v>technology</v>
      </c>
      <c r="R53" t="str">
        <v>wearables</v>
      </c>
      <c r="U53" s="6">
        <f t="shared" si="2"/>
        <v>40995.208333333336</v>
      </c>
      <c r="V53" s="6">
        <f t="shared" si="3"/>
        <v>41011.208333333336</v>
      </c>
    </row>
    <row r="54" spans="1:22" ht="19.5" x14ac:dyDescent="0.4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12">
        <f t="shared" si="0"/>
        <v>0.34152777777777776</v>
      </c>
      <c r="P54" s="13">
        <f t="shared" si="1"/>
        <v>32.786666666666669</v>
      </c>
      <c r="Q54" t="str" cm="1">
        <f t="array" ref="Q54:R54">_xlfn.TEXTSPLIT(N54,"/",,FALSE,,#N/A)</f>
        <v>theater</v>
      </c>
      <c r="R54" t="str">
        <v>plays</v>
      </c>
      <c r="U54" s="6">
        <f t="shared" si="2"/>
        <v>40436.208333333336</v>
      </c>
      <c r="V54" s="6">
        <f t="shared" si="3"/>
        <v>40440.208333333336</v>
      </c>
    </row>
    <row r="55" spans="1:22" ht="19.5" x14ac:dyDescent="0.4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12">
        <f t="shared" si="0"/>
        <v>1.4040909090909091</v>
      </c>
      <c r="P55" s="13">
        <f t="shared" si="1"/>
        <v>59.119617224880386</v>
      </c>
      <c r="Q55" t="str" cm="1">
        <f t="array" ref="Q55:R55">_xlfn.TEXTSPLIT(N55,"/",,FALSE,,#N/A)</f>
        <v>film &amp; video</v>
      </c>
      <c r="R55" t="str">
        <v>drama</v>
      </c>
      <c r="U55" s="6">
        <f t="shared" si="2"/>
        <v>41779.208333333336</v>
      </c>
      <c r="V55" s="6">
        <f t="shared" si="3"/>
        <v>41818.208333333336</v>
      </c>
    </row>
    <row r="56" spans="1:22" ht="33.75" x14ac:dyDescent="0.4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12">
        <f t="shared" si="0"/>
        <v>0.89866666666666661</v>
      </c>
      <c r="P56" s="13">
        <f t="shared" si="1"/>
        <v>44.93333333333333</v>
      </c>
      <c r="Q56" t="str" cm="1">
        <f t="array" ref="Q56:R56">_xlfn.TEXTSPLIT(N56,"/",,FALSE,,#N/A)</f>
        <v>technology</v>
      </c>
      <c r="R56" t="str">
        <v>wearables</v>
      </c>
      <c r="U56" s="6">
        <f t="shared" si="2"/>
        <v>43170.25</v>
      </c>
      <c r="V56" s="6">
        <f t="shared" si="3"/>
        <v>43176.208333333328</v>
      </c>
    </row>
    <row r="57" spans="1:22" ht="33.75" x14ac:dyDescent="0.4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12">
        <f t="shared" si="0"/>
        <v>1.7796969696969698</v>
      </c>
      <c r="P57" s="13">
        <f t="shared" si="1"/>
        <v>89.664122137404576</v>
      </c>
      <c r="Q57" t="str" cm="1">
        <f t="array" ref="Q57:R57">_xlfn.TEXTSPLIT(N57,"/",,FALSE,,#N/A)</f>
        <v>music</v>
      </c>
      <c r="R57" t="str">
        <v>jazz</v>
      </c>
      <c r="U57" s="6">
        <f t="shared" si="2"/>
        <v>43311.208333333328</v>
      </c>
      <c r="V57" s="6">
        <f t="shared" si="3"/>
        <v>43316.208333333328</v>
      </c>
    </row>
    <row r="58" spans="1:22" ht="33.75" x14ac:dyDescent="0.4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12">
        <f t="shared" si="0"/>
        <v>1.436625</v>
      </c>
      <c r="P58" s="13">
        <f t="shared" si="1"/>
        <v>70.079268292682926</v>
      </c>
      <c r="Q58" t="str" cm="1">
        <f t="array" ref="Q58:R58">_xlfn.TEXTSPLIT(N58,"/",,FALSE,,#N/A)</f>
        <v>technology</v>
      </c>
      <c r="R58" t="str">
        <v>wearables</v>
      </c>
      <c r="U58" s="6">
        <f t="shared" si="2"/>
        <v>42014.25</v>
      </c>
      <c r="V58" s="6">
        <f t="shared" si="3"/>
        <v>42021.25</v>
      </c>
    </row>
    <row r="59" spans="1:22" ht="19.5" x14ac:dyDescent="0.4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12">
        <f t="shared" si="0"/>
        <v>2.1527586206896552</v>
      </c>
      <c r="P59" s="13">
        <f t="shared" si="1"/>
        <v>31.059701492537314</v>
      </c>
      <c r="Q59" t="str" cm="1">
        <f t="array" ref="Q59:R59">_xlfn.TEXTSPLIT(N59,"/",,FALSE,,#N/A)</f>
        <v>games</v>
      </c>
      <c r="R59" t="str">
        <v>video games</v>
      </c>
      <c r="U59" s="6">
        <f t="shared" si="2"/>
        <v>42979.208333333328</v>
      </c>
      <c r="V59" s="6">
        <f t="shared" si="3"/>
        <v>42991.208333333328</v>
      </c>
    </row>
    <row r="60" spans="1:22" ht="19.5" x14ac:dyDescent="0.4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12">
        <f t="shared" si="0"/>
        <v>2.2711111111111113</v>
      </c>
      <c r="P60" s="13">
        <f t="shared" si="1"/>
        <v>29.061611374407583</v>
      </c>
      <c r="Q60" t="str" cm="1">
        <f t="array" ref="Q60:R60">_xlfn.TEXTSPLIT(N60,"/",,FALSE,,#N/A)</f>
        <v>theater</v>
      </c>
      <c r="R60" t="str">
        <v>plays</v>
      </c>
      <c r="U60" s="6">
        <f t="shared" si="2"/>
        <v>42268.208333333328</v>
      </c>
      <c r="V60" s="6">
        <f t="shared" si="3"/>
        <v>42281.208333333328</v>
      </c>
    </row>
    <row r="61" spans="1:22" ht="19.5" x14ac:dyDescent="0.4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12">
        <f t="shared" si="0"/>
        <v>2.7507142857142859</v>
      </c>
      <c r="P61" s="13">
        <f t="shared" si="1"/>
        <v>30.0859375</v>
      </c>
      <c r="Q61" t="str" cm="1">
        <f t="array" ref="Q61:R61">_xlfn.TEXTSPLIT(N61,"/",,FALSE,,#N/A)</f>
        <v>theater</v>
      </c>
      <c r="R61" t="str">
        <v>plays</v>
      </c>
      <c r="U61" s="6">
        <f t="shared" si="2"/>
        <v>42898.208333333328</v>
      </c>
      <c r="V61" s="6">
        <f t="shared" si="3"/>
        <v>42913.208333333328</v>
      </c>
    </row>
    <row r="62" spans="1:22" ht="19.5" x14ac:dyDescent="0.4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12">
        <f t="shared" si="0"/>
        <v>1.4437048832271762</v>
      </c>
      <c r="P62" s="13">
        <f t="shared" si="1"/>
        <v>84.998125000000002</v>
      </c>
      <c r="Q62" t="str" cm="1">
        <f t="array" ref="Q62:R62">_xlfn.TEXTSPLIT(N62,"/",,FALSE,,#N/A)</f>
        <v>theater</v>
      </c>
      <c r="R62" t="str">
        <v>plays</v>
      </c>
      <c r="U62" s="6">
        <f t="shared" si="2"/>
        <v>41107.208333333336</v>
      </c>
      <c r="V62" s="6">
        <f t="shared" si="3"/>
        <v>41110.208333333336</v>
      </c>
    </row>
    <row r="63" spans="1:22" ht="33.75" x14ac:dyDescent="0.4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12">
        <f t="shared" si="0"/>
        <v>0.92745983935742971</v>
      </c>
      <c r="P63" s="13">
        <f t="shared" si="1"/>
        <v>82.001775410563695</v>
      </c>
      <c r="Q63" t="str" cm="1">
        <f t="array" ref="Q63:R63">_xlfn.TEXTSPLIT(N63,"/",,FALSE,,#N/A)</f>
        <v>theater</v>
      </c>
      <c r="R63" t="str">
        <v>plays</v>
      </c>
      <c r="U63" s="6">
        <f t="shared" si="2"/>
        <v>40595.25</v>
      </c>
      <c r="V63" s="6">
        <f t="shared" si="3"/>
        <v>40635.208333333336</v>
      </c>
    </row>
    <row r="64" spans="1:22" ht="19.5" x14ac:dyDescent="0.4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12">
        <f t="shared" si="0"/>
        <v>7.226</v>
      </c>
      <c r="P64" s="13">
        <f t="shared" si="1"/>
        <v>58.040160642570278</v>
      </c>
      <c r="Q64" t="str" cm="1">
        <f t="array" ref="Q64:R64">_xlfn.TEXTSPLIT(N64,"/",,FALSE,,#N/A)</f>
        <v>technology</v>
      </c>
      <c r="R64" t="str">
        <v>web</v>
      </c>
      <c r="U64" s="6">
        <f t="shared" si="2"/>
        <v>42160.208333333328</v>
      </c>
      <c r="V64" s="6">
        <f t="shared" si="3"/>
        <v>42161.208333333328</v>
      </c>
    </row>
    <row r="65" spans="1:22" ht="19.5" x14ac:dyDescent="0.4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12">
        <f t="shared" si="0"/>
        <v>0.11851063829787234</v>
      </c>
      <c r="P65" s="13">
        <f t="shared" si="1"/>
        <v>111.4</v>
      </c>
      <c r="Q65" t="str" cm="1">
        <f t="array" ref="Q65:R65">_xlfn.TEXTSPLIT(N65,"/",,FALSE,,#N/A)</f>
        <v>theater</v>
      </c>
      <c r="R65" t="str">
        <v>plays</v>
      </c>
      <c r="U65" s="6">
        <f t="shared" si="2"/>
        <v>42853.208333333328</v>
      </c>
      <c r="V65" s="6">
        <f t="shared" si="3"/>
        <v>42859.208333333328</v>
      </c>
    </row>
    <row r="66" spans="1:22" ht="19.5" x14ac:dyDescent="0.4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12">
        <f t="shared" si="0"/>
        <v>0.97642857142857142</v>
      </c>
      <c r="P66" s="13">
        <f t="shared" si="1"/>
        <v>71.94736842105263</v>
      </c>
      <c r="Q66" t="str" cm="1">
        <f t="array" ref="Q66:R66">_xlfn.TEXTSPLIT(N66,"/",,FALSE,,#N/A)</f>
        <v>technology</v>
      </c>
      <c r="R66" t="str">
        <v>web</v>
      </c>
      <c r="U66" s="6">
        <f t="shared" si="2"/>
        <v>43283.208333333328</v>
      </c>
      <c r="V66" s="6">
        <f t="shared" si="3"/>
        <v>43298.208333333328</v>
      </c>
    </row>
    <row r="67" spans="1:22" ht="19.5" x14ac:dyDescent="0.4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12">
        <f t="shared" ref="O67:O130" si="4">E67/D67</f>
        <v>2.3614754098360655</v>
      </c>
      <c r="P67" s="13">
        <f t="shared" ref="P67:P130" si="5">E67/G67</f>
        <v>61.038135593220339</v>
      </c>
      <c r="Q67" t="str" cm="1">
        <f t="array" ref="Q67:R67">_xlfn.TEXTSPLIT(N67,"/",,FALSE,,#N/A)</f>
        <v>theater</v>
      </c>
      <c r="R67" t="str">
        <v>plays</v>
      </c>
      <c r="U67" s="6">
        <f t="shared" ref="U67:U130" si="6">(((J67/60)/60)/24)+DATE(1970,1,1)</f>
        <v>40570.25</v>
      </c>
      <c r="V67" s="6">
        <f t="shared" ref="V67:V130" si="7">(((K67/60)/60)/24)+DATE(1970,1,1)</f>
        <v>40577.25</v>
      </c>
    </row>
    <row r="68" spans="1:22" ht="19.5" x14ac:dyDescent="0.4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12">
        <f t="shared" si="4"/>
        <v>0.45068965517241377</v>
      </c>
      <c r="P68" s="13">
        <f t="shared" si="5"/>
        <v>108.91666666666667</v>
      </c>
      <c r="Q68" t="str" cm="1">
        <f t="array" ref="Q68:R68">_xlfn.TEXTSPLIT(N68,"/",,FALSE,,#N/A)</f>
        <v>theater</v>
      </c>
      <c r="R68" t="str">
        <v>plays</v>
      </c>
      <c r="U68" s="6">
        <f t="shared" si="6"/>
        <v>42102.208333333328</v>
      </c>
      <c r="V68" s="6">
        <f t="shared" si="7"/>
        <v>42107.208333333328</v>
      </c>
    </row>
    <row r="69" spans="1:22" ht="33.75" x14ac:dyDescent="0.4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12">
        <f t="shared" si="4"/>
        <v>1.6238567493112948</v>
      </c>
      <c r="P69" s="13">
        <f t="shared" si="5"/>
        <v>29.001722017220171</v>
      </c>
      <c r="Q69" t="str" cm="1">
        <f t="array" ref="Q69:R69">_xlfn.TEXTSPLIT(N69,"/",,FALSE,,#N/A)</f>
        <v>technology</v>
      </c>
      <c r="R69" t="str">
        <v>wearables</v>
      </c>
      <c r="U69" s="6">
        <f t="shared" si="6"/>
        <v>40203.25</v>
      </c>
      <c r="V69" s="6">
        <f t="shared" si="7"/>
        <v>40208.25</v>
      </c>
    </row>
    <row r="70" spans="1:22" ht="19.5" x14ac:dyDescent="0.4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12">
        <f t="shared" si="4"/>
        <v>2.5452631578947367</v>
      </c>
      <c r="P70" s="13">
        <f t="shared" si="5"/>
        <v>58.975609756097562</v>
      </c>
      <c r="Q70" t="str" cm="1">
        <f t="array" ref="Q70:R70">_xlfn.TEXTSPLIT(N70,"/",,FALSE,,#N/A)</f>
        <v>theater</v>
      </c>
      <c r="R70" t="str">
        <v>plays</v>
      </c>
      <c r="U70" s="6">
        <f t="shared" si="6"/>
        <v>42943.208333333328</v>
      </c>
      <c r="V70" s="6">
        <f t="shared" si="7"/>
        <v>42990.208333333328</v>
      </c>
    </row>
    <row r="71" spans="1:22" ht="19.5" x14ac:dyDescent="0.4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12">
        <f t="shared" si="4"/>
        <v>0.24063291139240506</v>
      </c>
      <c r="P71" s="13">
        <f t="shared" si="5"/>
        <v>111.82352941176471</v>
      </c>
      <c r="Q71" t="str" cm="1">
        <f t="array" ref="Q71:R71">_xlfn.TEXTSPLIT(N71,"/",,FALSE,,#N/A)</f>
        <v>theater</v>
      </c>
      <c r="R71" t="str">
        <v>plays</v>
      </c>
      <c r="U71" s="6">
        <f t="shared" si="6"/>
        <v>40531.25</v>
      </c>
      <c r="V71" s="6">
        <f t="shared" si="7"/>
        <v>40565.25</v>
      </c>
    </row>
    <row r="72" spans="1:22" ht="19.5" x14ac:dyDescent="0.4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12">
        <f t="shared" si="4"/>
        <v>1.2374140625000001</v>
      </c>
      <c r="P72" s="13">
        <f t="shared" si="5"/>
        <v>63.995555555555555</v>
      </c>
      <c r="Q72" t="str" cm="1">
        <f t="array" ref="Q72:R72">_xlfn.TEXTSPLIT(N72,"/",,FALSE,,#N/A)</f>
        <v>theater</v>
      </c>
      <c r="R72" t="str">
        <v>plays</v>
      </c>
      <c r="U72" s="6">
        <f t="shared" si="6"/>
        <v>40484.208333333336</v>
      </c>
      <c r="V72" s="6">
        <f t="shared" si="7"/>
        <v>40533.25</v>
      </c>
    </row>
    <row r="73" spans="1:22" ht="33.75" x14ac:dyDescent="0.4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12">
        <f t="shared" si="4"/>
        <v>1.0806666666666667</v>
      </c>
      <c r="P73" s="13">
        <f t="shared" si="5"/>
        <v>85.315789473684205</v>
      </c>
      <c r="Q73" t="str" cm="1">
        <f t="array" ref="Q73:R73">_xlfn.TEXTSPLIT(N73,"/",,FALSE,,#N/A)</f>
        <v>theater</v>
      </c>
      <c r="R73" t="str">
        <v>plays</v>
      </c>
      <c r="U73" s="6">
        <f t="shared" si="6"/>
        <v>43799.25</v>
      </c>
      <c r="V73" s="6">
        <f t="shared" si="7"/>
        <v>43803.25</v>
      </c>
    </row>
    <row r="74" spans="1:22" ht="19.5" x14ac:dyDescent="0.4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12">
        <f t="shared" si="4"/>
        <v>6.7033333333333331</v>
      </c>
      <c r="P74" s="13">
        <f t="shared" si="5"/>
        <v>74.481481481481481</v>
      </c>
      <c r="Q74" t="str" cm="1">
        <f t="array" ref="Q74:R74">_xlfn.TEXTSPLIT(N74,"/",,FALSE,,#N/A)</f>
        <v>film &amp; video</v>
      </c>
      <c r="R74" t="str">
        <v>animation</v>
      </c>
      <c r="U74" s="6">
        <f t="shared" si="6"/>
        <v>42186.208333333328</v>
      </c>
      <c r="V74" s="6">
        <f t="shared" si="7"/>
        <v>42222.208333333328</v>
      </c>
    </row>
    <row r="75" spans="1:22" ht="19.5" x14ac:dyDescent="0.4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12">
        <f t="shared" si="4"/>
        <v>6.609285714285714</v>
      </c>
      <c r="P75" s="13">
        <f t="shared" si="5"/>
        <v>105.14772727272727</v>
      </c>
      <c r="Q75" t="str" cm="1">
        <f t="array" ref="Q75:R75">_xlfn.TEXTSPLIT(N75,"/",,FALSE,,#N/A)</f>
        <v>music</v>
      </c>
      <c r="R75" t="str">
        <v>jazz</v>
      </c>
      <c r="U75" s="6">
        <f t="shared" si="6"/>
        <v>42701.25</v>
      </c>
      <c r="V75" s="6">
        <f t="shared" si="7"/>
        <v>42704.25</v>
      </c>
    </row>
    <row r="76" spans="1:22" ht="19.5" x14ac:dyDescent="0.4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12">
        <f t="shared" si="4"/>
        <v>1.2246153846153847</v>
      </c>
      <c r="P76" s="13">
        <f t="shared" si="5"/>
        <v>56.188235294117646</v>
      </c>
      <c r="Q76" t="str" cm="1">
        <f t="array" ref="Q76:R76">_xlfn.TEXTSPLIT(N76,"/",,FALSE,,#N/A)</f>
        <v>music</v>
      </c>
      <c r="R76" t="str">
        <v>metal</v>
      </c>
      <c r="U76" s="6">
        <f t="shared" si="6"/>
        <v>42456.208333333328</v>
      </c>
      <c r="V76" s="6">
        <f t="shared" si="7"/>
        <v>42457.208333333328</v>
      </c>
    </row>
    <row r="77" spans="1:22" ht="19.5" x14ac:dyDescent="0.4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12">
        <f t="shared" si="4"/>
        <v>1.5057731958762886</v>
      </c>
      <c r="P77" s="13">
        <f t="shared" si="5"/>
        <v>85.917647058823533</v>
      </c>
      <c r="Q77" t="str" cm="1">
        <f t="array" ref="Q77:R77">_xlfn.TEXTSPLIT(N77,"/",,FALSE,,#N/A)</f>
        <v>photography</v>
      </c>
      <c r="R77" t="str">
        <v>photography books</v>
      </c>
      <c r="U77" s="6">
        <f t="shared" si="6"/>
        <v>43296.208333333328</v>
      </c>
      <c r="V77" s="6">
        <f t="shared" si="7"/>
        <v>43304.208333333328</v>
      </c>
    </row>
    <row r="78" spans="1:22" ht="19.5" x14ac:dyDescent="0.4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12">
        <f t="shared" si="4"/>
        <v>0.78106590724165992</v>
      </c>
      <c r="P78" s="13">
        <f t="shared" si="5"/>
        <v>57.00296912114014</v>
      </c>
      <c r="Q78" t="str" cm="1">
        <f t="array" ref="Q78:R78">_xlfn.TEXTSPLIT(N78,"/",,FALSE,,#N/A)</f>
        <v>theater</v>
      </c>
      <c r="R78" t="str">
        <v>plays</v>
      </c>
      <c r="U78" s="6">
        <f t="shared" si="6"/>
        <v>42027.25</v>
      </c>
      <c r="V78" s="6">
        <f t="shared" si="7"/>
        <v>42076.208333333328</v>
      </c>
    </row>
    <row r="79" spans="1:22" ht="19.5" x14ac:dyDescent="0.4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12">
        <f t="shared" si="4"/>
        <v>0.46947368421052632</v>
      </c>
      <c r="P79" s="13">
        <f t="shared" si="5"/>
        <v>79.642857142857139</v>
      </c>
      <c r="Q79" t="str" cm="1">
        <f t="array" ref="Q79:R79">_xlfn.TEXTSPLIT(N79,"/",,FALSE,,#N/A)</f>
        <v>film &amp; video</v>
      </c>
      <c r="R79" t="str">
        <v>animation</v>
      </c>
      <c r="U79" s="6">
        <f t="shared" si="6"/>
        <v>40448.208333333336</v>
      </c>
      <c r="V79" s="6">
        <f t="shared" si="7"/>
        <v>40462.208333333336</v>
      </c>
    </row>
    <row r="80" spans="1:22" ht="19.5" x14ac:dyDescent="0.4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12">
        <f t="shared" si="4"/>
        <v>3.008</v>
      </c>
      <c r="P80" s="13">
        <f t="shared" si="5"/>
        <v>41.018181818181816</v>
      </c>
      <c r="Q80" t="str" cm="1">
        <f t="array" ref="Q80:R80">_xlfn.TEXTSPLIT(N80,"/",,FALSE,,#N/A)</f>
        <v>publishing</v>
      </c>
      <c r="R80" t="str">
        <v>translations</v>
      </c>
      <c r="U80" s="6">
        <f t="shared" si="6"/>
        <v>43206.208333333328</v>
      </c>
      <c r="V80" s="6">
        <f t="shared" si="7"/>
        <v>43207.208333333328</v>
      </c>
    </row>
    <row r="81" spans="1:22" ht="19.5" x14ac:dyDescent="0.4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12">
        <f t="shared" si="4"/>
        <v>0.6959861591695502</v>
      </c>
      <c r="P81" s="13">
        <f t="shared" si="5"/>
        <v>48.004773269689736</v>
      </c>
      <c r="Q81" t="str" cm="1">
        <f t="array" ref="Q81:R81">_xlfn.TEXTSPLIT(N81,"/",,FALSE,,#N/A)</f>
        <v>theater</v>
      </c>
      <c r="R81" t="str">
        <v>plays</v>
      </c>
      <c r="U81" s="6">
        <f t="shared" si="6"/>
        <v>43267.208333333328</v>
      </c>
      <c r="V81" s="6">
        <f t="shared" si="7"/>
        <v>43272.208333333328</v>
      </c>
    </row>
    <row r="82" spans="1:22" ht="19.5" x14ac:dyDescent="0.4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12">
        <f t="shared" si="4"/>
        <v>6.374545454545455</v>
      </c>
      <c r="P82" s="13">
        <f t="shared" si="5"/>
        <v>55.212598425196852</v>
      </c>
      <c r="Q82" t="str" cm="1">
        <f t="array" ref="Q82:R82">_xlfn.TEXTSPLIT(N82,"/",,FALSE,,#N/A)</f>
        <v>games</v>
      </c>
      <c r="R82" t="str">
        <v>video games</v>
      </c>
      <c r="U82" s="6">
        <f t="shared" si="6"/>
        <v>42976.208333333328</v>
      </c>
      <c r="V82" s="6">
        <f t="shared" si="7"/>
        <v>43006.208333333328</v>
      </c>
    </row>
    <row r="83" spans="1:22" ht="19.5" x14ac:dyDescent="0.4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12">
        <f t="shared" si="4"/>
        <v>2.253392857142857</v>
      </c>
      <c r="P83" s="13">
        <f t="shared" si="5"/>
        <v>92.109489051094897</v>
      </c>
      <c r="Q83" t="str" cm="1">
        <f t="array" ref="Q83:R83">_xlfn.TEXTSPLIT(N83,"/",,FALSE,,#N/A)</f>
        <v>music</v>
      </c>
      <c r="R83" t="str">
        <v>rock</v>
      </c>
      <c r="U83" s="6">
        <f t="shared" si="6"/>
        <v>43062.25</v>
      </c>
      <c r="V83" s="6">
        <f t="shared" si="7"/>
        <v>43087.25</v>
      </c>
    </row>
    <row r="84" spans="1:22" ht="19.5" x14ac:dyDescent="0.4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12">
        <f t="shared" si="4"/>
        <v>14.973000000000001</v>
      </c>
      <c r="P84" s="13">
        <f t="shared" si="5"/>
        <v>83.183333333333337</v>
      </c>
      <c r="Q84" t="str" cm="1">
        <f t="array" ref="Q84:R84">_xlfn.TEXTSPLIT(N84,"/",,FALSE,,#N/A)</f>
        <v>games</v>
      </c>
      <c r="R84" t="str">
        <v>video games</v>
      </c>
      <c r="U84" s="6">
        <f t="shared" si="6"/>
        <v>43482.25</v>
      </c>
      <c r="V84" s="6">
        <f t="shared" si="7"/>
        <v>43489.25</v>
      </c>
    </row>
    <row r="85" spans="1:22" ht="19.5" x14ac:dyDescent="0.4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12">
        <f t="shared" si="4"/>
        <v>0.37590225563909774</v>
      </c>
      <c r="P85" s="13">
        <f t="shared" si="5"/>
        <v>39.996000000000002</v>
      </c>
      <c r="Q85" t="str" cm="1">
        <f t="array" ref="Q85:R85">_xlfn.TEXTSPLIT(N85,"/",,FALSE,,#N/A)</f>
        <v>music</v>
      </c>
      <c r="R85" t="str">
        <v>electric music</v>
      </c>
      <c r="U85" s="6">
        <f t="shared" si="6"/>
        <v>42579.208333333328</v>
      </c>
      <c r="V85" s="6">
        <f t="shared" si="7"/>
        <v>42601.208333333328</v>
      </c>
    </row>
    <row r="86" spans="1:22" ht="19.5" x14ac:dyDescent="0.4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12">
        <f t="shared" si="4"/>
        <v>1.3236942675159236</v>
      </c>
      <c r="P86" s="13">
        <f t="shared" si="5"/>
        <v>111.1336898395722</v>
      </c>
      <c r="Q86" t="str" cm="1">
        <f t="array" ref="Q86:R86">_xlfn.TEXTSPLIT(N86,"/",,FALSE,,#N/A)</f>
        <v>technology</v>
      </c>
      <c r="R86" t="str">
        <v>wearables</v>
      </c>
      <c r="U86" s="6">
        <f t="shared" si="6"/>
        <v>41118.208333333336</v>
      </c>
      <c r="V86" s="6">
        <f t="shared" si="7"/>
        <v>41128.208333333336</v>
      </c>
    </row>
    <row r="87" spans="1:22" ht="19.5" x14ac:dyDescent="0.4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12">
        <f t="shared" si="4"/>
        <v>1.3122448979591836</v>
      </c>
      <c r="P87" s="13">
        <f t="shared" si="5"/>
        <v>90.563380281690144</v>
      </c>
      <c r="Q87" t="str" cm="1">
        <f t="array" ref="Q87:R87">_xlfn.TEXTSPLIT(N87,"/",,FALSE,,#N/A)</f>
        <v>music</v>
      </c>
      <c r="R87" t="str">
        <v>indie rock</v>
      </c>
      <c r="U87" s="6">
        <f t="shared" si="6"/>
        <v>40797.208333333336</v>
      </c>
      <c r="V87" s="6">
        <f t="shared" si="7"/>
        <v>40805.208333333336</v>
      </c>
    </row>
    <row r="88" spans="1:22" ht="19.5" x14ac:dyDescent="0.4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12">
        <f t="shared" si="4"/>
        <v>1.6763513513513513</v>
      </c>
      <c r="P88" s="13">
        <f t="shared" si="5"/>
        <v>61.108374384236456</v>
      </c>
      <c r="Q88" t="str" cm="1">
        <f t="array" ref="Q88:R88">_xlfn.TEXTSPLIT(N88,"/",,FALSE,,#N/A)</f>
        <v>theater</v>
      </c>
      <c r="R88" t="str">
        <v>plays</v>
      </c>
      <c r="U88" s="6">
        <f t="shared" si="6"/>
        <v>42128.208333333328</v>
      </c>
      <c r="V88" s="6">
        <f t="shared" si="7"/>
        <v>42141.208333333328</v>
      </c>
    </row>
    <row r="89" spans="1:22" ht="33.75" x14ac:dyDescent="0.4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12">
        <f t="shared" si="4"/>
        <v>0.6198488664987406</v>
      </c>
      <c r="P89" s="13">
        <f t="shared" si="5"/>
        <v>83.022941970310384</v>
      </c>
      <c r="Q89" t="str" cm="1">
        <f t="array" ref="Q89:R89">_xlfn.TEXTSPLIT(N89,"/",,FALSE,,#N/A)</f>
        <v>music</v>
      </c>
      <c r="R89" t="str">
        <v>rock</v>
      </c>
      <c r="U89" s="6">
        <f t="shared" si="6"/>
        <v>40610.25</v>
      </c>
      <c r="V89" s="6">
        <f t="shared" si="7"/>
        <v>40621.208333333336</v>
      </c>
    </row>
    <row r="90" spans="1:22" ht="19.5" x14ac:dyDescent="0.4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12">
        <f t="shared" si="4"/>
        <v>2.6074999999999999</v>
      </c>
      <c r="P90" s="13">
        <f t="shared" si="5"/>
        <v>110.76106194690266</v>
      </c>
      <c r="Q90" t="str" cm="1">
        <f t="array" ref="Q90:R90">_xlfn.TEXTSPLIT(N90,"/",,FALSE,,#N/A)</f>
        <v>publishing</v>
      </c>
      <c r="R90" t="str">
        <v>translations</v>
      </c>
      <c r="U90" s="6">
        <f t="shared" si="6"/>
        <v>42110.208333333328</v>
      </c>
      <c r="V90" s="6">
        <f t="shared" si="7"/>
        <v>42132.208333333328</v>
      </c>
    </row>
    <row r="91" spans="1:22" ht="19.5" x14ac:dyDescent="0.4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12">
        <f t="shared" si="4"/>
        <v>2.5258823529411765</v>
      </c>
      <c r="P91" s="13">
        <f t="shared" si="5"/>
        <v>89.458333333333329</v>
      </c>
      <c r="Q91" t="str" cm="1">
        <f t="array" ref="Q91:R91">_xlfn.TEXTSPLIT(N91,"/",,FALSE,,#N/A)</f>
        <v>theater</v>
      </c>
      <c r="R91" t="str">
        <v>plays</v>
      </c>
      <c r="U91" s="6">
        <f t="shared" si="6"/>
        <v>40283.208333333336</v>
      </c>
      <c r="V91" s="6">
        <f t="shared" si="7"/>
        <v>40285.208333333336</v>
      </c>
    </row>
    <row r="92" spans="1:22" ht="19.5" x14ac:dyDescent="0.4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12">
        <f t="shared" si="4"/>
        <v>0.7861538461538462</v>
      </c>
      <c r="P92" s="13">
        <f t="shared" si="5"/>
        <v>57.849056603773583</v>
      </c>
      <c r="Q92" t="str" cm="1">
        <f t="array" ref="Q92:R92">_xlfn.TEXTSPLIT(N92,"/",,FALSE,,#N/A)</f>
        <v>theater</v>
      </c>
      <c r="R92" t="str">
        <v>plays</v>
      </c>
      <c r="U92" s="6">
        <f t="shared" si="6"/>
        <v>42425.25</v>
      </c>
      <c r="V92" s="6">
        <f t="shared" si="7"/>
        <v>42425.25</v>
      </c>
    </row>
    <row r="93" spans="1:22" ht="19.5" x14ac:dyDescent="0.4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12">
        <f t="shared" si="4"/>
        <v>0.48404406999351912</v>
      </c>
      <c r="P93" s="13">
        <f t="shared" si="5"/>
        <v>109.99705449189985</v>
      </c>
      <c r="Q93" t="str" cm="1">
        <f t="array" ref="Q93:R93">_xlfn.TEXTSPLIT(N93,"/",,FALSE,,#N/A)</f>
        <v>publishing</v>
      </c>
      <c r="R93" t="str">
        <v>translations</v>
      </c>
      <c r="U93" s="6">
        <f t="shared" si="6"/>
        <v>42588.208333333328</v>
      </c>
      <c r="V93" s="6">
        <f t="shared" si="7"/>
        <v>42616.208333333328</v>
      </c>
    </row>
    <row r="94" spans="1:22" ht="33.75" x14ac:dyDescent="0.4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12">
        <f t="shared" si="4"/>
        <v>2.5887500000000001</v>
      </c>
      <c r="P94" s="13">
        <f t="shared" si="5"/>
        <v>103.96586345381526</v>
      </c>
      <c r="Q94" t="str" cm="1">
        <f t="array" ref="Q94:R94">_xlfn.TEXTSPLIT(N94,"/",,FALSE,,#N/A)</f>
        <v>games</v>
      </c>
      <c r="R94" t="str">
        <v>video games</v>
      </c>
      <c r="U94" s="6">
        <f t="shared" si="6"/>
        <v>40352.208333333336</v>
      </c>
      <c r="V94" s="6">
        <f t="shared" si="7"/>
        <v>40353.208333333336</v>
      </c>
    </row>
    <row r="95" spans="1:22" ht="19.5" x14ac:dyDescent="0.4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12">
        <f t="shared" si="4"/>
        <v>0.60548713235294116</v>
      </c>
      <c r="P95" s="13">
        <f t="shared" si="5"/>
        <v>107.99508196721311</v>
      </c>
      <c r="Q95" t="str" cm="1">
        <f t="array" ref="Q95:R95">_xlfn.TEXTSPLIT(N95,"/",,FALSE,,#N/A)</f>
        <v>theater</v>
      </c>
      <c r="R95" t="str">
        <v>plays</v>
      </c>
      <c r="U95" s="6">
        <f t="shared" si="6"/>
        <v>41202.208333333336</v>
      </c>
      <c r="V95" s="6">
        <f t="shared" si="7"/>
        <v>41206.208333333336</v>
      </c>
    </row>
    <row r="96" spans="1:22" ht="19.5" x14ac:dyDescent="0.4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12">
        <f t="shared" si="4"/>
        <v>3.036896551724138</v>
      </c>
      <c r="P96" s="13">
        <f t="shared" si="5"/>
        <v>48.927777777777777</v>
      </c>
      <c r="Q96" t="str" cm="1">
        <f t="array" ref="Q96:R96">_xlfn.TEXTSPLIT(N96,"/",,FALSE,,#N/A)</f>
        <v>technology</v>
      </c>
      <c r="R96" t="str">
        <v>web</v>
      </c>
      <c r="U96" s="6">
        <f t="shared" si="6"/>
        <v>43562.208333333328</v>
      </c>
      <c r="V96" s="6">
        <f t="shared" si="7"/>
        <v>43573.208333333328</v>
      </c>
    </row>
    <row r="97" spans="1:22" ht="33.75" x14ac:dyDescent="0.4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12">
        <f t="shared" si="4"/>
        <v>1.1299999999999999</v>
      </c>
      <c r="P97" s="13">
        <f t="shared" si="5"/>
        <v>37.666666666666664</v>
      </c>
      <c r="Q97" t="str" cm="1">
        <f t="array" ref="Q97:R97">_xlfn.TEXTSPLIT(N97,"/",,FALSE,,#N/A)</f>
        <v>film &amp; video</v>
      </c>
      <c r="R97" t="str">
        <v>documentary</v>
      </c>
      <c r="U97" s="6">
        <f t="shared" si="6"/>
        <v>43752.208333333328</v>
      </c>
      <c r="V97" s="6">
        <f t="shared" si="7"/>
        <v>43759.208333333328</v>
      </c>
    </row>
    <row r="98" spans="1:22" ht="19.5" x14ac:dyDescent="0.4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12">
        <f t="shared" si="4"/>
        <v>2.1737876614060259</v>
      </c>
      <c r="P98" s="13">
        <f t="shared" si="5"/>
        <v>64.999141999141997</v>
      </c>
      <c r="Q98" t="str" cm="1">
        <f t="array" ref="Q98:R98">_xlfn.TEXTSPLIT(N98,"/",,FALSE,,#N/A)</f>
        <v>theater</v>
      </c>
      <c r="R98" t="str">
        <v>plays</v>
      </c>
      <c r="U98" s="6">
        <f t="shared" si="6"/>
        <v>40612.25</v>
      </c>
      <c r="V98" s="6">
        <f t="shared" si="7"/>
        <v>40625.208333333336</v>
      </c>
    </row>
    <row r="99" spans="1:22" ht="19.5" x14ac:dyDescent="0.4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12">
        <f t="shared" si="4"/>
        <v>9.2669230769230762</v>
      </c>
      <c r="P99" s="13">
        <f t="shared" si="5"/>
        <v>106.61061946902655</v>
      </c>
      <c r="Q99" t="str" cm="1">
        <f t="array" ref="Q99:R99">_xlfn.TEXTSPLIT(N99,"/",,FALSE,,#N/A)</f>
        <v>food</v>
      </c>
      <c r="R99" t="str">
        <v>food trucks</v>
      </c>
      <c r="U99" s="6">
        <f t="shared" si="6"/>
        <v>42180.208333333328</v>
      </c>
      <c r="V99" s="6">
        <f t="shared" si="7"/>
        <v>42234.208333333328</v>
      </c>
    </row>
    <row r="100" spans="1:22" ht="19.5" x14ac:dyDescent="0.4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12">
        <f t="shared" si="4"/>
        <v>0.33692229038854804</v>
      </c>
      <c r="P100" s="13">
        <f t="shared" si="5"/>
        <v>27.009016393442622</v>
      </c>
      <c r="Q100" t="str" cm="1">
        <f t="array" ref="Q100:R100">_xlfn.TEXTSPLIT(N100,"/",,FALSE,,#N/A)</f>
        <v>games</v>
      </c>
      <c r="R100" t="str">
        <v>video games</v>
      </c>
      <c r="U100" s="6">
        <f t="shared" si="6"/>
        <v>42212.208333333328</v>
      </c>
      <c r="V100" s="6">
        <f t="shared" si="7"/>
        <v>42216.208333333328</v>
      </c>
    </row>
    <row r="101" spans="1:22" ht="19.5" x14ac:dyDescent="0.4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12">
        <f t="shared" si="4"/>
        <v>1.9672368421052631</v>
      </c>
      <c r="P101" s="13">
        <f t="shared" si="5"/>
        <v>91.16463414634147</v>
      </c>
      <c r="Q101" t="str" cm="1">
        <f t="array" ref="Q101:R101">_xlfn.TEXTSPLIT(N101,"/",,FALSE,,#N/A)</f>
        <v>theater</v>
      </c>
      <c r="R101" t="str">
        <v>plays</v>
      </c>
      <c r="U101" s="6">
        <f t="shared" si="6"/>
        <v>41968.25</v>
      </c>
      <c r="V101" s="6">
        <f t="shared" si="7"/>
        <v>41997.25</v>
      </c>
    </row>
    <row r="102" spans="1:22" ht="19.5" x14ac:dyDescent="0.4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12">
        <f t="shared" si="4"/>
        <v>0.01</v>
      </c>
      <c r="P102" s="13">
        <f t="shared" si="5"/>
        <v>1</v>
      </c>
      <c r="Q102" t="str" cm="1">
        <f t="array" ref="Q102:R102">_xlfn.TEXTSPLIT(N102,"/",,FALSE,,#N/A)</f>
        <v>theater</v>
      </c>
      <c r="R102" t="str">
        <v>plays</v>
      </c>
      <c r="U102" s="6">
        <f t="shared" si="6"/>
        <v>40835.208333333336</v>
      </c>
      <c r="V102" s="6">
        <f t="shared" si="7"/>
        <v>40853.208333333336</v>
      </c>
    </row>
    <row r="103" spans="1:22" ht="19.5" x14ac:dyDescent="0.4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12">
        <f t="shared" si="4"/>
        <v>10.214444444444444</v>
      </c>
      <c r="P103" s="13">
        <f t="shared" si="5"/>
        <v>56.054878048780488</v>
      </c>
      <c r="Q103" t="str" cm="1">
        <f t="array" ref="Q103:R103">_xlfn.TEXTSPLIT(N103,"/",,FALSE,,#N/A)</f>
        <v>music</v>
      </c>
      <c r="R103" t="str">
        <v>electric music</v>
      </c>
      <c r="U103" s="6">
        <f t="shared" si="6"/>
        <v>42056.25</v>
      </c>
      <c r="V103" s="6">
        <f t="shared" si="7"/>
        <v>42063.25</v>
      </c>
    </row>
    <row r="104" spans="1:22" ht="19.5" x14ac:dyDescent="0.4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12">
        <f t="shared" si="4"/>
        <v>2.8167567567567566</v>
      </c>
      <c r="P104" s="13">
        <f t="shared" si="5"/>
        <v>31.017857142857142</v>
      </c>
      <c r="Q104" t="str" cm="1">
        <f t="array" ref="Q104:R104">_xlfn.TEXTSPLIT(N104,"/",,FALSE,,#N/A)</f>
        <v>technology</v>
      </c>
      <c r="R104" t="str">
        <v>wearables</v>
      </c>
      <c r="U104" s="6">
        <f t="shared" si="6"/>
        <v>43234.208333333328</v>
      </c>
      <c r="V104" s="6">
        <f t="shared" si="7"/>
        <v>43241.208333333328</v>
      </c>
    </row>
    <row r="105" spans="1:22" ht="19.5" x14ac:dyDescent="0.4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12">
        <f t="shared" si="4"/>
        <v>0.24610000000000001</v>
      </c>
      <c r="P105" s="13">
        <f t="shared" si="5"/>
        <v>66.513513513513516</v>
      </c>
      <c r="Q105" t="str" cm="1">
        <f t="array" ref="Q105:R105">_xlfn.TEXTSPLIT(N105,"/",,FALSE,,#N/A)</f>
        <v>music</v>
      </c>
      <c r="R105" t="str">
        <v>electric music</v>
      </c>
      <c r="U105" s="6">
        <f t="shared" si="6"/>
        <v>40475.208333333336</v>
      </c>
      <c r="V105" s="6">
        <f t="shared" si="7"/>
        <v>40484.208333333336</v>
      </c>
    </row>
    <row r="106" spans="1:22" ht="19.5" x14ac:dyDescent="0.4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12">
        <f t="shared" si="4"/>
        <v>1.4314010067114094</v>
      </c>
      <c r="P106" s="13">
        <f t="shared" si="5"/>
        <v>89.005216484089729</v>
      </c>
      <c r="Q106" t="str" cm="1">
        <f t="array" ref="Q106:R106">_xlfn.TEXTSPLIT(N106,"/",,FALSE,,#N/A)</f>
        <v>music</v>
      </c>
      <c r="R106" t="str">
        <v>indie rock</v>
      </c>
      <c r="U106" s="6">
        <f t="shared" si="6"/>
        <v>42878.208333333328</v>
      </c>
      <c r="V106" s="6">
        <f t="shared" si="7"/>
        <v>42879.208333333328</v>
      </c>
    </row>
    <row r="107" spans="1:22" ht="19.5" x14ac:dyDescent="0.4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12">
        <f t="shared" si="4"/>
        <v>1.4454411764705883</v>
      </c>
      <c r="P107" s="13">
        <f t="shared" si="5"/>
        <v>103.46315789473684</v>
      </c>
      <c r="Q107" t="str" cm="1">
        <f t="array" ref="Q107:R107">_xlfn.TEXTSPLIT(N107,"/",,FALSE,,#N/A)</f>
        <v>technology</v>
      </c>
      <c r="R107" t="str">
        <v>web</v>
      </c>
      <c r="U107" s="6">
        <f t="shared" si="6"/>
        <v>41366.208333333336</v>
      </c>
      <c r="V107" s="6">
        <f t="shared" si="7"/>
        <v>41384.208333333336</v>
      </c>
    </row>
    <row r="108" spans="1:22" ht="19.5" x14ac:dyDescent="0.4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12">
        <f t="shared" si="4"/>
        <v>3.5912820512820511</v>
      </c>
      <c r="P108" s="13">
        <f t="shared" si="5"/>
        <v>95.278911564625844</v>
      </c>
      <c r="Q108" t="str" cm="1">
        <f t="array" ref="Q108:R108">_xlfn.TEXTSPLIT(N108,"/",,FALSE,,#N/A)</f>
        <v>theater</v>
      </c>
      <c r="R108" t="str">
        <v>plays</v>
      </c>
      <c r="U108" s="6">
        <f t="shared" si="6"/>
        <v>43716.208333333328</v>
      </c>
      <c r="V108" s="6">
        <f t="shared" si="7"/>
        <v>43721.208333333328</v>
      </c>
    </row>
    <row r="109" spans="1:22" ht="33.75" x14ac:dyDescent="0.4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12">
        <f t="shared" si="4"/>
        <v>1.8648571428571428</v>
      </c>
      <c r="P109" s="13">
        <f t="shared" si="5"/>
        <v>75.895348837209298</v>
      </c>
      <c r="Q109" t="str" cm="1">
        <f t="array" ref="Q109:R109">_xlfn.TEXTSPLIT(N109,"/",,FALSE,,#N/A)</f>
        <v>theater</v>
      </c>
      <c r="R109" t="str">
        <v>plays</v>
      </c>
      <c r="U109" s="6">
        <f t="shared" si="6"/>
        <v>43213.208333333328</v>
      </c>
      <c r="V109" s="6">
        <f t="shared" si="7"/>
        <v>43230.208333333328</v>
      </c>
    </row>
    <row r="110" spans="1:22" ht="33.75" x14ac:dyDescent="0.4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12">
        <f t="shared" si="4"/>
        <v>5.9526666666666666</v>
      </c>
      <c r="P110" s="13">
        <f t="shared" si="5"/>
        <v>107.57831325301204</v>
      </c>
      <c r="Q110" t="str" cm="1">
        <f t="array" ref="Q110:R110">_xlfn.TEXTSPLIT(N110,"/",,FALSE,,#N/A)</f>
        <v>film &amp; video</v>
      </c>
      <c r="R110" t="str">
        <v>documentary</v>
      </c>
      <c r="U110" s="6">
        <f t="shared" si="6"/>
        <v>41005.208333333336</v>
      </c>
      <c r="V110" s="6">
        <f t="shared" si="7"/>
        <v>41042.208333333336</v>
      </c>
    </row>
    <row r="111" spans="1:22" ht="19.5" x14ac:dyDescent="0.4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12">
        <f t="shared" si="4"/>
        <v>0.5921153846153846</v>
      </c>
      <c r="P111" s="13">
        <f t="shared" si="5"/>
        <v>51.31666666666667</v>
      </c>
      <c r="Q111" t="str" cm="1">
        <f t="array" ref="Q111:R111">_xlfn.TEXTSPLIT(N111,"/",,FALSE,,#N/A)</f>
        <v>film &amp; video</v>
      </c>
      <c r="R111" t="str">
        <v>television</v>
      </c>
      <c r="U111" s="6">
        <f t="shared" si="6"/>
        <v>41651.25</v>
      </c>
      <c r="V111" s="6">
        <f t="shared" si="7"/>
        <v>41653.25</v>
      </c>
    </row>
    <row r="112" spans="1:22" ht="33.75" x14ac:dyDescent="0.4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12">
        <f t="shared" si="4"/>
        <v>0.14962780898876404</v>
      </c>
      <c r="P112" s="13">
        <f t="shared" si="5"/>
        <v>71.983108108108112</v>
      </c>
      <c r="Q112" t="str" cm="1">
        <f t="array" ref="Q112:R112">_xlfn.TEXTSPLIT(N112,"/",,FALSE,,#N/A)</f>
        <v>food</v>
      </c>
      <c r="R112" t="str">
        <v>food trucks</v>
      </c>
      <c r="U112" s="6">
        <f t="shared" si="6"/>
        <v>43354.208333333328</v>
      </c>
      <c r="V112" s="6">
        <f t="shared" si="7"/>
        <v>43373.208333333328</v>
      </c>
    </row>
    <row r="113" spans="1:22" ht="19.5" x14ac:dyDescent="0.4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12">
        <f t="shared" si="4"/>
        <v>1.1995602605863191</v>
      </c>
      <c r="P113" s="13">
        <f t="shared" si="5"/>
        <v>108.95414201183432</v>
      </c>
      <c r="Q113" t="str" cm="1">
        <f t="array" ref="Q113:R113">_xlfn.TEXTSPLIT(N113,"/",,FALSE,,#N/A)</f>
        <v>publishing</v>
      </c>
      <c r="R113" t="str">
        <v>radio &amp; podcasts</v>
      </c>
      <c r="U113" s="6">
        <f t="shared" si="6"/>
        <v>41174.208333333336</v>
      </c>
      <c r="V113" s="6">
        <f t="shared" si="7"/>
        <v>41180.208333333336</v>
      </c>
    </row>
    <row r="114" spans="1:22" ht="19.5" x14ac:dyDescent="0.4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12">
        <f t="shared" si="4"/>
        <v>2.6882978723404256</v>
      </c>
      <c r="P114" s="13">
        <f t="shared" si="5"/>
        <v>35</v>
      </c>
      <c r="Q114" t="str" cm="1">
        <f t="array" ref="Q114:R114">_xlfn.TEXTSPLIT(N114,"/",,FALSE,,#N/A)</f>
        <v>technology</v>
      </c>
      <c r="R114" t="str">
        <v>web</v>
      </c>
      <c r="U114" s="6">
        <f t="shared" si="6"/>
        <v>41875.208333333336</v>
      </c>
      <c r="V114" s="6">
        <f t="shared" si="7"/>
        <v>41890.208333333336</v>
      </c>
    </row>
    <row r="115" spans="1:22" ht="19.5" x14ac:dyDescent="0.4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12">
        <f t="shared" si="4"/>
        <v>3.7687878787878786</v>
      </c>
      <c r="P115" s="13">
        <f t="shared" si="5"/>
        <v>94.938931297709928</v>
      </c>
      <c r="Q115" t="str" cm="1">
        <f t="array" ref="Q115:R115">_xlfn.TEXTSPLIT(N115,"/",,FALSE,,#N/A)</f>
        <v>food</v>
      </c>
      <c r="R115" t="str">
        <v>food trucks</v>
      </c>
      <c r="U115" s="6">
        <f t="shared" si="6"/>
        <v>42990.208333333328</v>
      </c>
      <c r="V115" s="6">
        <f t="shared" si="7"/>
        <v>42997.208333333328</v>
      </c>
    </row>
    <row r="116" spans="1:22" ht="19.5" x14ac:dyDescent="0.4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12">
        <f t="shared" si="4"/>
        <v>7.2715789473684209</v>
      </c>
      <c r="P116" s="13">
        <f t="shared" si="5"/>
        <v>109.65079365079364</v>
      </c>
      <c r="Q116" t="str" cm="1">
        <f t="array" ref="Q116:R116">_xlfn.TEXTSPLIT(N116,"/",,FALSE,,#N/A)</f>
        <v>technology</v>
      </c>
      <c r="R116" t="str">
        <v>wearables</v>
      </c>
      <c r="U116" s="6">
        <f t="shared" si="6"/>
        <v>43564.208333333328</v>
      </c>
      <c r="V116" s="6">
        <f t="shared" si="7"/>
        <v>43565.208333333328</v>
      </c>
    </row>
    <row r="117" spans="1:22" ht="19.5" x14ac:dyDescent="0.4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12">
        <f t="shared" si="4"/>
        <v>0.87211757648470301</v>
      </c>
      <c r="P117" s="13">
        <f t="shared" si="5"/>
        <v>44.001815980629537</v>
      </c>
      <c r="Q117" t="str" cm="1">
        <f t="array" ref="Q117:R117">_xlfn.TEXTSPLIT(N117,"/",,FALSE,,#N/A)</f>
        <v>publishing</v>
      </c>
      <c r="R117" t="str">
        <v>fiction</v>
      </c>
      <c r="U117" s="6">
        <f t="shared" si="6"/>
        <v>43056.25</v>
      </c>
      <c r="V117" s="6">
        <f t="shared" si="7"/>
        <v>43091.25</v>
      </c>
    </row>
    <row r="118" spans="1:22" ht="33.75" x14ac:dyDescent="0.4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12">
        <f t="shared" si="4"/>
        <v>0.88</v>
      </c>
      <c r="P118" s="13">
        <f t="shared" si="5"/>
        <v>86.794520547945211</v>
      </c>
      <c r="Q118" t="str" cm="1">
        <f t="array" ref="Q118:R118">_xlfn.TEXTSPLIT(N118,"/",,FALSE,,#N/A)</f>
        <v>theater</v>
      </c>
      <c r="R118" t="str">
        <v>plays</v>
      </c>
      <c r="U118" s="6">
        <f t="shared" si="6"/>
        <v>42265.208333333328</v>
      </c>
      <c r="V118" s="6">
        <f t="shared" si="7"/>
        <v>42266.208333333328</v>
      </c>
    </row>
    <row r="119" spans="1:22" ht="19.5" x14ac:dyDescent="0.4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12">
        <f t="shared" si="4"/>
        <v>1.7393877551020409</v>
      </c>
      <c r="P119" s="13">
        <f t="shared" si="5"/>
        <v>30.992727272727272</v>
      </c>
      <c r="Q119" t="str" cm="1">
        <f t="array" ref="Q119:R119">_xlfn.TEXTSPLIT(N119,"/",,FALSE,,#N/A)</f>
        <v>film &amp; video</v>
      </c>
      <c r="R119" t="str">
        <v>television</v>
      </c>
      <c r="U119" s="6">
        <f t="shared" si="6"/>
        <v>40808.208333333336</v>
      </c>
      <c r="V119" s="6">
        <f t="shared" si="7"/>
        <v>40814.208333333336</v>
      </c>
    </row>
    <row r="120" spans="1:22" ht="19.5" x14ac:dyDescent="0.4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12">
        <f t="shared" si="4"/>
        <v>1.1761111111111111</v>
      </c>
      <c r="P120" s="13">
        <f t="shared" si="5"/>
        <v>94.791044776119406</v>
      </c>
      <c r="Q120" t="str" cm="1">
        <f t="array" ref="Q120:R120">_xlfn.TEXTSPLIT(N120,"/",,FALSE,,#N/A)</f>
        <v>photography</v>
      </c>
      <c r="R120" t="str">
        <v>photography books</v>
      </c>
      <c r="U120" s="6">
        <f t="shared" si="6"/>
        <v>41665.25</v>
      </c>
      <c r="V120" s="6">
        <f t="shared" si="7"/>
        <v>41671.25</v>
      </c>
    </row>
    <row r="121" spans="1:22" ht="33.75" x14ac:dyDescent="0.4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12">
        <f t="shared" si="4"/>
        <v>2.1496</v>
      </c>
      <c r="P121" s="13">
        <f t="shared" si="5"/>
        <v>69.79220779220779</v>
      </c>
      <c r="Q121" t="str" cm="1">
        <f t="array" ref="Q121:R121">_xlfn.TEXTSPLIT(N121,"/",,FALSE,,#N/A)</f>
        <v>film &amp; video</v>
      </c>
      <c r="R121" t="str">
        <v>documentary</v>
      </c>
      <c r="U121" s="6">
        <f t="shared" si="6"/>
        <v>41806.208333333336</v>
      </c>
      <c r="V121" s="6">
        <f t="shared" si="7"/>
        <v>41823.208333333336</v>
      </c>
    </row>
    <row r="122" spans="1:22" ht="19.5" x14ac:dyDescent="0.4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12">
        <f t="shared" si="4"/>
        <v>1.4949667110519307</v>
      </c>
      <c r="P122" s="13">
        <f t="shared" si="5"/>
        <v>63.003367003367003</v>
      </c>
      <c r="Q122" t="str" cm="1">
        <f t="array" ref="Q122:R122">_xlfn.TEXTSPLIT(N122,"/",,FALSE,,#N/A)</f>
        <v>games</v>
      </c>
      <c r="R122" t="str">
        <v>mobile games</v>
      </c>
      <c r="U122" s="6">
        <f t="shared" si="6"/>
        <v>42111.208333333328</v>
      </c>
      <c r="V122" s="6">
        <f t="shared" si="7"/>
        <v>42115.208333333328</v>
      </c>
    </row>
    <row r="123" spans="1:22" ht="19.5" x14ac:dyDescent="0.4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12">
        <f t="shared" si="4"/>
        <v>2.1933995584988963</v>
      </c>
      <c r="P123" s="13">
        <f t="shared" si="5"/>
        <v>110.0343300110742</v>
      </c>
      <c r="Q123" t="str" cm="1">
        <f t="array" ref="Q123:R123">_xlfn.TEXTSPLIT(N123,"/",,FALSE,,#N/A)</f>
        <v>games</v>
      </c>
      <c r="R123" t="str">
        <v>video games</v>
      </c>
      <c r="U123" s="6">
        <f t="shared" si="6"/>
        <v>41917.208333333336</v>
      </c>
      <c r="V123" s="6">
        <f t="shared" si="7"/>
        <v>41930.208333333336</v>
      </c>
    </row>
    <row r="124" spans="1:22" ht="19.5" x14ac:dyDescent="0.4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12">
        <f t="shared" si="4"/>
        <v>0.64367690058479532</v>
      </c>
      <c r="P124" s="13">
        <f t="shared" si="5"/>
        <v>25.997933274284026</v>
      </c>
      <c r="Q124" t="str" cm="1">
        <f t="array" ref="Q124:R124">_xlfn.TEXTSPLIT(N124,"/",,FALSE,,#N/A)</f>
        <v>publishing</v>
      </c>
      <c r="R124" t="str">
        <v>fiction</v>
      </c>
      <c r="U124" s="6">
        <f t="shared" si="6"/>
        <v>41970.25</v>
      </c>
      <c r="V124" s="6">
        <f t="shared" si="7"/>
        <v>41997.25</v>
      </c>
    </row>
    <row r="125" spans="1:22" ht="19.5" x14ac:dyDescent="0.4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12">
        <f t="shared" si="4"/>
        <v>0.18622397298818233</v>
      </c>
      <c r="P125" s="13">
        <f t="shared" si="5"/>
        <v>49.987915407854985</v>
      </c>
      <c r="Q125" t="str" cm="1">
        <f t="array" ref="Q125:R125">_xlfn.TEXTSPLIT(N125,"/",,FALSE,,#N/A)</f>
        <v>theater</v>
      </c>
      <c r="R125" t="str">
        <v>plays</v>
      </c>
      <c r="U125" s="6">
        <f t="shared" si="6"/>
        <v>42332.25</v>
      </c>
      <c r="V125" s="6">
        <f t="shared" si="7"/>
        <v>42335.25</v>
      </c>
    </row>
    <row r="126" spans="1:22" ht="19.5" x14ac:dyDescent="0.4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12">
        <f t="shared" si="4"/>
        <v>3.6776923076923076</v>
      </c>
      <c r="P126" s="13">
        <f t="shared" si="5"/>
        <v>101.72340425531915</v>
      </c>
      <c r="Q126" t="str" cm="1">
        <f t="array" ref="Q126:R126">_xlfn.TEXTSPLIT(N126,"/",,FALSE,,#N/A)</f>
        <v>photography</v>
      </c>
      <c r="R126" t="str">
        <v>photography books</v>
      </c>
      <c r="U126" s="6">
        <f t="shared" si="6"/>
        <v>43598.208333333328</v>
      </c>
      <c r="V126" s="6">
        <f t="shared" si="7"/>
        <v>43651.208333333328</v>
      </c>
    </row>
    <row r="127" spans="1:22" ht="19.5" x14ac:dyDescent="0.4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12">
        <f t="shared" si="4"/>
        <v>1.5990566037735849</v>
      </c>
      <c r="P127" s="13">
        <f t="shared" si="5"/>
        <v>47.083333333333336</v>
      </c>
      <c r="Q127" t="str" cm="1">
        <f t="array" ref="Q127:R127">_xlfn.TEXTSPLIT(N127,"/",,FALSE,,#N/A)</f>
        <v>theater</v>
      </c>
      <c r="R127" t="str">
        <v>plays</v>
      </c>
      <c r="U127" s="6">
        <f t="shared" si="6"/>
        <v>43362.208333333328</v>
      </c>
      <c r="V127" s="6">
        <f t="shared" si="7"/>
        <v>43366.208333333328</v>
      </c>
    </row>
    <row r="128" spans="1:22" ht="19.5" x14ac:dyDescent="0.4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12">
        <f t="shared" si="4"/>
        <v>0.38633185349611543</v>
      </c>
      <c r="P128" s="13">
        <f t="shared" si="5"/>
        <v>89.944444444444443</v>
      </c>
      <c r="Q128" t="str" cm="1">
        <f t="array" ref="Q128:R128">_xlfn.TEXTSPLIT(N128,"/",,FALSE,,#N/A)</f>
        <v>theater</v>
      </c>
      <c r="R128" t="str">
        <v>plays</v>
      </c>
      <c r="U128" s="6">
        <f t="shared" si="6"/>
        <v>42596.208333333328</v>
      </c>
      <c r="V128" s="6">
        <f t="shared" si="7"/>
        <v>42624.208333333328</v>
      </c>
    </row>
    <row r="129" spans="1:22" ht="19.5" x14ac:dyDescent="0.4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12">
        <f t="shared" si="4"/>
        <v>0.51421511627906979</v>
      </c>
      <c r="P129" s="13">
        <f t="shared" si="5"/>
        <v>78.96875</v>
      </c>
      <c r="Q129" t="str" cm="1">
        <f t="array" ref="Q129:R129">_xlfn.TEXTSPLIT(N129,"/",,FALSE,,#N/A)</f>
        <v>theater</v>
      </c>
      <c r="R129" t="str">
        <v>plays</v>
      </c>
      <c r="U129" s="6">
        <f t="shared" si="6"/>
        <v>40310.208333333336</v>
      </c>
      <c r="V129" s="6">
        <f t="shared" si="7"/>
        <v>40313.208333333336</v>
      </c>
    </row>
    <row r="130" spans="1:22" ht="19.5" x14ac:dyDescent="0.4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12">
        <f t="shared" si="4"/>
        <v>0.60334277620396604</v>
      </c>
      <c r="P130" s="13">
        <f t="shared" si="5"/>
        <v>80.067669172932327</v>
      </c>
      <c r="Q130" t="str" cm="1">
        <f t="array" ref="Q130:R130">_xlfn.TEXTSPLIT(N130,"/",,FALSE,,#N/A)</f>
        <v>music</v>
      </c>
      <c r="R130" t="str">
        <v>rock</v>
      </c>
      <c r="U130" s="6">
        <f t="shared" si="6"/>
        <v>40417.208333333336</v>
      </c>
      <c r="V130" s="6">
        <f t="shared" si="7"/>
        <v>40430.208333333336</v>
      </c>
    </row>
    <row r="131" spans="1:22" ht="19.5" x14ac:dyDescent="0.4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12">
        <f t="shared" ref="O131:O194" si="8">E131/D131</f>
        <v>3.2026936026936029E-2</v>
      </c>
      <c r="P131" s="13">
        <f t="shared" ref="P131:P194" si="9">E131/G131</f>
        <v>86.472727272727269</v>
      </c>
      <c r="Q131" t="str" cm="1">
        <f t="array" ref="Q131:R131">_xlfn.TEXTSPLIT(N131,"/",,FALSE,,#N/A)</f>
        <v>food</v>
      </c>
      <c r="R131" t="str">
        <v>food trucks</v>
      </c>
      <c r="U131" s="6">
        <f t="shared" ref="U131:U194" si="10">(((J131/60)/60)/24)+DATE(1970,1,1)</f>
        <v>42038.25</v>
      </c>
      <c r="V131" s="6">
        <f t="shared" ref="V131:V194" si="11">(((K131/60)/60)/24)+DATE(1970,1,1)</f>
        <v>42063.25</v>
      </c>
    </row>
    <row r="132" spans="1:22" ht="19.5" x14ac:dyDescent="0.4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12">
        <f t="shared" si="8"/>
        <v>1.5546875</v>
      </c>
      <c r="P132" s="13">
        <f t="shared" si="9"/>
        <v>28.001876172607879</v>
      </c>
      <c r="Q132" t="str" cm="1">
        <f t="array" ref="Q132:R132">_xlfn.TEXTSPLIT(N132,"/",,FALSE,,#N/A)</f>
        <v>film &amp; video</v>
      </c>
      <c r="R132" t="str">
        <v>drama</v>
      </c>
      <c r="U132" s="6">
        <f t="shared" si="10"/>
        <v>40842.208333333336</v>
      </c>
      <c r="V132" s="6">
        <f t="shared" si="11"/>
        <v>40858.25</v>
      </c>
    </row>
    <row r="133" spans="1:22" ht="33.75" x14ac:dyDescent="0.4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12">
        <f t="shared" si="8"/>
        <v>1.0085974499089254</v>
      </c>
      <c r="P133" s="13">
        <f t="shared" si="9"/>
        <v>67.996725337699544</v>
      </c>
      <c r="Q133" t="str" cm="1">
        <f t="array" ref="Q133:R133">_xlfn.TEXTSPLIT(N133,"/",,FALSE,,#N/A)</f>
        <v>technology</v>
      </c>
      <c r="R133" t="str">
        <v>web</v>
      </c>
      <c r="U133" s="6">
        <f t="shared" si="10"/>
        <v>41607.25</v>
      </c>
      <c r="V133" s="6">
        <f t="shared" si="11"/>
        <v>41620.25</v>
      </c>
    </row>
    <row r="134" spans="1:22" ht="19.5" x14ac:dyDescent="0.4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12">
        <f t="shared" si="8"/>
        <v>1.1618181818181819</v>
      </c>
      <c r="P134" s="13">
        <f t="shared" si="9"/>
        <v>43.078651685393261</v>
      </c>
      <c r="Q134" t="str" cm="1">
        <f t="array" ref="Q134:R134">_xlfn.TEXTSPLIT(N134,"/",,FALSE,,#N/A)</f>
        <v>theater</v>
      </c>
      <c r="R134" t="str">
        <v>plays</v>
      </c>
      <c r="U134" s="6">
        <f t="shared" si="10"/>
        <v>43112.25</v>
      </c>
      <c r="V134" s="6">
        <f t="shared" si="11"/>
        <v>43128.25</v>
      </c>
    </row>
    <row r="135" spans="1:22" ht="19.5" x14ac:dyDescent="0.4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12">
        <f t="shared" si="8"/>
        <v>3.1077777777777778</v>
      </c>
      <c r="P135" s="13">
        <f t="shared" si="9"/>
        <v>87.95597484276729</v>
      </c>
      <c r="Q135" t="str" cm="1">
        <f t="array" ref="Q135:R135">_xlfn.TEXTSPLIT(N135,"/",,FALSE,,#N/A)</f>
        <v>music</v>
      </c>
      <c r="R135" t="str">
        <v>world music</v>
      </c>
      <c r="U135" s="6">
        <f t="shared" si="10"/>
        <v>40767.208333333336</v>
      </c>
      <c r="V135" s="6">
        <f t="shared" si="11"/>
        <v>40789.208333333336</v>
      </c>
    </row>
    <row r="136" spans="1:22" ht="19.5" x14ac:dyDescent="0.4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12">
        <f t="shared" si="8"/>
        <v>0.89736683417085428</v>
      </c>
      <c r="P136" s="13">
        <f t="shared" si="9"/>
        <v>94.987234042553197</v>
      </c>
      <c r="Q136" t="str" cm="1">
        <f t="array" ref="Q136:R136">_xlfn.TEXTSPLIT(N136,"/",,FALSE,,#N/A)</f>
        <v>film &amp; video</v>
      </c>
      <c r="R136" t="str">
        <v>documentary</v>
      </c>
      <c r="U136" s="6">
        <f t="shared" si="10"/>
        <v>40713.208333333336</v>
      </c>
      <c r="V136" s="6">
        <f t="shared" si="11"/>
        <v>40762.208333333336</v>
      </c>
    </row>
    <row r="137" spans="1:22" ht="19.5" x14ac:dyDescent="0.4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12">
        <f t="shared" si="8"/>
        <v>0.71272727272727276</v>
      </c>
      <c r="P137" s="13">
        <f t="shared" si="9"/>
        <v>46.905982905982903</v>
      </c>
      <c r="Q137" t="str" cm="1">
        <f t="array" ref="Q137:R137">_xlfn.TEXTSPLIT(N137,"/",,FALSE,,#N/A)</f>
        <v>theater</v>
      </c>
      <c r="R137" t="str">
        <v>plays</v>
      </c>
      <c r="U137" s="6">
        <f t="shared" si="10"/>
        <v>41340.25</v>
      </c>
      <c r="V137" s="6">
        <f t="shared" si="11"/>
        <v>41345.208333333336</v>
      </c>
    </row>
    <row r="138" spans="1:22" ht="19.5" x14ac:dyDescent="0.4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12">
        <f t="shared" si="8"/>
        <v>3.2862318840579711E-2</v>
      </c>
      <c r="P138" s="13">
        <f t="shared" si="9"/>
        <v>46.913793103448278</v>
      </c>
      <c r="Q138" t="str" cm="1">
        <f t="array" ref="Q138:R138">_xlfn.TEXTSPLIT(N138,"/",,FALSE,,#N/A)</f>
        <v>film &amp; video</v>
      </c>
      <c r="R138" t="str">
        <v>drama</v>
      </c>
      <c r="U138" s="6">
        <f t="shared" si="10"/>
        <v>41797.208333333336</v>
      </c>
      <c r="V138" s="6">
        <f t="shared" si="11"/>
        <v>41809.208333333336</v>
      </c>
    </row>
    <row r="139" spans="1:22" ht="19.5" x14ac:dyDescent="0.4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12">
        <f t="shared" si="8"/>
        <v>2.617777777777778</v>
      </c>
      <c r="P139" s="13">
        <f t="shared" si="9"/>
        <v>94.24</v>
      </c>
      <c r="Q139" t="str" cm="1">
        <f t="array" ref="Q139:R139">_xlfn.TEXTSPLIT(N139,"/",,FALSE,,#N/A)</f>
        <v>publishing</v>
      </c>
      <c r="R139" t="str">
        <v>nonfiction</v>
      </c>
      <c r="U139" s="6">
        <f t="shared" si="10"/>
        <v>40457.208333333336</v>
      </c>
      <c r="V139" s="6">
        <f t="shared" si="11"/>
        <v>40463.208333333336</v>
      </c>
    </row>
    <row r="140" spans="1:22" ht="33.75" x14ac:dyDescent="0.4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12">
        <f t="shared" si="8"/>
        <v>0.96</v>
      </c>
      <c r="P140" s="13">
        <f t="shared" si="9"/>
        <v>80.139130434782615</v>
      </c>
      <c r="Q140" t="str" cm="1">
        <f t="array" ref="Q140:R140">_xlfn.TEXTSPLIT(N140,"/",,FALSE,,#N/A)</f>
        <v>games</v>
      </c>
      <c r="R140" t="str">
        <v>mobile games</v>
      </c>
      <c r="U140" s="6">
        <f t="shared" si="10"/>
        <v>41180.208333333336</v>
      </c>
      <c r="V140" s="6">
        <f t="shared" si="11"/>
        <v>41186.208333333336</v>
      </c>
    </row>
    <row r="141" spans="1:22" ht="19.5" x14ac:dyDescent="0.4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12">
        <f t="shared" si="8"/>
        <v>0.20896851248642778</v>
      </c>
      <c r="P141" s="13">
        <f t="shared" si="9"/>
        <v>59.036809815950917</v>
      </c>
      <c r="Q141" t="str" cm="1">
        <f t="array" ref="Q141:R141">_xlfn.TEXTSPLIT(N141,"/",,FALSE,,#N/A)</f>
        <v>technology</v>
      </c>
      <c r="R141" t="str">
        <v>wearables</v>
      </c>
      <c r="U141" s="6">
        <f t="shared" si="10"/>
        <v>42115.208333333328</v>
      </c>
      <c r="V141" s="6">
        <f t="shared" si="11"/>
        <v>42131.208333333328</v>
      </c>
    </row>
    <row r="142" spans="1:22" ht="33.75" x14ac:dyDescent="0.4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12">
        <f t="shared" si="8"/>
        <v>2.2316363636363636</v>
      </c>
      <c r="P142" s="13">
        <f t="shared" si="9"/>
        <v>65.989247311827953</v>
      </c>
      <c r="Q142" t="str" cm="1">
        <f t="array" ref="Q142:R142">_xlfn.TEXTSPLIT(N142,"/",,FALSE,,#N/A)</f>
        <v>film &amp; video</v>
      </c>
      <c r="R142" t="str">
        <v>documentary</v>
      </c>
      <c r="U142" s="6">
        <f t="shared" si="10"/>
        <v>43156.25</v>
      </c>
      <c r="V142" s="6">
        <f t="shared" si="11"/>
        <v>43161.25</v>
      </c>
    </row>
    <row r="143" spans="1:22" ht="19.5" x14ac:dyDescent="0.4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12">
        <f t="shared" si="8"/>
        <v>1.0159097978227061</v>
      </c>
      <c r="P143" s="13">
        <f t="shared" si="9"/>
        <v>60.992530345471522</v>
      </c>
      <c r="Q143" t="str" cm="1">
        <f t="array" ref="Q143:R143">_xlfn.TEXTSPLIT(N143,"/",,FALSE,,#N/A)</f>
        <v>technology</v>
      </c>
      <c r="R143" t="str">
        <v>web</v>
      </c>
      <c r="U143" s="6">
        <f t="shared" si="10"/>
        <v>42167.208333333328</v>
      </c>
      <c r="V143" s="6">
        <f t="shared" si="11"/>
        <v>42173.208333333328</v>
      </c>
    </row>
    <row r="144" spans="1:22" ht="19.5" x14ac:dyDescent="0.4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12">
        <f t="shared" si="8"/>
        <v>2.3003999999999998</v>
      </c>
      <c r="P144" s="13">
        <f t="shared" si="9"/>
        <v>98.307692307692307</v>
      </c>
      <c r="Q144" t="str" cm="1">
        <f t="array" ref="Q144:R144">_xlfn.TEXTSPLIT(N144,"/",,FALSE,,#N/A)</f>
        <v>technology</v>
      </c>
      <c r="R144" t="str">
        <v>web</v>
      </c>
      <c r="U144" s="6">
        <f t="shared" si="10"/>
        <v>41005.208333333336</v>
      </c>
      <c r="V144" s="6">
        <f t="shared" si="11"/>
        <v>41046.208333333336</v>
      </c>
    </row>
    <row r="145" spans="1:22" ht="19.5" x14ac:dyDescent="0.4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12">
        <f t="shared" si="8"/>
        <v>1.355925925925926</v>
      </c>
      <c r="P145" s="13">
        <f t="shared" si="9"/>
        <v>104.6</v>
      </c>
      <c r="Q145" t="str" cm="1">
        <f t="array" ref="Q145:R145">_xlfn.TEXTSPLIT(N145,"/",,FALSE,,#N/A)</f>
        <v>music</v>
      </c>
      <c r="R145" t="str">
        <v>indie rock</v>
      </c>
      <c r="U145" s="6">
        <f t="shared" si="10"/>
        <v>40357.208333333336</v>
      </c>
      <c r="V145" s="6">
        <f t="shared" si="11"/>
        <v>40377.208333333336</v>
      </c>
    </row>
    <row r="146" spans="1:22" ht="19.5" x14ac:dyDescent="0.4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12">
        <f t="shared" si="8"/>
        <v>1.2909999999999999</v>
      </c>
      <c r="P146" s="13">
        <f t="shared" si="9"/>
        <v>86.066666666666663</v>
      </c>
      <c r="Q146" t="str" cm="1">
        <f t="array" ref="Q146:R146">_xlfn.TEXTSPLIT(N146,"/",,FALSE,,#N/A)</f>
        <v>theater</v>
      </c>
      <c r="R146" t="str">
        <v>plays</v>
      </c>
      <c r="U146" s="6">
        <f t="shared" si="10"/>
        <v>43633.208333333328</v>
      </c>
      <c r="V146" s="6">
        <f t="shared" si="11"/>
        <v>43641.208333333328</v>
      </c>
    </row>
    <row r="147" spans="1:22" ht="19.5" x14ac:dyDescent="0.4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12">
        <f t="shared" si="8"/>
        <v>2.3651200000000001</v>
      </c>
      <c r="P147" s="13">
        <f t="shared" si="9"/>
        <v>76.989583333333329</v>
      </c>
      <c r="Q147" t="str" cm="1">
        <f t="array" ref="Q147:R147">_xlfn.TEXTSPLIT(N147,"/",,FALSE,,#N/A)</f>
        <v>technology</v>
      </c>
      <c r="R147" t="str">
        <v>wearables</v>
      </c>
      <c r="U147" s="6">
        <f t="shared" si="10"/>
        <v>41889.208333333336</v>
      </c>
      <c r="V147" s="6">
        <f t="shared" si="11"/>
        <v>41894.208333333336</v>
      </c>
    </row>
    <row r="148" spans="1:22" ht="33.75" x14ac:dyDescent="0.4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12">
        <f t="shared" si="8"/>
        <v>0.17249999999999999</v>
      </c>
      <c r="P148" s="13">
        <f t="shared" si="9"/>
        <v>29.764705882352942</v>
      </c>
      <c r="Q148" t="str" cm="1">
        <f t="array" ref="Q148:R148">_xlfn.TEXTSPLIT(N148,"/",,FALSE,,#N/A)</f>
        <v>theater</v>
      </c>
      <c r="R148" t="str">
        <v>plays</v>
      </c>
      <c r="U148" s="6">
        <f t="shared" si="10"/>
        <v>40855.25</v>
      </c>
      <c r="V148" s="6">
        <f t="shared" si="11"/>
        <v>40875.25</v>
      </c>
    </row>
    <row r="149" spans="1:22" ht="19.5" x14ac:dyDescent="0.4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12">
        <f t="shared" si="8"/>
        <v>1.1249397590361445</v>
      </c>
      <c r="P149" s="13">
        <f t="shared" si="9"/>
        <v>46.91959798994975</v>
      </c>
      <c r="Q149" t="str" cm="1">
        <f t="array" ref="Q149:R149">_xlfn.TEXTSPLIT(N149,"/",,FALSE,,#N/A)</f>
        <v>theater</v>
      </c>
      <c r="R149" t="str">
        <v>plays</v>
      </c>
      <c r="U149" s="6">
        <f t="shared" si="10"/>
        <v>42534.208333333328</v>
      </c>
      <c r="V149" s="6">
        <f t="shared" si="11"/>
        <v>42540.208333333328</v>
      </c>
    </row>
    <row r="150" spans="1:22" ht="19.5" x14ac:dyDescent="0.4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12">
        <f t="shared" si="8"/>
        <v>1.2102150537634409</v>
      </c>
      <c r="P150" s="13">
        <f t="shared" si="9"/>
        <v>105.18691588785046</v>
      </c>
      <c r="Q150" t="str" cm="1">
        <f t="array" ref="Q150:R150">_xlfn.TEXTSPLIT(N150,"/",,FALSE,,#N/A)</f>
        <v>technology</v>
      </c>
      <c r="R150" t="str">
        <v>wearables</v>
      </c>
      <c r="U150" s="6">
        <f t="shared" si="10"/>
        <v>42941.208333333328</v>
      </c>
      <c r="V150" s="6">
        <f t="shared" si="11"/>
        <v>42950.208333333328</v>
      </c>
    </row>
    <row r="151" spans="1:22" ht="19.5" x14ac:dyDescent="0.4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12">
        <f t="shared" si="8"/>
        <v>2.1987096774193549</v>
      </c>
      <c r="P151" s="13">
        <f t="shared" si="9"/>
        <v>69.907692307692301</v>
      </c>
      <c r="Q151" t="str" cm="1">
        <f t="array" ref="Q151:R151">_xlfn.TEXTSPLIT(N151,"/",,FALSE,,#N/A)</f>
        <v>music</v>
      </c>
      <c r="R151" t="str">
        <v>indie rock</v>
      </c>
      <c r="U151" s="6">
        <f t="shared" si="10"/>
        <v>41275.25</v>
      </c>
      <c r="V151" s="6">
        <f t="shared" si="11"/>
        <v>41327.25</v>
      </c>
    </row>
    <row r="152" spans="1:22" ht="19.5" x14ac:dyDescent="0.4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12">
        <f t="shared" si="8"/>
        <v>0.01</v>
      </c>
      <c r="P152" s="13">
        <f t="shared" si="9"/>
        <v>1</v>
      </c>
      <c r="Q152" t="str" cm="1">
        <f t="array" ref="Q152:R152">_xlfn.TEXTSPLIT(N152,"/",,FALSE,,#N/A)</f>
        <v>music</v>
      </c>
      <c r="R152" t="str">
        <v>rock</v>
      </c>
      <c r="U152" s="6">
        <f t="shared" si="10"/>
        <v>43450.25</v>
      </c>
      <c r="V152" s="6">
        <f t="shared" si="11"/>
        <v>43451.25</v>
      </c>
    </row>
    <row r="153" spans="1:22" ht="19.5" x14ac:dyDescent="0.4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12">
        <f t="shared" si="8"/>
        <v>0.64166909620991253</v>
      </c>
      <c r="P153" s="13">
        <f t="shared" si="9"/>
        <v>60.011588275391958</v>
      </c>
      <c r="Q153" t="str" cm="1">
        <f t="array" ref="Q153:R153">_xlfn.TEXTSPLIT(N153,"/",,FALSE,,#N/A)</f>
        <v>music</v>
      </c>
      <c r="R153" t="str">
        <v>electric music</v>
      </c>
      <c r="U153" s="6">
        <f t="shared" si="10"/>
        <v>41799.208333333336</v>
      </c>
      <c r="V153" s="6">
        <f t="shared" si="11"/>
        <v>41850.208333333336</v>
      </c>
    </row>
    <row r="154" spans="1:22" ht="19.5" x14ac:dyDescent="0.4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12">
        <f t="shared" si="8"/>
        <v>4.2306746987951804</v>
      </c>
      <c r="P154" s="13">
        <f t="shared" si="9"/>
        <v>52.006220379146917</v>
      </c>
      <c r="Q154" t="str" cm="1">
        <f t="array" ref="Q154:R154">_xlfn.TEXTSPLIT(N154,"/",,FALSE,,#N/A)</f>
        <v>music</v>
      </c>
      <c r="R154" t="str">
        <v>indie rock</v>
      </c>
      <c r="U154" s="6">
        <f t="shared" si="10"/>
        <v>42783.25</v>
      </c>
      <c r="V154" s="6">
        <f t="shared" si="11"/>
        <v>42790.25</v>
      </c>
    </row>
    <row r="155" spans="1:22" ht="19.5" x14ac:dyDescent="0.4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12">
        <f t="shared" si="8"/>
        <v>0.92984160506863778</v>
      </c>
      <c r="P155" s="13">
        <f t="shared" si="9"/>
        <v>31.000176025347649</v>
      </c>
      <c r="Q155" t="str" cm="1">
        <f t="array" ref="Q155:R155">_xlfn.TEXTSPLIT(N155,"/",,FALSE,,#N/A)</f>
        <v>theater</v>
      </c>
      <c r="R155" t="str">
        <v>plays</v>
      </c>
      <c r="U155" s="6">
        <f t="shared" si="10"/>
        <v>41201.208333333336</v>
      </c>
      <c r="V155" s="6">
        <f t="shared" si="11"/>
        <v>41207.208333333336</v>
      </c>
    </row>
    <row r="156" spans="1:22" ht="19.5" x14ac:dyDescent="0.4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12">
        <f t="shared" si="8"/>
        <v>0.58756567425569173</v>
      </c>
      <c r="P156" s="13">
        <f t="shared" si="9"/>
        <v>95.042492917847028</v>
      </c>
      <c r="Q156" t="str" cm="1">
        <f t="array" ref="Q156:R156">_xlfn.TEXTSPLIT(N156,"/",,FALSE,,#N/A)</f>
        <v>music</v>
      </c>
      <c r="R156" t="str">
        <v>indie rock</v>
      </c>
      <c r="U156" s="6">
        <f t="shared" si="10"/>
        <v>42502.208333333328</v>
      </c>
      <c r="V156" s="6">
        <f t="shared" si="11"/>
        <v>42525.208333333328</v>
      </c>
    </row>
    <row r="157" spans="1:22" ht="19.5" x14ac:dyDescent="0.4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12">
        <f t="shared" si="8"/>
        <v>0.65022222222222226</v>
      </c>
      <c r="P157" s="13">
        <f t="shared" si="9"/>
        <v>75.968174204355108</v>
      </c>
      <c r="Q157" t="str" cm="1">
        <f t="array" ref="Q157:R157">_xlfn.TEXTSPLIT(N157,"/",,FALSE,,#N/A)</f>
        <v>theater</v>
      </c>
      <c r="R157" t="str">
        <v>plays</v>
      </c>
      <c r="U157" s="6">
        <f t="shared" si="10"/>
        <v>40262.208333333336</v>
      </c>
      <c r="V157" s="6">
        <f t="shared" si="11"/>
        <v>40277.208333333336</v>
      </c>
    </row>
    <row r="158" spans="1:22" ht="19.5" x14ac:dyDescent="0.4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12">
        <f t="shared" si="8"/>
        <v>0.73939560439560437</v>
      </c>
      <c r="P158" s="13">
        <f t="shared" si="9"/>
        <v>71.013192612137203</v>
      </c>
      <c r="Q158" t="str" cm="1">
        <f t="array" ref="Q158:R158">_xlfn.TEXTSPLIT(N158,"/",,FALSE,,#N/A)</f>
        <v>music</v>
      </c>
      <c r="R158" t="str">
        <v>rock</v>
      </c>
      <c r="U158" s="6">
        <f t="shared" si="10"/>
        <v>43743.208333333328</v>
      </c>
      <c r="V158" s="6">
        <f t="shared" si="11"/>
        <v>43767.208333333328</v>
      </c>
    </row>
    <row r="159" spans="1:22" ht="19.5" x14ac:dyDescent="0.4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12">
        <f t="shared" si="8"/>
        <v>0.52666666666666662</v>
      </c>
      <c r="P159" s="13">
        <f t="shared" si="9"/>
        <v>73.733333333333334</v>
      </c>
      <c r="Q159" t="str" cm="1">
        <f t="array" ref="Q159:R159">_xlfn.TEXTSPLIT(N159,"/",,FALSE,,#N/A)</f>
        <v>photography</v>
      </c>
      <c r="R159" t="str">
        <v>photography books</v>
      </c>
      <c r="U159" s="6">
        <f t="shared" si="10"/>
        <v>41638.25</v>
      </c>
      <c r="V159" s="6">
        <f t="shared" si="11"/>
        <v>41650.25</v>
      </c>
    </row>
    <row r="160" spans="1:22" ht="19.5" x14ac:dyDescent="0.4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12">
        <f t="shared" si="8"/>
        <v>2.2095238095238097</v>
      </c>
      <c r="P160" s="13">
        <f t="shared" si="9"/>
        <v>113.17073170731707</v>
      </c>
      <c r="Q160" t="str" cm="1">
        <f t="array" ref="Q160:R160">_xlfn.TEXTSPLIT(N160,"/",,FALSE,,#N/A)</f>
        <v>music</v>
      </c>
      <c r="R160" t="str">
        <v>rock</v>
      </c>
      <c r="U160" s="6">
        <f t="shared" si="10"/>
        <v>42346.25</v>
      </c>
      <c r="V160" s="6">
        <f t="shared" si="11"/>
        <v>42347.25</v>
      </c>
    </row>
    <row r="161" spans="1:22" ht="19.5" x14ac:dyDescent="0.4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12">
        <f t="shared" si="8"/>
        <v>1.0001150627615063</v>
      </c>
      <c r="P161" s="13">
        <f t="shared" si="9"/>
        <v>105.00933552992861</v>
      </c>
      <c r="Q161" t="str" cm="1">
        <f t="array" ref="Q161:R161">_xlfn.TEXTSPLIT(N161,"/",,FALSE,,#N/A)</f>
        <v>theater</v>
      </c>
      <c r="R161" t="str">
        <v>plays</v>
      </c>
      <c r="U161" s="6">
        <f t="shared" si="10"/>
        <v>43551.208333333328</v>
      </c>
      <c r="V161" s="6">
        <f t="shared" si="11"/>
        <v>43569.208333333328</v>
      </c>
    </row>
    <row r="162" spans="1:22" ht="19.5" x14ac:dyDescent="0.4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12">
        <f t="shared" si="8"/>
        <v>1.6231249999999999</v>
      </c>
      <c r="P162" s="13">
        <f t="shared" si="9"/>
        <v>79.176829268292678</v>
      </c>
      <c r="Q162" t="str" cm="1">
        <f t="array" ref="Q162:R162">_xlfn.TEXTSPLIT(N162,"/",,FALSE,,#N/A)</f>
        <v>technology</v>
      </c>
      <c r="R162" t="str">
        <v>wearables</v>
      </c>
      <c r="U162" s="6">
        <f t="shared" si="10"/>
        <v>43582.208333333328</v>
      </c>
      <c r="V162" s="6">
        <f t="shared" si="11"/>
        <v>43598.208333333328</v>
      </c>
    </row>
    <row r="163" spans="1:22" ht="33.75" x14ac:dyDescent="0.4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12">
        <f t="shared" si="8"/>
        <v>0.78181818181818186</v>
      </c>
      <c r="P163" s="13">
        <f t="shared" si="9"/>
        <v>57.333333333333336</v>
      </c>
      <c r="Q163" t="str" cm="1">
        <f t="array" ref="Q163:R163">_xlfn.TEXTSPLIT(N163,"/",,FALSE,,#N/A)</f>
        <v>technology</v>
      </c>
      <c r="R163" t="str">
        <v>web</v>
      </c>
      <c r="U163" s="6">
        <f t="shared" si="10"/>
        <v>42270.208333333328</v>
      </c>
      <c r="V163" s="6">
        <f t="shared" si="11"/>
        <v>42276.208333333328</v>
      </c>
    </row>
    <row r="164" spans="1:22" ht="33.75" x14ac:dyDescent="0.4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12">
        <f t="shared" si="8"/>
        <v>1.4973770491803278</v>
      </c>
      <c r="P164" s="13">
        <f t="shared" si="9"/>
        <v>58.178343949044589</v>
      </c>
      <c r="Q164" t="str" cm="1">
        <f t="array" ref="Q164:R164">_xlfn.TEXTSPLIT(N164,"/",,FALSE,,#N/A)</f>
        <v>music</v>
      </c>
      <c r="R164" t="str">
        <v>rock</v>
      </c>
      <c r="U164" s="6">
        <f t="shared" si="10"/>
        <v>43442.25</v>
      </c>
      <c r="V164" s="6">
        <f t="shared" si="11"/>
        <v>43472.25</v>
      </c>
    </row>
    <row r="165" spans="1:22" ht="19.5" x14ac:dyDescent="0.4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12">
        <f t="shared" si="8"/>
        <v>2.5325714285714285</v>
      </c>
      <c r="P165" s="13">
        <f t="shared" si="9"/>
        <v>36.032520325203251</v>
      </c>
      <c r="Q165" t="str" cm="1">
        <f t="array" ref="Q165:R165">_xlfn.TEXTSPLIT(N165,"/",,FALSE,,#N/A)</f>
        <v>photography</v>
      </c>
      <c r="R165" t="str">
        <v>photography books</v>
      </c>
      <c r="U165" s="6">
        <f t="shared" si="10"/>
        <v>43028.208333333328</v>
      </c>
      <c r="V165" s="6">
        <f t="shared" si="11"/>
        <v>43077.25</v>
      </c>
    </row>
    <row r="166" spans="1:22" ht="19.5" x14ac:dyDescent="0.4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12">
        <f t="shared" si="8"/>
        <v>1.0016943521594683</v>
      </c>
      <c r="P166" s="13">
        <f t="shared" si="9"/>
        <v>107.99068767908309</v>
      </c>
      <c r="Q166" t="str" cm="1">
        <f t="array" ref="Q166:R166">_xlfn.TEXTSPLIT(N166,"/",,FALSE,,#N/A)</f>
        <v>theater</v>
      </c>
      <c r="R166" t="str">
        <v>plays</v>
      </c>
      <c r="U166" s="6">
        <f t="shared" si="10"/>
        <v>43016.208333333328</v>
      </c>
      <c r="V166" s="6">
        <f t="shared" si="11"/>
        <v>43017.208333333328</v>
      </c>
    </row>
    <row r="167" spans="1:22" ht="19.5" x14ac:dyDescent="0.4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12">
        <f t="shared" si="8"/>
        <v>1.2199004424778761</v>
      </c>
      <c r="P167" s="13">
        <f t="shared" si="9"/>
        <v>44.005985634477256</v>
      </c>
      <c r="Q167" t="str" cm="1">
        <f t="array" ref="Q167:R167">_xlfn.TEXTSPLIT(N167,"/",,FALSE,,#N/A)</f>
        <v>technology</v>
      </c>
      <c r="R167" t="str">
        <v>web</v>
      </c>
      <c r="U167" s="6">
        <f t="shared" si="10"/>
        <v>42948.208333333328</v>
      </c>
      <c r="V167" s="6">
        <f t="shared" si="11"/>
        <v>42980.208333333328</v>
      </c>
    </row>
    <row r="168" spans="1:22" ht="19.5" x14ac:dyDescent="0.4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12">
        <f t="shared" si="8"/>
        <v>1.3713265306122449</v>
      </c>
      <c r="P168" s="13">
        <f t="shared" si="9"/>
        <v>55.077868852459019</v>
      </c>
      <c r="Q168" t="str" cm="1">
        <f t="array" ref="Q168:R168">_xlfn.TEXTSPLIT(N168,"/",,FALSE,,#N/A)</f>
        <v>photography</v>
      </c>
      <c r="R168" t="str">
        <v>photography books</v>
      </c>
      <c r="U168" s="6">
        <f t="shared" si="10"/>
        <v>40534.25</v>
      </c>
      <c r="V168" s="6">
        <f t="shared" si="11"/>
        <v>40538.25</v>
      </c>
    </row>
    <row r="169" spans="1:22" ht="19.5" x14ac:dyDescent="0.4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12">
        <f t="shared" si="8"/>
        <v>4.155384615384615</v>
      </c>
      <c r="P169" s="13">
        <f t="shared" si="9"/>
        <v>74</v>
      </c>
      <c r="Q169" t="str" cm="1">
        <f t="array" ref="Q169:R169">_xlfn.TEXTSPLIT(N169,"/",,FALSE,,#N/A)</f>
        <v>theater</v>
      </c>
      <c r="R169" t="str">
        <v>plays</v>
      </c>
      <c r="U169" s="6">
        <f t="shared" si="10"/>
        <v>41435.208333333336</v>
      </c>
      <c r="V169" s="6">
        <f t="shared" si="11"/>
        <v>41445.208333333336</v>
      </c>
    </row>
    <row r="170" spans="1:22" ht="19.5" x14ac:dyDescent="0.4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12">
        <f t="shared" si="8"/>
        <v>0.3130913348946136</v>
      </c>
      <c r="P170" s="13">
        <f t="shared" si="9"/>
        <v>41.996858638743454</v>
      </c>
      <c r="Q170" t="str" cm="1">
        <f t="array" ref="Q170:R170">_xlfn.TEXTSPLIT(N170,"/",,FALSE,,#N/A)</f>
        <v>music</v>
      </c>
      <c r="R170" t="str">
        <v>indie rock</v>
      </c>
      <c r="U170" s="6">
        <f t="shared" si="10"/>
        <v>43518.25</v>
      </c>
      <c r="V170" s="6">
        <f t="shared" si="11"/>
        <v>43541.208333333328</v>
      </c>
    </row>
    <row r="171" spans="1:22" ht="19.5" x14ac:dyDescent="0.4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12">
        <f t="shared" si="8"/>
        <v>4.240815450643777</v>
      </c>
      <c r="P171" s="13">
        <f t="shared" si="9"/>
        <v>77.988161010260455</v>
      </c>
      <c r="Q171" t="str" cm="1">
        <f t="array" ref="Q171:R171">_xlfn.TEXTSPLIT(N171,"/",,FALSE,,#N/A)</f>
        <v>film &amp; video</v>
      </c>
      <c r="R171" t="str">
        <v>shorts</v>
      </c>
      <c r="U171" s="6">
        <f t="shared" si="10"/>
        <v>41077.208333333336</v>
      </c>
      <c r="V171" s="6">
        <f t="shared" si="11"/>
        <v>41105.208333333336</v>
      </c>
    </row>
    <row r="172" spans="1:22" ht="19.5" x14ac:dyDescent="0.4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12">
        <f t="shared" si="8"/>
        <v>2.9388623072833599E-2</v>
      </c>
      <c r="P172" s="13">
        <f t="shared" si="9"/>
        <v>82.507462686567166</v>
      </c>
      <c r="Q172" t="str" cm="1">
        <f t="array" ref="Q172:R172">_xlfn.TEXTSPLIT(N172,"/",,FALSE,,#N/A)</f>
        <v>music</v>
      </c>
      <c r="R172" t="str">
        <v>indie rock</v>
      </c>
      <c r="U172" s="6">
        <f t="shared" si="10"/>
        <v>42950.208333333328</v>
      </c>
      <c r="V172" s="6">
        <f t="shared" si="11"/>
        <v>42957.208333333328</v>
      </c>
    </row>
    <row r="173" spans="1:22" ht="33.75" x14ac:dyDescent="0.4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12">
        <f t="shared" si="8"/>
        <v>0.1063265306122449</v>
      </c>
      <c r="P173" s="13">
        <f t="shared" si="9"/>
        <v>104.2</v>
      </c>
      <c r="Q173" t="str" cm="1">
        <f t="array" ref="Q173:R173">_xlfn.TEXTSPLIT(N173,"/",,FALSE,,#N/A)</f>
        <v>publishing</v>
      </c>
      <c r="R173" t="str">
        <v>translations</v>
      </c>
      <c r="U173" s="6">
        <f t="shared" si="10"/>
        <v>41718.208333333336</v>
      </c>
      <c r="V173" s="6">
        <f t="shared" si="11"/>
        <v>41740.208333333336</v>
      </c>
    </row>
    <row r="174" spans="1:22" ht="19.5" x14ac:dyDescent="0.4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12">
        <f t="shared" si="8"/>
        <v>0.82874999999999999</v>
      </c>
      <c r="P174" s="13">
        <f t="shared" si="9"/>
        <v>25.5</v>
      </c>
      <c r="Q174" t="str" cm="1">
        <f t="array" ref="Q174:R174">_xlfn.TEXTSPLIT(N174,"/",,FALSE,,#N/A)</f>
        <v>film &amp; video</v>
      </c>
      <c r="R174" t="str">
        <v>documentary</v>
      </c>
      <c r="U174" s="6">
        <f t="shared" si="10"/>
        <v>41839.208333333336</v>
      </c>
      <c r="V174" s="6">
        <f t="shared" si="11"/>
        <v>41854.208333333336</v>
      </c>
    </row>
    <row r="175" spans="1:22" ht="19.5" x14ac:dyDescent="0.4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12">
        <f t="shared" si="8"/>
        <v>1.6301447776628748</v>
      </c>
      <c r="P175" s="13">
        <f t="shared" si="9"/>
        <v>100.98334401024984</v>
      </c>
      <c r="Q175" t="str" cm="1">
        <f t="array" ref="Q175:R175">_xlfn.TEXTSPLIT(N175,"/",,FALSE,,#N/A)</f>
        <v>theater</v>
      </c>
      <c r="R175" t="str">
        <v>plays</v>
      </c>
      <c r="U175" s="6">
        <f t="shared" si="10"/>
        <v>41412.208333333336</v>
      </c>
      <c r="V175" s="6">
        <f t="shared" si="11"/>
        <v>41418.208333333336</v>
      </c>
    </row>
    <row r="176" spans="1:22" ht="19.5" x14ac:dyDescent="0.4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12">
        <f t="shared" si="8"/>
        <v>8.9466666666666672</v>
      </c>
      <c r="P176" s="13">
        <f t="shared" si="9"/>
        <v>111.83333333333333</v>
      </c>
      <c r="Q176" t="str" cm="1">
        <f t="array" ref="Q176:R176">_xlfn.TEXTSPLIT(N176,"/",,FALSE,,#N/A)</f>
        <v>technology</v>
      </c>
      <c r="R176" t="str">
        <v>wearables</v>
      </c>
      <c r="U176" s="6">
        <f t="shared" si="10"/>
        <v>42282.208333333328</v>
      </c>
      <c r="V176" s="6">
        <f t="shared" si="11"/>
        <v>42283.208333333328</v>
      </c>
    </row>
    <row r="177" spans="1:22" ht="19.5" x14ac:dyDescent="0.4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12">
        <f t="shared" si="8"/>
        <v>0.26191501103752757</v>
      </c>
      <c r="P177" s="13">
        <f t="shared" si="9"/>
        <v>41.999115044247787</v>
      </c>
      <c r="Q177" t="str" cm="1">
        <f t="array" ref="Q177:R177">_xlfn.TEXTSPLIT(N177,"/",,FALSE,,#N/A)</f>
        <v>theater</v>
      </c>
      <c r="R177" t="str">
        <v>plays</v>
      </c>
      <c r="U177" s="6">
        <f t="shared" si="10"/>
        <v>42613.208333333328</v>
      </c>
      <c r="V177" s="6">
        <f t="shared" si="11"/>
        <v>42632.208333333328</v>
      </c>
    </row>
    <row r="178" spans="1:22" ht="33.75" x14ac:dyDescent="0.4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12">
        <f t="shared" si="8"/>
        <v>0.74834782608695649</v>
      </c>
      <c r="P178" s="13">
        <f t="shared" si="9"/>
        <v>110.05115089514067</v>
      </c>
      <c r="Q178" t="str" cm="1">
        <f t="array" ref="Q178:R178">_xlfn.TEXTSPLIT(N178,"/",,FALSE,,#N/A)</f>
        <v>theater</v>
      </c>
      <c r="R178" t="str">
        <v>plays</v>
      </c>
      <c r="U178" s="6">
        <f t="shared" si="10"/>
        <v>42616.208333333328</v>
      </c>
      <c r="V178" s="6">
        <f t="shared" si="11"/>
        <v>42625.208333333328</v>
      </c>
    </row>
    <row r="179" spans="1:22" ht="19.5" x14ac:dyDescent="0.4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12">
        <f t="shared" si="8"/>
        <v>4.1647680412371137</v>
      </c>
      <c r="P179" s="13">
        <f t="shared" si="9"/>
        <v>58.997079225994888</v>
      </c>
      <c r="Q179" t="str" cm="1">
        <f t="array" ref="Q179:R179">_xlfn.TEXTSPLIT(N179,"/",,FALSE,,#N/A)</f>
        <v>theater</v>
      </c>
      <c r="R179" t="str">
        <v>plays</v>
      </c>
      <c r="U179" s="6">
        <f t="shared" si="10"/>
        <v>40497.25</v>
      </c>
      <c r="V179" s="6">
        <f t="shared" si="11"/>
        <v>40522.25</v>
      </c>
    </row>
    <row r="180" spans="1:22" ht="19.5" x14ac:dyDescent="0.4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12">
        <f t="shared" si="8"/>
        <v>0.96208333333333329</v>
      </c>
      <c r="P180" s="13">
        <f t="shared" si="9"/>
        <v>32.985714285714288</v>
      </c>
      <c r="Q180" t="str" cm="1">
        <f t="array" ref="Q180:R180">_xlfn.TEXTSPLIT(N180,"/",,FALSE,,#N/A)</f>
        <v>food</v>
      </c>
      <c r="R180" t="str">
        <v>food trucks</v>
      </c>
      <c r="U180" s="6">
        <f t="shared" si="10"/>
        <v>42999.208333333328</v>
      </c>
      <c r="V180" s="6">
        <f t="shared" si="11"/>
        <v>43008.208333333328</v>
      </c>
    </row>
    <row r="181" spans="1:22" ht="33.75" x14ac:dyDescent="0.4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12">
        <f t="shared" si="8"/>
        <v>3.5771910112359548</v>
      </c>
      <c r="P181" s="13">
        <f t="shared" si="9"/>
        <v>45.005654509471306</v>
      </c>
      <c r="Q181" t="str" cm="1">
        <f t="array" ref="Q181:R181">_xlfn.TEXTSPLIT(N181,"/",,FALSE,,#N/A)</f>
        <v>theater</v>
      </c>
      <c r="R181" t="str">
        <v>plays</v>
      </c>
      <c r="U181" s="6">
        <f t="shared" si="10"/>
        <v>41350.208333333336</v>
      </c>
      <c r="V181" s="6">
        <f t="shared" si="11"/>
        <v>41351.208333333336</v>
      </c>
    </row>
    <row r="182" spans="1:22" ht="19.5" x14ac:dyDescent="0.4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12">
        <f t="shared" si="8"/>
        <v>3.0845714285714285</v>
      </c>
      <c r="P182" s="13">
        <f t="shared" si="9"/>
        <v>81.98196487897485</v>
      </c>
      <c r="Q182" t="str" cm="1">
        <f t="array" ref="Q182:R182">_xlfn.TEXTSPLIT(N182,"/",,FALSE,,#N/A)</f>
        <v>technology</v>
      </c>
      <c r="R182" t="str">
        <v>wearables</v>
      </c>
      <c r="U182" s="6">
        <f t="shared" si="10"/>
        <v>40259.208333333336</v>
      </c>
      <c r="V182" s="6">
        <f t="shared" si="11"/>
        <v>40264.208333333336</v>
      </c>
    </row>
    <row r="183" spans="1:22" ht="19.5" x14ac:dyDescent="0.4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12">
        <f t="shared" si="8"/>
        <v>0.61802325581395345</v>
      </c>
      <c r="P183" s="13">
        <f t="shared" si="9"/>
        <v>39.080882352941174</v>
      </c>
      <c r="Q183" t="str" cm="1">
        <f t="array" ref="Q183:R183">_xlfn.TEXTSPLIT(N183,"/",,FALSE,,#N/A)</f>
        <v>technology</v>
      </c>
      <c r="R183" t="str">
        <v>web</v>
      </c>
      <c r="U183" s="6">
        <f t="shared" si="10"/>
        <v>43012.208333333328</v>
      </c>
      <c r="V183" s="6">
        <f t="shared" si="11"/>
        <v>43030.208333333328</v>
      </c>
    </row>
    <row r="184" spans="1:22" ht="33.75" x14ac:dyDescent="0.4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12">
        <f t="shared" si="8"/>
        <v>7.2232472324723247</v>
      </c>
      <c r="P184" s="13">
        <f t="shared" si="9"/>
        <v>58.996383363471971</v>
      </c>
      <c r="Q184" t="str" cm="1">
        <f t="array" ref="Q184:R184">_xlfn.TEXTSPLIT(N184,"/",,FALSE,,#N/A)</f>
        <v>theater</v>
      </c>
      <c r="R184" t="str">
        <v>plays</v>
      </c>
      <c r="U184" s="6">
        <f t="shared" si="10"/>
        <v>43631.208333333328</v>
      </c>
      <c r="V184" s="6">
        <f t="shared" si="11"/>
        <v>43647.208333333328</v>
      </c>
    </row>
    <row r="185" spans="1:22" ht="33.75" x14ac:dyDescent="0.4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12">
        <f t="shared" si="8"/>
        <v>0.69117647058823528</v>
      </c>
      <c r="P185" s="13">
        <f t="shared" si="9"/>
        <v>40.988372093023258</v>
      </c>
      <c r="Q185" t="str" cm="1">
        <f t="array" ref="Q185:R185">_xlfn.TEXTSPLIT(N185,"/",,FALSE,,#N/A)</f>
        <v>music</v>
      </c>
      <c r="R185" t="str">
        <v>rock</v>
      </c>
      <c r="U185" s="6">
        <f t="shared" si="10"/>
        <v>40430.208333333336</v>
      </c>
      <c r="V185" s="6">
        <f t="shared" si="11"/>
        <v>40443.208333333336</v>
      </c>
    </row>
    <row r="186" spans="1:22" ht="19.5" x14ac:dyDescent="0.4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12">
        <f t="shared" si="8"/>
        <v>2.9305555555555554</v>
      </c>
      <c r="P186" s="13">
        <f t="shared" si="9"/>
        <v>31.029411764705884</v>
      </c>
      <c r="Q186" t="str" cm="1">
        <f t="array" ref="Q186:R186">_xlfn.TEXTSPLIT(N186,"/",,FALSE,,#N/A)</f>
        <v>theater</v>
      </c>
      <c r="R186" t="str">
        <v>plays</v>
      </c>
      <c r="U186" s="6">
        <f t="shared" si="10"/>
        <v>43588.208333333328</v>
      </c>
      <c r="V186" s="6">
        <f t="shared" si="11"/>
        <v>43589.208333333328</v>
      </c>
    </row>
    <row r="187" spans="1:22" ht="19.5" x14ac:dyDescent="0.4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12">
        <f t="shared" si="8"/>
        <v>0.71799999999999997</v>
      </c>
      <c r="P187" s="13">
        <f t="shared" si="9"/>
        <v>37.789473684210527</v>
      </c>
      <c r="Q187" t="str" cm="1">
        <f t="array" ref="Q187:R187">_xlfn.TEXTSPLIT(N187,"/",,FALSE,,#N/A)</f>
        <v>film &amp; video</v>
      </c>
      <c r="R187" t="str">
        <v>television</v>
      </c>
      <c r="U187" s="6">
        <f t="shared" si="10"/>
        <v>43233.208333333328</v>
      </c>
      <c r="V187" s="6">
        <f t="shared" si="11"/>
        <v>43244.208333333328</v>
      </c>
    </row>
    <row r="188" spans="1:22" ht="19.5" x14ac:dyDescent="0.4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12">
        <f t="shared" si="8"/>
        <v>0.31934684684684683</v>
      </c>
      <c r="P188" s="13">
        <f t="shared" si="9"/>
        <v>32.006772009029348</v>
      </c>
      <c r="Q188" t="str" cm="1">
        <f t="array" ref="Q188:R188">_xlfn.TEXTSPLIT(N188,"/",,FALSE,,#N/A)</f>
        <v>theater</v>
      </c>
      <c r="R188" t="str">
        <v>plays</v>
      </c>
      <c r="U188" s="6">
        <f t="shared" si="10"/>
        <v>41782.208333333336</v>
      </c>
      <c r="V188" s="6">
        <f t="shared" si="11"/>
        <v>41797.208333333336</v>
      </c>
    </row>
    <row r="189" spans="1:22" ht="19.5" x14ac:dyDescent="0.4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12">
        <f t="shared" si="8"/>
        <v>2.2987375415282392</v>
      </c>
      <c r="P189" s="13">
        <f t="shared" si="9"/>
        <v>95.966712898751737</v>
      </c>
      <c r="Q189" t="str" cm="1">
        <f t="array" ref="Q189:R189">_xlfn.TEXTSPLIT(N189,"/",,FALSE,,#N/A)</f>
        <v>film &amp; video</v>
      </c>
      <c r="R189" t="str">
        <v>shorts</v>
      </c>
      <c r="U189" s="6">
        <f t="shared" si="10"/>
        <v>41328.25</v>
      </c>
      <c r="V189" s="6">
        <f t="shared" si="11"/>
        <v>41356.208333333336</v>
      </c>
    </row>
    <row r="190" spans="1:22" ht="19.5" x14ac:dyDescent="0.4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12">
        <f t="shared" si="8"/>
        <v>0.3201219512195122</v>
      </c>
      <c r="P190" s="13">
        <f t="shared" si="9"/>
        <v>75</v>
      </c>
      <c r="Q190" t="str" cm="1">
        <f t="array" ref="Q190:R190">_xlfn.TEXTSPLIT(N190,"/",,FALSE,,#N/A)</f>
        <v>theater</v>
      </c>
      <c r="R190" t="str">
        <v>plays</v>
      </c>
      <c r="U190" s="6">
        <f t="shared" si="10"/>
        <v>41975.25</v>
      </c>
      <c r="V190" s="6">
        <f t="shared" si="11"/>
        <v>41976.25</v>
      </c>
    </row>
    <row r="191" spans="1:22" ht="19.5" x14ac:dyDescent="0.4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12">
        <f t="shared" si="8"/>
        <v>0.23525352848928385</v>
      </c>
      <c r="P191" s="13">
        <f t="shared" si="9"/>
        <v>102.0498866213152</v>
      </c>
      <c r="Q191" t="str" cm="1">
        <f t="array" ref="Q191:R191">_xlfn.TEXTSPLIT(N191,"/",,FALSE,,#N/A)</f>
        <v>theater</v>
      </c>
      <c r="R191" t="str">
        <v>plays</v>
      </c>
      <c r="U191" s="6">
        <f t="shared" si="10"/>
        <v>42433.25</v>
      </c>
      <c r="V191" s="6">
        <f t="shared" si="11"/>
        <v>42433.25</v>
      </c>
    </row>
    <row r="192" spans="1:22" ht="19.5" x14ac:dyDescent="0.4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12">
        <f t="shared" si="8"/>
        <v>0.68594594594594593</v>
      </c>
      <c r="P192" s="13">
        <f t="shared" si="9"/>
        <v>105.75</v>
      </c>
      <c r="Q192" t="str" cm="1">
        <f t="array" ref="Q192:R192">_xlfn.TEXTSPLIT(N192,"/",,FALSE,,#N/A)</f>
        <v>theater</v>
      </c>
      <c r="R192" t="str">
        <v>plays</v>
      </c>
      <c r="U192" s="6">
        <f t="shared" si="10"/>
        <v>41429.208333333336</v>
      </c>
      <c r="V192" s="6">
        <f t="shared" si="11"/>
        <v>41430.208333333336</v>
      </c>
    </row>
    <row r="193" spans="1:22" ht="19.5" x14ac:dyDescent="0.4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12">
        <f t="shared" si="8"/>
        <v>0.37952380952380954</v>
      </c>
      <c r="P193" s="13">
        <f t="shared" si="9"/>
        <v>37.069767441860463</v>
      </c>
      <c r="Q193" t="str" cm="1">
        <f t="array" ref="Q193:R193">_xlfn.TEXTSPLIT(N193,"/",,FALSE,,#N/A)</f>
        <v>theater</v>
      </c>
      <c r="R193" t="str">
        <v>plays</v>
      </c>
      <c r="U193" s="6">
        <f t="shared" si="10"/>
        <v>43536.208333333328</v>
      </c>
      <c r="V193" s="6">
        <f t="shared" si="11"/>
        <v>43539.208333333328</v>
      </c>
    </row>
    <row r="194" spans="1:22" ht="19.5" x14ac:dyDescent="0.4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12">
        <f t="shared" si="8"/>
        <v>0.19992957746478873</v>
      </c>
      <c r="P194" s="13">
        <f t="shared" si="9"/>
        <v>35.049382716049379</v>
      </c>
      <c r="Q194" t="str" cm="1">
        <f t="array" ref="Q194:R194">_xlfn.TEXTSPLIT(N194,"/",,FALSE,,#N/A)</f>
        <v>music</v>
      </c>
      <c r="R194" t="str">
        <v>rock</v>
      </c>
      <c r="U194" s="6">
        <f t="shared" si="10"/>
        <v>41817.208333333336</v>
      </c>
      <c r="V194" s="6">
        <f t="shared" si="11"/>
        <v>41821.208333333336</v>
      </c>
    </row>
    <row r="195" spans="1:22" ht="19.5" x14ac:dyDescent="0.4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12">
        <f t="shared" ref="O195:O258" si="12">E195/D195</f>
        <v>0.45636363636363636</v>
      </c>
      <c r="P195" s="13">
        <f t="shared" ref="P195:P258" si="13">E195/G195</f>
        <v>46.338461538461537</v>
      </c>
      <c r="Q195" t="str" cm="1">
        <f t="array" ref="Q195:R195">_xlfn.TEXTSPLIT(N195,"/",,FALSE,,#N/A)</f>
        <v>music</v>
      </c>
      <c r="R195" t="str">
        <v>indie rock</v>
      </c>
      <c r="U195" s="6">
        <f t="shared" ref="U195:U258" si="14">(((J195/60)/60)/24)+DATE(1970,1,1)</f>
        <v>43198.208333333328</v>
      </c>
      <c r="V195" s="6">
        <f t="shared" ref="V195:V258" si="15">(((K195/60)/60)/24)+DATE(1970,1,1)</f>
        <v>43202.208333333328</v>
      </c>
    </row>
    <row r="196" spans="1:22" ht="19.5" x14ac:dyDescent="0.4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12">
        <f t="shared" si="12"/>
        <v>1.227605633802817</v>
      </c>
      <c r="P196" s="13">
        <f t="shared" si="13"/>
        <v>69.174603174603178</v>
      </c>
      <c r="Q196" t="str" cm="1">
        <f t="array" ref="Q196:R196">_xlfn.TEXTSPLIT(N196,"/",,FALSE,,#N/A)</f>
        <v>music</v>
      </c>
      <c r="R196" t="str">
        <v>metal</v>
      </c>
      <c r="U196" s="6">
        <f t="shared" si="14"/>
        <v>42261.208333333328</v>
      </c>
      <c r="V196" s="6">
        <f t="shared" si="15"/>
        <v>42277.208333333328</v>
      </c>
    </row>
    <row r="197" spans="1:22" ht="19.5" x14ac:dyDescent="0.4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12">
        <f t="shared" si="12"/>
        <v>3.61753164556962</v>
      </c>
      <c r="P197" s="13">
        <f t="shared" si="13"/>
        <v>109.07824427480917</v>
      </c>
      <c r="Q197" t="str" cm="1">
        <f t="array" ref="Q197:R197">_xlfn.TEXTSPLIT(N197,"/",,FALSE,,#N/A)</f>
        <v>music</v>
      </c>
      <c r="R197" t="str">
        <v>electric music</v>
      </c>
      <c r="U197" s="6">
        <f t="shared" si="14"/>
        <v>43310.208333333328</v>
      </c>
      <c r="V197" s="6">
        <f t="shared" si="15"/>
        <v>43317.208333333328</v>
      </c>
    </row>
    <row r="198" spans="1:22" ht="19.5" x14ac:dyDescent="0.4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12">
        <f t="shared" si="12"/>
        <v>0.63146341463414635</v>
      </c>
      <c r="P198" s="13">
        <f t="shared" si="13"/>
        <v>51.78</v>
      </c>
      <c r="Q198" t="str" cm="1">
        <f t="array" ref="Q198:R198">_xlfn.TEXTSPLIT(N198,"/",,FALSE,,#N/A)</f>
        <v>technology</v>
      </c>
      <c r="R198" t="str">
        <v>wearables</v>
      </c>
      <c r="U198" s="6">
        <f t="shared" si="14"/>
        <v>42616.208333333328</v>
      </c>
      <c r="V198" s="6">
        <f t="shared" si="15"/>
        <v>42635.208333333328</v>
      </c>
    </row>
    <row r="199" spans="1:22" ht="19.5" x14ac:dyDescent="0.4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12">
        <f t="shared" si="12"/>
        <v>2.9820475319926874</v>
      </c>
      <c r="P199" s="13">
        <f t="shared" si="13"/>
        <v>82.010055304172951</v>
      </c>
      <c r="Q199" t="str" cm="1">
        <f t="array" ref="Q199:R199">_xlfn.TEXTSPLIT(N199,"/",,FALSE,,#N/A)</f>
        <v>film &amp; video</v>
      </c>
      <c r="R199" t="str">
        <v>drama</v>
      </c>
      <c r="U199" s="6">
        <f t="shared" si="14"/>
        <v>42909.208333333328</v>
      </c>
      <c r="V199" s="6">
        <f t="shared" si="15"/>
        <v>42923.208333333328</v>
      </c>
    </row>
    <row r="200" spans="1:22" ht="19.5" x14ac:dyDescent="0.4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12">
        <f t="shared" si="12"/>
        <v>9.5585443037974685E-2</v>
      </c>
      <c r="P200" s="13">
        <f t="shared" si="13"/>
        <v>35.958333333333336</v>
      </c>
      <c r="Q200" t="str" cm="1">
        <f t="array" ref="Q200:R200">_xlfn.TEXTSPLIT(N200,"/",,FALSE,,#N/A)</f>
        <v>music</v>
      </c>
      <c r="R200" t="str">
        <v>electric music</v>
      </c>
      <c r="U200" s="6">
        <f t="shared" si="14"/>
        <v>40396.208333333336</v>
      </c>
      <c r="V200" s="6">
        <f t="shared" si="15"/>
        <v>40425.208333333336</v>
      </c>
    </row>
    <row r="201" spans="1:22" ht="19.5" x14ac:dyDescent="0.4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12">
        <f t="shared" si="12"/>
        <v>0.5377777777777778</v>
      </c>
      <c r="P201" s="13">
        <f t="shared" si="13"/>
        <v>74.461538461538467</v>
      </c>
      <c r="Q201" t="str" cm="1">
        <f t="array" ref="Q201:R201">_xlfn.TEXTSPLIT(N201,"/",,FALSE,,#N/A)</f>
        <v>music</v>
      </c>
      <c r="R201" t="str">
        <v>rock</v>
      </c>
      <c r="U201" s="6">
        <f t="shared" si="14"/>
        <v>42192.208333333328</v>
      </c>
      <c r="V201" s="6">
        <f t="shared" si="15"/>
        <v>42196.208333333328</v>
      </c>
    </row>
    <row r="202" spans="1:22" ht="19.5" x14ac:dyDescent="0.4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12">
        <f t="shared" si="12"/>
        <v>0.02</v>
      </c>
      <c r="P202" s="13">
        <f t="shared" si="13"/>
        <v>2</v>
      </c>
      <c r="Q202" t="str" cm="1">
        <f t="array" ref="Q202:R202">_xlfn.TEXTSPLIT(N202,"/",,FALSE,,#N/A)</f>
        <v>theater</v>
      </c>
      <c r="R202" t="str">
        <v>plays</v>
      </c>
      <c r="U202" s="6">
        <f t="shared" si="14"/>
        <v>40262.208333333336</v>
      </c>
      <c r="V202" s="6">
        <f t="shared" si="15"/>
        <v>40273.208333333336</v>
      </c>
    </row>
    <row r="203" spans="1:22" ht="19.5" x14ac:dyDescent="0.4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12">
        <f t="shared" si="12"/>
        <v>6.8119047619047617</v>
      </c>
      <c r="P203" s="13">
        <f t="shared" si="13"/>
        <v>91.114649681528661</v>
      </c>
      <c r="Q203" t="str" cm="1">
        <f t="array" ref="Q203:R203">_xlfn.TEXTSPLIT(N203,"/",,FALSE,,#N/A)</f>
        <v>technology</v>
      </c>
      <c r="R203" t="str">
        <v>web</v>
      </c>
      <c r="U203" s="6">
        <f t="shared" si="14"/>
        <v>41845.208333333336</v>
      </c>
      <c r="V203" s="6">
        <f t="shared" si="15"/>
        <v>41863.208333333336</v>
      </c>
    </row>
    <row r="204" spans="1:22" ht="19.5" x14ac:dyDescent="0.4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12">
        <f t="shared" si="12"/>
        <v>0.78831325301204824</v>
      </c>
      <c r="P204" s="13">
        <f t="shared" si="13"/>
        <v>79.792682926829272</v>
      </c>
      <c r="Q204" t="str" cm="1">
        <f t="array" ref="Q204:R204">_xlfn.TEXTSPLIT(N204,"/",,FALSE,,#N/A)</f>
        <v>food</v>
      </c>
      <c r="R204" t="str">
        <v>food trucks</v>
      </c>
      <c r="U204" s="6">
        <f t="shared" si="14"/>
        <v>40818.208333333336</v>
      </c>
      <c r="V204" s="6">
        <f t="shared" si="15"/>
        <v>40822.208333333336</v>
      </c>
    </row>
    <row r="205" spans="1:22" ht="33.75" x14ac:dyDescent="0.4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12">
        <f t="shared" si="12"/>
        <v>1.3440792216817234</v>
      </c>
      <c r="P205" s="13">
        <f t="shared" si="13"/>
        <v>42.999777678968428</v>
      </c>
      <c r="Q205" t="str" cm="1">
        <f t="array" ref="Q205:R205">_xlfn.TEXTSPLIT(N205,"/",,FALSE,,#N/A)</f>
        <v>theater</v>
      </c>
      <c r="R205" t="str">
        <v>plays</v>
      </c>
      <c r="U205" s="6">
        <f t="shared" si="14"/>
        <v>42752.25</v>
      </c>
      <c r="V205" s="6">
        <f t="shared" si="15"/>
        <v>42754.25</v>
      </c>
    </row>
    <row r="206" spans="1:22" ht="19.5" x14ac:dyDescent="0.4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12">
        <f t="shared" si="12"/>
        <v>3.372E-2</v>
      </c>
      <c r="P206" s="13">
        <f t="shared" si="13"/>
        <v>63.225000000000001</v>
      </c>
      <c r="Q206" t="str" cm="1">
        <f t="array" ref="Q206:R206">_xlfn.TEXTSPLIT(N206,"/",,FALSE,,#N/A)</f>
        <v>music</v>
      </c>
      <c r="R206" t="str">
        <v>jazz</v>
      </c>
      <c r="U206" s="6">
        <f t="shared" si="14"/>
        <v>40636.208333333336</v>
      </c>
      <c r="V206" s="6">
        <f t="shared" si="15"/>
        <v>40646.208333333336</v>
      </c>
    </row>
    <row r="207" spans="1:22" ht="19.5" x14ac:dyDescent="0.4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12">
        <f t="shared" si="12"/>
        <v>4.3184615384615386</v>
      </c>
      <c r="P207" s="13">
        <f t="shared" si="13"/>
        <v>70.174999999999997</v>
      </c>
      <c r="Q207" t="str" cm="1">
        <f t="array" ref="Q207:R207">_xlfn.TEXTSPLIT(N207,"/",,FALSE,,#N/A)</f>
        <v>theater</v>
      </c>
      <c r="R207" t="str">
        <v>plays</v>
      </c>
      <c r="U207" s="6">
        <f t="shared" si="14"/>
        <v>43390.208333333328</v>
      </c>
      <c r="V207" s="6">
        <f t="shared" si="15"/>
        <v>43402.208333333328</v>
      </c>
    </row>
    <row r="208" spans="1:22" ht="19.5" x14ac:dyDescent="0.4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12">
        <f t="shared" si="12"/>
        <v>0.38844444444444443</v>
      </c>
      <c r="P208" s="13">
        <f t="shared" si="13"/>
        <v>61.333333333333336</v>
      </c>
      <c r="Q208" t="str" cm="1">
        <f t="array" ref="Q208:R208">_xlfn.TEXTSPLIT(N208,"/",,FALSE,,#N/A)</f>
        <v>publishing</v>
      </c>
      <c r="R208" t="str">
        <v>fiction</v>
      </c>
      <c r="U208" s="6">
        <f t="shared" si="14"/>
        <v>40236.25</v>
      </c>
      <c r="V208" s="6">
        <f t="shared" si="15"/>
        <v>40245.25</v>
      </c>
    </row>
    <row r="209" spans="1:22" ht="33.75" x14ac:dyDescent="0.4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12">
        <f t="shared" si="12"/>
        <v>4.2569999999999997</v>
      </c>
      <c r="P209" s="13">
        <f t="shared" si="13"/>
        <v>99</v>
      </c>
      <c r="Q209" t="str" cm="1">
        <f t="array" ref="Q209:R209">_xlfn.TEXTSPLIT(N209,"/",,FALSE,,#N/A)</f>
        <v>music</v>
      </c>
      <c r="R209" t="str">
        <v>rock</v>
      </c>
      <c r="U209" s="6">
        <f t="shared" si="14"/>
        <v>43340.208333333328</v>
      </c>
      <c r="V209" s="6">
        <f t="shared" si="15"/>
        <v>43360.208333333328</v>
      </c>
    </row>
    <row r="210" spans="1:22" ht="19.5" x14ac:dyDescent="0.4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12">
        <f t="shared" si="12"/>
        <v>1.0112239715591671</v>
      </c>
      <c r="P210" s="13">
        <f t="shared" si="13"/>
        <v>96.984900146127615</v>
      </c>
      <c r="Q210" t="str" cm="1">
        <f t="array" ref="Q210:R210">_xlfn.TEXTSPLIT(N210,"/",,FALSE,,#N/A)</f>
        <v>film &amp; video</v>
      </c>
      <c r="R210" t="str">
        <v>documentary</v>
      </c>
      <c r="U210" s="6">
        <f t="shared" si="14"/>
        <v>43048.25</v>
      </c>
      <c r="V210" s="6">
        <f t="shared" si="15"/>
        <v>43072.25</v>
      </c>
    </row>
    <row r="211" spans="1:22" ht="19.5" x14ac:dyDescent="0.4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12">
        <f t="shared" si="12"/>
        <v>0.21188688946015424</v>
      </c>
      <c r="P211" s="13">
        <f t="shared" si="13"/>
        <v>51.004950495049506</v>
      </c>
      <c r="Q211" t="str" cm="1">
        <f t="array" ref="Q211:R211">_xlfn.TEXTSPLIT(N211,"/",,FALSE,,#N/A)</f>
        <v>film &amp; video</v>
      </c>
      <c r="R211" t="str">
        <v>documentary</v>
      </c>
      <c r="U211" s="6">
        <f t="shared" si="14"/>
        <v>42496.208333333328</v>
      </c>
      <c r="V211" s="6">
        <f t="shared" si="15"/>
        <v>42503.208333333328</v>
      </c>
    </row>
    <row r="212" spans="1:22" ht="19.5" x14ac:dyDescent="0.4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12">
        <f t="shared" si="12"/>
        <v>0.67425531914893622</v>
      </c>
      <c r="P212" s="13">
        <f t="shared" si="13"/>
        <v>28.044247787610619</v>
      </c>
      <c r="Q212" t="str" cm="1">
        <f t="array" ref="Q212:R212">_xlfn.TEXTSPLIT(N212,"/",,FALSE,,#N/A)</f>
        <v>film &amp; video</v>
      </c>
      <c r="R212" t="str">
        <v>science fiction</v>
      </c>
      <c r="U212" s="6">
        <f t="shared" si="14"/>
        <v>42797.25</v>
      </c>
      <c r="V212" s="6">
        <f t="shared" si="15"/>
        <v>42824.208333333328</v>
      </c>
    </row>
    <row r="213" spans="1:22" ht="33.75" x14ac:dyDescent="0.4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12">
        <f t="shared" si="12"/>
        <v>0.9492337164750958</v>
      </c>
      <c r="P213" s="13">
        <f t="shared" si="13"/>
        <v>60.984615384615381</v>
      </c>
      <c r="Q213" t="str" cm="1">
        <f t="array" ref="Q213:R213">_xlfn.TEXTSPLIT(N213,"/",,FALSE,,#N/A)</f>
        <v>theater</v>
      </c>
      <c r="R213" t="str">
        <v>plays</v>
      </c>
      <c r="U213" s="6">
        <f t="shared" si="14"/>
        <v>41513.208333333336</v>
      </c>
      <c r="V213" s="6">
        <f t="shared" si="15"/>
        <v>41537.208333333336</v>
      </c>
    </row>
    <row r="214" spans="1:22" ht="19.5" x14ac:dyDescent="0.4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12">
        <f t="shared" si="12"/>
        <v>1.5185185185185186</v>
      </c>
      <c r="P214" s="13">
        <f t="shared" si="13"/>
        <v>73.214285714285708</v>
      </c>
      <c r="Q214" t="str" cm="1">
        <f t="array" ref="Q214:R214">_xlfn.TEXTSPLIT(N214,"/",,FALSE,,#N/A)</f>
        <v>theater</v>
      </c>
      <c r="R214" t="str">
        <v>plays</v>
      </c>
      <c r="U214" s="6">
        <f t="shared" si="14"/>
        <v>43814.25</v>
      </c>
      <c r="V214" s="6">
        <f t="shared" si="15"/>
        <v>43860.25</v>
      </c>
    </row>
    <row r="215" spans="1:22" ht="33.75" x14ac:dyDescent="0.4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12">
        <f t="shared" si="12"/>
        <v>1.9516382252559727</v>
      </c>
      <c r="P215" s="13">
        <f t="shared" si="13"/>
        <v>39.997435299603637</v>
      </c>
      <c r="Q215" t="str" cm="1">
        <f t="array" ref="Q215:R215">_xlfn.TEXTSPLIT(N215,"/",,FALSE,,#N/A)</f>
        <v>music</v>
      </c>
      <c r="R215" t="str">
        <v>indie rock</v>
      </c>
      <c r="U215" s="6">
        <f t="shared" si="14"/>
        <v>40488.208333333336</v>
      </c>
      <c r="V215" s="6">
        <f t="shared" si="15"/>
        <v>40496.25</v>
      </c>
    </row>
    <row r="216" spans="1:22" ht="19.5" x14ac:dyDescent="0.4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12">
        <f t="shared" si="12"/>
        <v>10.231428571428571</v>
      </c>
      <c r="P216" s="13">
        <f t="shared" si="13"/>
        <v>86.812121212121212</v>
      </c>
      <c r="Q216" t="str" cm="1">
        <f t="array" ref="Q216:R216">_xlfn.TEXTSPLIT(N216,"/",,FALSE,,#N/A)</f>
        <v>music</v>
      </c>
      <c r="R216" t="str">
        <v>rock</v>
      </c>
      <c r="U216" s="6">
        <f t="shared" si="14"/>
        <v>40409.208333333336</v>
      </c>
      <c r="V216" s="6">
        <f t="shared" si="15"/>
        <v>40415.208333333336</v>
      </c>
    </row>
    <row r="217" spans="1:22" ht="19.5" x14ac:dyDescent="0.4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12">
        <f t="shared" si="12"/>
        <v>3.8418367346938778E-2</v>
      </c>
      <c r="P217" s="13">
        <f t="shared" si="13"/>
        <v>42.125874125874127</v>
      </c>
      <c r="Q217" t="str" cm="1">
        <f t="array" ref="Q217:R217">_xlfn.TEXTSPLIT(N217,"/",,FALSE,,#N/A)</f>
        <v>theater</v>
      </c>
      <c r="R217" t="str">
        <v>plays</v>
      </c>
      <c r="U217" s="6">
        <f t="shared" si="14"/>
        <v>43509.25</v>
      </c>
      <c r="V217" s="6">
        <f t="shared" si="15"/>
        <v>43511.25</v>
      </c>
    </row>
    <row r="218" spans="1:22" ht="19.5" x14ac:dyDescent="0.4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12">
        <f t="shared" si="12"/>
        <v>1.5507066557107643</v>
      </c>
      <c r="P218" s="13">
        <f t="shared" si="13"/>
        <v>103.97851239669421</v>
      </c>
      <c r="Q218" t="str" cm="1">
        <f t="array" ref="Q218:R218">_xlfn.TEXTSPLIT(N218,"/",,FALSE,,#N/A)</f>
        <v>theater</v>
      </c>
      <c r="R218" t="str">
        <v>plays</v>
      </c>
      <c r="U218" s="6">
        <f t="shared" si="14"/>
        <v>40869.25</v>
      </c>
      <c r="V218" s="6">
        <f t="shared" si="15"/>
        <v>40871.25</v>
      </c>
    </row>
    <row r="219" spans="1:22" ht="19.5" x14ac:dyDescent="0.4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12">
        <f t="shared" si="12"/>
        <v>0.44753477588871715</v>
      </c>
      <c r="P219" s="13">
        <f t="shared" si="13"/>
        <v>62.003211991434689</v>
      </c>
      <c r="Q219" t="str" cm="1">
        <f t="array" ref="Q219:R219">_xlfn.TEXTSPLIT(N219,"/",,FALSE,,#N/A)</f>
        <v>film &amp; video</v>
      </c>
      <c r="R219" t="str">
        <v>science fiction</v>
      </c>
      <c r="U219" s="6">
        <f t="shared" si="14"/>
        <v>43583.208333333328</v>
      </c>
      <c r="V219" s="6">
        <f t="shared" si="15"/>
        <v>43592.208333333328</v>
      </c>
    </row>
    <row r="220" spans="1:22" ht="19.5" x14ac:dyDescent="0.4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12">
        <f t="shared" si="12"/>
        <v>2.1594736842105262</v>
      </c>
      <c r="P220" s="13">
        <f t="shared" si="13"/>
        <v>31.005037783375315</v>
      </c>
      <c r="Q220" t="str" cm="1">
        <f t="array" ref="Q220:R220">_xlfn.TEXTSPLIT(N220,"/",,FALSE,,#N/A)</f>
        <v>film &amp; video</v>
      </c>
      <c r="R220" t="str">
        <v>shorts</v>
      </c>
      <c r="U220" s="6">
        <f t="shared" si="14"/>
        <v>40858.25</v>
      </c>
      <c r="V220" s="6">
        <f t="shared" si="15"/>
        <v>40892.25</v>
      </c>
    </row>
    <row r="221" spans="1:22" ht="19.5" x14ac:dyDescent="0.4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12">
        <f t="shared" si="12"/>
        <v>3.3212709832134291</v>
      </c>
      <c r="P221" s="13">
        <f t="shared" si="13"/>
        <v>89.991552956465242</v>
      </c>
      <c r="Q221" t="str" cm="1">
        <f t="array" ref="Q221:R221">_xlfn.TEXTSPLIT(N221,"/",,FALSE,,#N/A)</f>
        <v>film &amp; video</v>
      </c>
      <c r="R221" t="str">
        <v>animation</v>
      </c>
      <c r="U221" s="6">
        <f t="shared" si="14"/>
        <v>41137.208333333336</v>
      </c>
      <c r="V221" s="6">
        <f t="shared" si="15"/>
        <v>41149.208333333336</v>
      </c>
    </row>
    <row r="222" spans="1:22" ht="19.5" x14ac:dyDescent="0.4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12">
        <f t="shared" si="12"/>
        <v>8.4430379746835441E-2</v>
      </c>
      <c r="P222" s="13">
        <f t="shared" si="13"/>
        <v>39.235294117647058</v>
      </c>
      <c r="Q222" t="str" cm="1">
        <f t="array" ref="Q222:R222">_xlfn.TEXTSPLIT(N222,"/",,FALSE,,#N/A)</f>
        <v>theater</v>
      </c>
      <c r="R222" t="str">
        <v>plays</v>
      </c>
      <c r="U222" s="6">
        <f t="shared" si="14"/>
        <v>40725.208333333336</v>
      </c>
      <c r="V222" s="6">
        <f t="shared" si="15"/>
        <v>40743.208333333336</v>
      </c>
    </row>
    <row r="223" spans="1:22" ht="33.75" x14ac:dyDescent="0.4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12">
        <f t="shared" si="12"/>
        <v>0.9862551440329218</v>
      </c>
      <c r="P223" s="13">
        <f t="shared" si="13"/>
        <v>54.993116108306566</v>
      </c>
      <c r="Q223" t="str" cm="1">
        <f t="array" ref="Q223:R223">_xlfn.TEXTSPLIT(N223,"/",,FALSE,,#N/A)</f>
        <v>food</v>
      </c>
      <c r="R223" t="str">
        <v>food trucks</v>
      </c>
      <c r="U223" s="6">
        <f t="shared" si="14"/>
        <v>41081.208333333336</v>
      </c>
      <c r="V223" s="6">
        <f t="shared" si="15"/>
        <v>41083.208333333336</v>
      </c>
    </row>
    <row r="224" spans="1:22" ht="19.5" x14ac:dyDescent="0.4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12">
        <f t="shared" si="12"/>
        <v>1.3797916666666667</v>
      </c>
      <c r="P224" s="13">
        <f t="shared" si="13"/>
        <v>47.992753623188406</v>
      </c>
      <c r="Q224" t="str" cm="1">
        <f t="array" ref="Q224:R224">_xlfn.TEXTSPLIT(N224,"/",,FALSE,,#N/A)</f>
        <v>photography</v>
      </c>
      <c r="R224" t="str">
        <v>photography books</v>
      </c>
      <c r="U224" s="6">
        <f t="shared" si="14"/>
        <v>41914.208333333336</v>
      </c>
      <c r="V224" s="6">
        <f t="shared" si="15"/>
        <v>41915.208333333336</v>
      </c>
    </row>
    <row r="225" spans="1:22" ht="19.5" x14ac:dyDescent="0.4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12">
        <f t="shared" si="12"/>
        <v>0.93810996563573879</v>
      </c>
      <c r="P225" s="13">
        <f t="shared" si="13"/>
        <v>87.966702470461868</v>
      </c>
      <c r="Q225" t="str" cm="1">
        <f t="array" ref="Q225:R225">_xlfn.TEXTSPLIT(N225,"/",,FALSE,,#N/A)</f>
        <v>theater</v>
      </c>
      <c r="R225" t="str">
        <v>plays</v>
      </c>
      <c r="U225" s="6">
        <f t="shared" si="14"/>
        <v>42445.208333333328</v>
      </c>
      <c r="V225" s="6">
        <f t="shared" si="15"/>
        <v>42459.208333333328</v>
      </c>
    </row>
    <row r="226" spans="1:22" ht="19.5" x14ac:dyDescent="0.4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12">
        <f t="shared" si="12"/>
        <v>4.0363930885529156</v>
      </c>
      <c r="P226" s="13">
        <f t="shared" si="13"/>
        <v>51.999165275459099</v>
      </c>
      <c r="Q226" t="str" cm="1">
        <f t="array" ref="Q226:R226">_xlfn.TEXTSPLIT(N226,"/",,FALSE,,#N/A)</f>
        <v>film &amp; video</v>
      </c>
      <c r="R226" t="str">
        <v>science fiction</v>
      </c>
      <c r="U226" s="6">
        <f t="shared" si="14"/>
        <v>41906.208333333336</v>
      </c>
      <c r="V226" s="6">
        <f t="shared" si="15"/>
        <v>41951.25</v>
      </c>
    </row>
    <row r="227" spans="1:22" ht="19.5" x14ac:dyDescent="0.4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12">
        <f t="shared" si="12"/>
        <v>2.6017404129793511</v>
      </c>
      <c r="P227" s="13">
        <f t="shared" si="13"/>
        <v>29.999659863945578</v>
      </c>
      <c r="Q227" t="str" cm="1">
        <f t="array" ref="Q227:R227">_xlfn.TEXTSPLIT(N227,"/",,FALSE,,#N/A)</f>
        <v>music</v>
      </c>
      <c r="R227" t="str">
        <v>rock</v>
      </c>
      <c r="U227" s="6">
        <f t="shared" si="14"/>
        <v>41762.208333333336</v>
      </c>
      <c r="V227" s="6">
        <f t="shared" si="15"/>
        <v>41762.208333333336</v>
      </c>
    </row>
    <row r="228" spans="1:22" ht="19.5" x14ac:dyDescent="0.4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12">
        <f t="shared" si="12"/>
        <v>3.6663333333333332</v>
      </c>
      <c r="P228" s="13">
        <f t="shared" si="13"/>
        <v>98.205357142857139</v>
      </c>
      <c r="Q228" t="str" cm="1">
        <f t="array" ref="Q228:R228">_xlfn.TEXTSPLIT(N228,"/",,FALSE,,#N/A)</f>
        <v>photography</v>
      </c>
      <c r="R228" t="str">
        <v>photography books</v>
      </c>
      <c r="U228" s="6">
        <f t="shared" si="14"/>
        <v>40276.208333333336</v>
      </c>
      <c r="V228" s="6">
        <f t="shared" si="15"/>
        <v>40313.208333333336</v>
      </c>
    </row>
    <row r="229" spans="1:22" ht="19.5" x14ac:dyDescent="0.4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12">
        <f t="shared" si="12"/>
        <v>1.687208538587849</v>
      </c>
      <c r="P229" s="13">
        <f t="shared" si="13"/>
        <v>108.96182396606575</v>
      </c>
      <c r="Q229" t="str" cm="1">
        <f t="array" ref="Q229:R229">_xlfn.TEXTSPLIT(N229,"/",,FALSE,,#N/A)</f>
        <v>games</v>
      </c>
      <c r="R229" t="str">
        <v>mobile games</v>
      </c>
      <c r="U229" s="6">
        <f t="shared" si="14"/>
        <v>42139.208333333328</v>
      </c>
      <c r="V229" s="6">
        <f t="shared" si="15"/>
        <v>42145.208333333328</v>
      </c>
    </row>
    <row r="230" spans="1:22" ht="19.5" x14ac:dyDescent="0.4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12">
        <f t="shared" si="12"/>
        <v>1.1990717911530093</v>
      </c>
      <c r="P230" s="13">
        <f t="shared" si="13"/>
        <v>66.998379254457049</v>
      </c>
      <c r="Q230" t="str" cm="1">
        <f t="array" ref="Q230:R230">_xlfn.TEXTSPLIT(N230,"/",,FALSE,,#N/A)</f>
        <v>film &amp; video</v>
      </c>
      <c r="R230" t="str">
        <v>animation</v>
      </c>
      <c r="U230" s="6">
        <f t="shared" si="14"/>
        <v>42613.208333333328</v>
      </c>
      <c r="V230" s="6">
        <f t="shared" si="15"/>
        <v>42638.208333333328</v>
      </c>
    </row>
    <row r="231" spans="1:22" ht="19.5" x14ac:dyDescent="0.4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12">
        <f t="shared" si="12"/>
        <v>1.936892523364486</v>
      </c>
      <c r="P231" s="13">
        <f t="shared" si="13"/>
        <v>64.99333594668758</v>
      </c>
      <c r="Q231" t="str" cm="1">
        <f t="array" ref="Q231:R231">_xlfn.TEXTSPLIT(N231,"/",,FALSE,,#N/A)</f>
        <v>games</v>
      </c>
      <c r="R231" t="str">
        <v>mobile games</v>
      </c>
      <c r="U231" s="6">
        <f t="shared" si="14"/>
        <v>42887.208333333328</v>
      </c>
      <c r="V231" s="6">
        <f t="shared" si="15"/>
        <v>42935.208333333328</v>
      </c>
    </row>
    <row r="232" spans="1:22" ht="19.5" x14ac:dyDescent="0.4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12">
        <f t="shared" si="12"/>
        <v>4.2016666666666671</v>
      </c>
      <c r="P232" s="13">
        <f t="shared" si="13"/>
        <v>99.841584158415841</v>
      </c>
      <c r="Q232" t="str" cm="1">
        <f t="array" ref="Q232:R232">_xlfn.TEXTSPLIT(N232,"/",,FALSE,,#N/A)</f>
        <v>games</v>
      </c>
      <c r="R232" t="str">
        <v>video games</v>
      </c>
      <c r="U232" s="6">
        <f t="shared" si="14"/>
        <v>43805.25</v>
      </c>
      <c r="V232" s="6">
        <f t="shared" si="15"/>
        <v>43805.25</v>
      </c>
    </row>
    <row r="233" spans="1:22" ht="19.5" x14ac:dyDescent="0.4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12">
        <f t="shared" si="12"/>
        <v>0.76708333333333334</v>
      </c>
      <c r="P233" s="13">
        <f t="shared" si="13"/>
        <v>82.432835820895519</v>
      </c>
      <c r="Q233" t="str" cm="1">
        <f t="array" ref="Q233:R233">_xlfn.TEXTSPLIT(N233,"/",,FALSE,,#N/A)</f>
        <v>theater</v>
      </c>
      <c r="R233" t="str">
        <v>plays</v>
      </c>
      <c r="U233" s="6">
        <f t="shared" si="14"/>
        <v>41415.208333333336</v>
      </c>
      <c r="V233" s="6">
        <f t="shared" si="15"/>
        <v>41473.208333333336</v>
      </c>
    </row>
    <row r="234" spans="1:22" ht="19.5" x14ac:dyDescent="0.4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12">
        <f t="shared" si="12"/>
        <v>1.7126470588235294</v>
      </c>
      <c r="P234" s="13">
        <f t="shared" si="13"/>
        <v>63.293478260869563</v>
      </c>
      <c r="Q234" t="str" cm="1">
        <f t="array" ref="Q234:R234">_xlfn.TEXTSPLIT(N234,"/",,FALSE,,#N/A)</f>
        <v>theater</v>
      </c>
      <c r="R234" t="str">
        <v>plays</v>
      </c>
      <c r="U234" s="6">
        <f t="shared" si="14"/>
        <v>42576.208333333328</v>
      </c>
      <c r="V234" s="6">
        <f t="shared" si="15"/>
        <v>42577.208333333328</v>
      </c>
    </row>
    <row r="235" spans="1:22" ht="19.5" x14ac:dyDescent="0.4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12">
        <f t="shared" si="12"/>
        <v>1.5789473684210527</v>
      </c>
      <c r="P235" s="13">
        <f t="shared" si="13"/>
        <v>96.774193548387103</v>
      </c>
      <c r="Q235" t="str" cm="1">
        <f t="array" ref="Q235:R235">_xlfn.TEXTSPLIT(N235,"/",,FALSE,,#N/A)</f>
        <v>film &amp; video</v>
      </c>
      <c r="R235" t="str">
        <v>animation</v>
      </c>
      <c r="U235" s="6">
        <f t="shared" si="14"/>
        <v>40706.208333333336</v>
      </c>
      <c r="V235" s="6">
        <f t="shared" si="15"/>
        <v>40722.208333333336</v>
      </c>
    </row>
    <row r="236" spans="1:22" ht="19.5" x14ac:dyDescent="0.4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12">
        <f t="shared" si="12"/>
        <v>1.0908</v>
      </c>
      <c r="P236" s="13">
        <f t="shared" si="13"/>
        <v>54.906040268456373</v>
      </c>
      <c r="Q236" t="str" cm="1">
        <f t="array" ref="Q236:R236">_xlfn.TEXTSPLIT(N236,"/",,FALSE,,#N/A)</f>
        <v>games</v>
      </c>
      <c r="R236" t="str">
        <v>video games</v>
      </c>
      <c r="U236" s="6">
        <f t="shared" si="14"/>
        <v>42969.208333333328</v>
      </c>
      <c r="V236" s="6">
        <f t="shared" si="15"/>
        <v>42976.208333333328</v>
      </c>
    </row>
    <row r="237" spans="1:22" ht="33.75" x14ac:dyDescent="0.4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12">
        <f t="shared" si="12"/>
        <v>0.41732558139534881</v>
      </c>
      <c r="P237" s="13">
        <f t="shared" si="13"/>
        <v>39.010869565217391</v>
      </c>
      <c r="Q237" t="str" cm="1">
        <f t="array" ref="Q237:R237">_xlfn.TEXTSPLIT(N237,"/",,FALSE,,#N/A)</f>
        <v>film &amp; video</v>
      </c>
      <c r="R237" t="str">
        <v>animation</v>
      </c>
      <c r="U237" s="6">
        <f t="shared" si="14"/>
        <v>42779.25</v>
      </c>
      <c r="V237" s="6">
        <f t="shared" si="15"/>
        <v>42784.25</v>
      </c>
    </row>
    <row r="238" spans="1:22" ht="19.5" x14ac:dyDescent="0.4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12">
        <f t="shared" si="12"/>
        <v>0.10944303797468355</v>
      </c>
      <c r="P238" s="13">
        <f t="shared" si="13"/>
        <v>75.84210526315789</v>
      </c>
      <c r="Q238" t="str" cm="1">
        <f t="array" ref="Q238:R238">_xlfn.TEXTSPLIT(N238,"/",,FALSE,,#N/A)</f>
        <v>music</v>
      </c>
      <c r="R238" t="str">
        <v>rock</v>
      </c>
      <c r="U238" s="6">
        <f t="shared" si="14"/>
        <v>43641.208333333328</v>
      </c>
      <c r="V238" s="6">
        <f t="shared" si="15"/>
        <v>43648.208333333328</v>
      </c>
    </row>
    <row r="239" spans="1:22" ht="33.75" x14ac:dyDescent="0.4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12">
        <f t="shared" si="12"/>
        <v>1.593763440860215</v>
      </c>
      <c r="P239" s="13">
        <f t="shared" si="13"/>
        <v>45.051671732522799</v>
      </c>
      <c r="Q239" t="str" cm="1">
        <f t="array" ref="Q239:R239">_xlfn.TEXTSPLIT(N239,"/",,FALSE,,#N/A)</f>
        <v>film &amp; video</v>
      </c>
      <c r="R239" t="str">
        <v>animation</v>
      </c>
      <c r="U239" s="6">
        <f t="shared" si="14"/>
        <v>41754.208333333336</v>
      </c>
      <c r="V239" s="6">
        <f t="shared" si="15"/>
        <v>41756.208333333336</v>
      </c>
    </row>
    <row r="240" spans="1:22" ht="19.5" x14ac:dyDescent="0.4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12">
        <f t="shared" si="12"/>
        <v>4.2241666666666671</v>
      </c>
      <c r="P240" s="13">
        <f t="shared" si="13"/>
        <v>104.51546391752578</v>
      </c>
      <c r="Q240" t="str" cm="1">
        <f t="array" ref="Q240:R240">_xlfn.TEXTSPLIT(N240,"/",,FALSE,,#N/A)</f>
        <v>theater</v>
      </c>
      <c r="R240" t="str">
        <v>plays</v>
      </c>
      <c r="U240" s="6">
        <f t="shared" si="14"/>
        <v>43083.25</v>
      </c>
      <c r="V240" s="6">
        <f t="shared" si="15"/>
        <v>43108.25</v>
      </c>
    </row>
    <row r="241" spans="1:22" ht="19.5" x14ac:dyDescent="0.4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12">
        <f t="shared" si="12"/>
        <v>0.97718749999999999</v>
      </c>
      <c r="P241" s="13">
        <f t="shared" si="13"/>
        <v>76.268292682926827</v>
      </c>
      <c r="Q241" t="str" cm="1">
        <f t="array" ref="Q241:R241">_xlfn.TEXTSPLIT(N241,"/",,FALSE,,#N/A)</f>
        <v>technology</v>
      </c>
      <c r="R241" t="str">
        <v>wearables</v>
      </c>
      <c r="U241" s="6">
        <f t="shared" si="14"/>
        <v>42245.208333333328</v>
      </c>
      <c r="V241" s="6">
        <f t="shared" si="15"/>
        <v>42249.208333333328</v>
      </c>
    </row>
    <row r="242" spans="1:22" ht="19.5" x14ac:dyDescent="0.4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12">
        <f t="shared" si="12"/>
        <v>4.1878911564625847</v>
      </c>
      <c r="P242" s="13">
        <f t="shared" si="13"/>
        <v>69.015695067264573</v>
      </c>
      <c r="Q242" t="str" cm="1">
        <f t="array" ref="Q242:R242">_xlfn.TEXTSPLIT(N242,"/",,FALSE,,#N/A)</f>
        <v>theater</v>
      </c>
      <c r="R242" t="str">
        <v>plays</v>
      </c>
      <c r="U242" s="6">
        <f t="shared" si="14"/>
        <v>40396.208333333336</v>
      </c>
      <c r="V242" s="6">
        <f t="shared" si="15"/>
        <v>40397.208333333336</v>
      </c>
    </row>
    <row r="243" spans="1:22" ht="19.5" x14ac:dyDescent="0.4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12">
        <f t="shared" si="12"/>
        <v>1.0191632047477746</v>
      </c>
      <c r="P243" s="13">
        <f t="shared" si="13"/>
        <v>101.97684085510689</v>
      </c>
      <c r="Q243" t="str" cm="1">
        <f t="array" ref="Q243:R243">_xlfn.TEXTSPLIT(N243,"/",,FALSE,,#N/A)</f>
        <v>publishing</v>
      </c>
      <c r="R243" t="str">
        <v>nonfiction</v>
      </c>
      <c r="U243" s="6">
        <f t="shared" si="14"/>
        <v>41742.208333333336</v>
      </c>
      <c r="V243" s="6">
        <f t="shared" si="15"/>
        <v>41752.208333333336</v>
      </c>
    </row>
    <row r="244" spans="1:22" ht="19.5" x14ac:dyDescent="0.4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12">
        <f t="shared" si="12"/>
        <v>1.2772619047619047</v>
      </c>
      <c r="P244" s="13">
        <f t="shared" si="13"/>
        <v>42.915999999999997</v>
      </c>
      <c r="Q244" t="str" cm="1">
        <f t="array" ref="Q244:R244">_xlfn.TEXTSPLIT(N244,"/",,FALSE,,#N/A)</f>
        <v>music</v>
      </c>
      <c r="R244" t="str">
        <v>rock</v>
      </c>
      <c r="U244" s="6">
        <f t="shared" si="14"/>
        <v>42865.208333333328</v>
      </c>
      <c r="V244" s="6">
        <f t="shared" si="15"/>
        <v>42875.208333333328</v>
      </c>
    </row>
    <row r="245" spans="1:22" ht="33.75" x14ac:dyDescent="0.4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12">
        <f t="shared" si="12"/>
        <v>4.4521739130434783</v>
      </c>
      <c r="P245" s="13">
        <f t="shared" si="13"/>
        <v>43.025210084033617</v>
      </c>
      <c r="Q245" t="str" cm="1">
        <f t="array" ref="Q245:R245">_xlfn.TEXTSPLIT(N245,"/",,FALSE,,#N/A)</f>
        <v>theater</v>
      </c>
      <c r="R245" t="str">
        <v>plays</v>
      </c>
      <c r="U245" s="6">
        <f t="shared" si="14"/>
        <v>43163.25</v>
      </c>
      <c r="V245" s="6">
        <f t="shared" si="15"/>
        <v>43166.25</v>
      </c>
    </row>
    <row r="246" spans="1:22" ht="33.75" x14ac:dyDescent="0.4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12">
        <f t="shared" si="12"/>
        <v>5.6971428571428575</v>
      </c>
      <c r="P246" s="13">
        <f t="shared" si="13"/>
        <v>75.245283018867923</v>
      </c>
      <c r="Q246" t="str" cm="1">
        <f t="array" ref="Q246:R246">_xlfn.TEXTSPLIT(N246,"/",,FALSE,,#N/A)</f>
        <v>theater</v>
      </c>
      <c r="R246" t="str">
        <v>plays</v>
      </c>
      <c r="U246" s="6">
        <f t="shared" si="14"/>
        <v>41834.208333333336</v>
      </c>
      <c r="V246" s="6">
        <f t="shared" si="15"/>
        <v>41886.208333333336</v>
      </c>
    </row>
    <row r="247" spans="1:22" ht="19.5" x14ac:dyDescent="0.4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12">
        <f t="shared" si="12"/>
        <v>5.0934482758620687</v>
      </c>
      <c r="P247" s="13">
        <f t="shared" si="13"/>
        <v>69.023364485981304</v>
      </c>
      <c r="Q247" t="str" cm="1">
        <f t="array" ref="Q247:R247">_xlfn.TEXTSPLIT(N247,"/",,FALSE,,#N/A)</f>
        <v>theater</v>
      </c>
      <c r="R247" t="str">
        <v>plays</v>
      </c>
      <c r="U247" s="6">
        <f t="shared" si="14"/>
        <v>41736.208333333336</v>
      </c>
      <c r="V247" s="6">
        <f t="shared" si="15"/>
        <v>41737.208333333336</v>
      </c>
    </row>
    <row r="248" spans="1:22" ht="19.5" x14ac:dyDescent="0.4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12">
        <f t="shared" si="12"/>
        <v>3.2553333333333332</v>
      </c>
      <c r="P248" s="13">
        <f t="shared" si="13"/>
        <v>65.986486486486484</v>
      </c>
      <c r="Q248" t="str" cm="1">
        <f t="array" ref="Q248:R248">_xlfn.TEXTSPLIT(N248,"/",,FALSE,,#N/A)</f>
        <v>technology</v>
      </c>
      <c r="R248" t="str">
        <v>web</v>
      </c>
      <c r="U248" s="6">
        <f t="shared" si="14"/>
        <v>41491.208333333336</v>
      </c>
      <c r="V248" s="6">
        <f t="shared" si="15"/>
        <v>41495.208333333336</v>
      </c>
    </row>
    <row r="249" spans="1:22" ht="19.5" x14ac:dyDescent="0.4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12">
        <f t="shared" si="12"/>
        <v>9.3261616161616168</v>
      </c>
      <c r="P249" s="13">
        <f t="shared" si="13"/>
        <v>98.013800424628457</v>
      </c>
      <c r="Q249" t="str" cm="1">
        <f t="array" ref="Q249:R249">_xlfn.TEXTSPLIT(N249,"/",,FALSE,,#N/A)</f>
        <v>publishing</v>
      </c>
      <c r="R249" t="str">
        <v>fiction</v>
      </c>
      <c r="U249" s="6">
        <f t="shared" si="14"/>
        <v>42726.25</v>
      </c>
      <c r="V249" s="6">
        <f t="shared" si="15"/>
        <v>42741.25</v>
      </c>
    </row>
    <row r="250" spans="1:22" ht="19.5" x14ac:dyDescent="0.4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12">
        <f t="shared" si="12"/>
        <v>2.1133870967741935</v>
      </c>
      <c r="P250" s="13">
        <f t="shared" si="13"/>
        <v>60.105504587155963</v>
      </c>
      <c r="Q250" t="str" cm="1">
        <f t="array" ref="Q250:R250">_xlfn.TEXTSPLIT(N250,"/",,FALSE,,#N/A)</f>
        <v>games</v>
      </c>
      <c r="R250" t="str">
        <v>mobile games</v>
      </c>
      <c r="U250" s="6">
        <f t="shared" si="14"/>
        <v>42004.25</v>
      </c>
      <c r="V250" s="6">
        <f t="shared" si="15"/>
        <v>42009.25</v>
      </c>
    </row>
    <row r="251" spans="1:22" ht="19.5" x14ac:dyDescent="0.4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12">
        <f t="shared" si="12"/>
        <v>2.7332520325203253</v>
      </c>
      <c r="P251" s="13">
        <f t="shared" si="13"/>
        <v>26.000773395204948</v>
      </c>
      <c r="Q251" t="str" cm="1">
        <f t="array" ref="Q251:R251">_xlfn.TEXTSPLIT(N251,"/",,FALSE,,#N/A)</f>
        <v>publishing</v>
      </c>
      <c r="R251" t="str">
        <v>translations</v>
      </c>
      <c r="U251" s="6">
        <f t="shared" si="14"/>
        <v>42006.25</v>
      </c>
      <c r="V251" s="6">
        <f t="shared" si="15"/>
        <v>42013.25</v>
      </c>
    </row>
    <row r="252" spans="1:22" ht="19.5" x14ac:dyDescent="0.4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12">
        <f t="shared" si="12"/>
        <v>0.03</v>
      </c>
      <c r="P252" s="13">
        <f t="shared" si="13"/>
        <v>3</v>
      </c>
      <c r="Q252" t="str" cm="1">
        <f t="array" ref="Q252:R252">_xlfn.TEXTSPLIT(N252,"/",,FALSE,,#N/A)</f>
        <v>music</v>
      </c>
      <c r="R252" t="str">
        <v>rock</v>
      </c>
      <c r="U252" s="6">
        <f t="shared" si="14"/>
        <v>40203.25</v>
      </c>
      <c r="V252" s="6">
        <f t="shared" si="15"/>
        <v>40238.25</v>
      </c>
    </row>
    <row r="253" spans="1:22" ht="19.5" x14ac:dyDescent="0.4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12">
        <f t="shared" si="12"/>
        <v>0.54084507042253516</v>
      </c>
      <c r="P253" s="13">
        <f t="shared" si="13"/>
        <v>38.019801980198018</v>
      </c>
      <c r="Q253" t="str" cm="1">
        <f t="array" ref="Q253:R253">_xlfn.TEXTSPLIT(N253,"/",,FALSE,,#N/A)</f>
        <v>theater</v>
      </c>
      <c r="R253" t="str">
        <v>plays</v>
      </c>
      <c r="U253" s="6">
        <f t="shared" si="14"/>
        <v>41252.25</v>
      </c>
      <c r="V253" s="6">
        <f t="shared" si="15"/>
        <v>41254.25</v>
      </c>
    </row>
    <row r="254" spans="1:22" ht="33.75" x14ac:dyDescent="0.4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12">
        <f t="shared" si="12"/>
        <v>6.2629999999999999</v>
      </c>
      <c r="P254" s="13">
        <f t="shared" si="13"/>
        <v>106.15254237288136</v>
      </c>
      <c r="Q254" t="str" cm="1">
        <f t="array" ref="Q254:R254">_xlfn.TEXTSPLIT(N254,"/",,FALSE,,#N/A)</f>
        <v>theater</v>
      </c>
      <c r="R254" t="str">
        <v>plays</v>
      </c>
      <c r="U254" s="6">
        <f t="shared" si="14"/>
        <v>41572.208333333336</v>
      </c>
      <c r="V254" s="6">
        <f t="shared" si="15"/>
        <v>41577.208333333336</v>
      </c>
    </row>
    <row r="255" spans="1:22" ht="19.5" x14ac:dyDescent="0.4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12">
        <f t="shared" si="12"/>
        <v>0.8902139917695473</v>
      </c>
      <c r="P255" s="13">
        <f t="shared" si="13"/>
        <v>81.019475655430711</v>
      </c>
      <c r="Q255" t="str" cm="1">
        <f t="array" ref="Q255:R255">_xlfn.TEXTSPLIT(N255,"/",,FALSE,,#N/A)</f>
        <v>film &amp; video</v>
      </c>
      <c r="R255" t="str">
        <v>drama</v>
      </c>
      <c r="U255" s="6">
        <f t="shared" si="14"/>
        <v>40641.208333333336</v>
      </c>
      <c r="V255" s="6">
        <f t="shared" si="15"/>
        <v>40653.208333333336</v>
      </c>
    </row>
    <row r="256" spans="1:22" ht="33.75" x14ac:dyDescent="0.4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12">
        <f t="shared" si="12"/>
        <v>1.8489130434782608</v>
      </c>
      <c r="P256" s="13">
        <f t="shared" si="13"/>
        <v>96.647727272727266</v>
      </c>
      <c r="Q256" t="str" cm="1">
        <f t="array" ref="Q256:R256">_xlfn.TEXTSPLIT(N256,"/",,FALSE,,#N/A)</f>
        <v>publishing</v>
      </c>
      <c r="R256" t="str">
        <v>nonfiction</v>
      </c>
      <c r="U256" s="6">
        <f t="shared" si="14"/>
        <v>42787.25</v>
      </c>
      <c r="V256" s="6">
        <f t="shared" si="15"/>
        <v>42789.25</v>
      </c>
    </row>
    <row r="257" spans="1:22" ht="33.75" x14ac:dyDescent="0.4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12">
        <f t="shared" si="12"/>
        <v>1.2016770186335404</v>
      </c>
      <c r="P257" s="13">
        <f t="shared" si="13"/>
        <v>57.003535651149086</v>
      </c>
      <c r="Q257" t="str" cm="1">
        <f t="array" ref="Q257:R257">_xlfn.TEXTSPLIT(N257,"/",,FALSE,,#N/A)</f>
        <v>music</v>
      </c>
      <c r="R257" t="str">
        <v>rock</v>
      </c>
      <c r="U257" s="6">
        <f t="shared" si="14"/>
        <v>40590.25</v>
      </c>
      <c r="V257" s="6">
        <f t="shared" si="15"/>
        <v>40595.25</v>
      </c>
    </row>
    <row r="258" spans="1:22" ht="19.5" x14ac:dyDescent="0.4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12">
        <f t="shared" si="12"/>
        <v>0.23390243902439026</v>
      </c>
      <c r="P258" s="13">
        <f t="shared" si="13"/>
        <v>63.93333333333333</v>
      </c>
      <c r="Q258" t="str" cm="1">
        <f t="array" ref="Q258:R258">_xlfn.TEXTSPLIT(N258,"/",,FALSE,,#N/A)</f>
        <v>music</v>
      </c>
      <c r="R258" t="str">
        <v>rock</v>
      </c>
      <c r="U258" s="6">
        <f t="shared" si="14"/>
        <v>42393.25</v>
      </c>
      <c r="V258" s="6">
        <f t="shared" si="15"/>
        <v>42430.25</v>
      </c>
    </row>
    <row r="259" spans="1:22" ht="19.5" x14ac:dyDescent="0.4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12">
        <f t="shared" ref="O259:O322" si="16">E259/D259</f>
        <v>1.46</v>
      </c>
      <c r="P259" s="13">
        <f t="shared" ref="P259:P322" si="17">E259/G259</f>
        <v>90.456521739130437</v>
      </c>
      <c r="Q259" t="str" cm="1">
        <f t="array" ref="Q259:R259">_xlfn.TEXTSPLIT(N259,"/",,FALSE,,#N/A)</f>
        <v>theater</v>
      </c>
      <c r="R259" t="str">
        <v>plays</v>
      </c>
      <c r="U259" s="6">
        <f t="shared" ref="U259:U322" si="18">(((J259/60)/60)/24)+DATE(1970,1,1)</f>
        <v>41338.25</v>
      </c>
      <c r="V259" s="6">
        <f t="shared" ref="V259:V322" si="19">(((K259/60)/60)/24)+DATE(1970,1,1)</f>
        <v>41352.208333333336</v>
      </c>
    </row>
    <row r="260" spans="1:22" ht="19.5" x14ac:dyDescent="0.4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12">
        <f t="shared" si="16"/>
        <v>2.6848000000000001</v>
      </c>
      <c r="P260" s="13">
        <f t="shared" si="17"/>
        <v>72.172043010752688</v>
      </c>
      <c r="Q260" t="str" cm="1">
        <f t="array" ref="Q260:R260">_xlfn.TEXTSPLIT(N260,"/",,FALSE,,#N/A)</f>
        <v>theater</v>
      </c>
      <c r="R260" t="str">
        <v>plays</v>
      </c>
      <c r="U260" s="6">
        <f t="shared" si="18"/>
        <v>42712.25</v>
      </c>
      <c r="V260" s="6">
        <f t="shared" si="19"/>
        <v>42732.25</v>
      </c>
    </row>
    <row r="261" spans="1:22" ht="33.75" x14ac:dyDescent="0.4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12">
        <f t="shared" si="16"/>
        <v>5.9749999999999996</v>
      </c>
      <c r="P261" s="13">
        <f t="shared" si="17"/>
        <v>77.934782608695656</v>
      </c>
      <c r="Q261" t="str" cm="1">
        <f t="array" ref="Q261:R261">_xlfn.TEXTSPLIT(N261,"/",,FALSE,,#N/A)</f>
        <v>photography</v>
      </c>
      <c r="R261" t="str">
        <v>photography books</v>
      </c>
      <c r="U261" s="6">
        <f t="shared" si="18"/>
        <v>41251.25</v>
      </c>
      <c r="V261" s="6">
        <f t="shared" si="19"/>
        <v>41270.25</v>
      </c>
    </row>
    <row r="262" spans="1:22" ht="19.5" x14ac:dyDescent="0.4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12">
        <f t="shared" si="16"/>
        <v>1.5769841269841269</v>
      </c>
      <c r="P262" s="13">
        <f t="shared" si="17"/>
        <v>38.065134099616856</v>
      </c>
      <c r="Q262" t="str" cm="1">
        <f t="array" ref="Q262:R262">_xlfn.TEXTSPLIT(N262,"/",,FALSE,,#N/A)</f>
        <v>music</v>
      </c>
      <c r="R262" t="str">
        <v>rock</v>
      </c>
      <c r="U262" s="6">
        <f t="shared" si="18"/>
        <v>41180.208333333336</v>
      </c>
      <c r="V262" s="6">
        <f t="shared" si="19"/>
        <v>41192.208333333336</v>
      </c>
    </row>
    <row r="263" spans="1:22" ht="33.75" x14ac:dyDescent="0.4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12">
        <f t="shared" si="16"/>
        <v>0.31201660735468567</v>
      </c>
      <c r="P263" s="13">
        <f t="shared" si="17"/>
        <v>57.936123348017624</v>
      </c>
      <c r="Q263" t="str" cm="1">
        <f t="array" ref="Q263:R263">_xlfn.TEXTSPLIT(N263,"/",,FALSE,,#N/A)</f>
        <v>music</v>
      </c>
      <c r="R263" t="str">
        <v>rock</v>
      </c>
      <c r="U263" s="6">
        <f t="shared" si="18"/>
        <v>40415.208333333336</v>
      </c>
      <c r="V263" s="6">
        <f t="shared" si="19"/>
        <v>40419.208333333336</v>
      </c>
    </row>
    <row r="264" spans="1:22" ht="19.5" x14ac:dyDescent="0.4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12">
        <f t="shared" si="16"/>
        <v>3.1341176470588237</v>
      </c>
      <c r="P264" s="13">
        <f t="shared" si="17"/>
        <v>49.794392523364486</v>
      </c>
      <c r="Q264" t="str" cm="1">
        <f t="array" ref="Q264:R264">_xlfn.TEXTSPLIT(N264,"/",,FALSE,,#N/A)</f>
        <v>music</v>
      </c>
      <c r="R264" t="str">
        <v>indie rock</v>
      </c>
      <c r="U264" s="6">
        <f t="shared" si="18"/>
        <v>40638.208333333336</v>
      </c>
      <c r="V264" s="6">
        <f t="shared" si="19"/>
        <v>40664.208333333336</v>
      </c>
    </row>
    <row r="265" spans="1:22" ht="19.5" x14ac:dyDescent="0.4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12">
        <f t="shared" si="16"/>
        <v>3.7089655172413791</v>
      </c>
      <c r="P265" s="13">
        <f t="shared" si="17"/>
        <v>54.050251256281406</v>
      </c>
      <c r="Q265" t="str" cm="1">
        <f t="array" ref="Q265:R265">_xlfn.TEXTSPLIT(N265,"/",,FALSE,,#N/A)</f>
        <v>photography</v>
      </c>
      <c r="R265" t="str">
        <v>photography books</v>
      </c>
      <c r="U265" s="6">
        <f t="shared" si="18"/>
        <v>40187.25</v>
      </c>
      <c r="V265" s="6">
        <f t="shared" si="19"/>
        <v>40187.25</v>
      </c>
    </row>
    <row r="266" spans="1:22" ht="19.5" x14ac:dyDescent="0.4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12">
        <f t="shared" si="16"/>
        <v>3.6266447368421053</v>
      </c>
      <c r="P266" s="13">
        <f t="shared" si="17"/>
        <v>30.002721335268504</v>
      </c>
      <c r="Q266" t="str" cm="1">
        <f t="array" ref="Q266:R266">_xlfn.TEXTSPLIT(N266,"/",,FALSE,,#N/A)</f>
        <v>theater</v>
      </c>
      <c r="R266" t="str">
        <v>plays</v>
      </c>
      <c r="U266" s="6">
        <f t="shared" si="18"/>
        <v>41317.25</v>
      </c>
      <c r="V266" s="6">
        <f t="shared" si="19"/>
        <v>41333.25</v>
      </c>
    </row>
    <row r="267" spans="1:22" ht="19.5" x14ac:dyDescent="0.4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12">
        <f t="shared" si="16"/>
        <v>1.2308163265306122</v>
      </c>
      <c r="P267" s="13">
        <f t="shared" si="17"/>
        <v>70.127906976744185</v>
      </c>
      <c r="Q267" t="str" cm="1">
        <f t="array" ref="Q267:R267">_xlfn.TEXTSPLIT(N267,"/",,FALSE,,#N/A)</f>
        <v>theater</v>
      </c>
      <c r="R267" t="str">
        <v>plays</v>
      </c>
      <c r="U267" s="6">
        <f t="shared" si="18"/>
        <v>42372.25</v>
      </c>
      <c r="V267" s="6">
        <f t="shared" si="19"/>
        <v>42416.25</v>
      </c>
    </row>
    <row r="268" spans="1:22" ht="19.5" x14ac:dyDescent="0.4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12">
        <f t="shared" si="16"/>
        <v>0.76766756032171579</v>
      </c>
      <c r="P268" s="13">
        <f t="shared" si="17"/>
        <v>26.996228786926462</v>
      </c>
      <c r="Q268" t="str" cm="1">
        <f t="array" ref="Q268:R268">_xlfn.TEXTSPLIT(N268,"/",,FALSE,,#N/A)</f>
        <v>music</v>
      </c>
      <c r="R268" t="str">
        <v>jazz</v>
      </c>
      <c r="U268" s="6">
        <f t="shared" si="18"/>
        <v>41950.25</v>
      </c>
      <c r="V268" s="6">
        <f t="shared" si="19"/>
        <v>41983.25</v>
      </c>
    </row>
    <row r="269" spans="1:22" ht="19.5" x14ac:dyDescent="0.4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12">
        <f t="shared" si="16"/>
        <v>2.3362012987012988</v>
      </c>
      <c r="P269" s="13">
        <f t="shared" si="17"/>
        <v>51.990606936416185</v>
      </c>
      <c r="Q269" t="str" cm="1">
        <f t="array" ref="Q269:R269">_xlfn.TEXTSPLIT(N269,"/",,FALSE,,#N/A)</f>
        <v>theater</v>
      </c>
      <c r="R269" t="str">
        <v>plays</v>
      </c>
      <c r="U269" s="6">
        <f t="shared" si="18"/>
        <v>41206.208333333336</v>
      </c>
      <c r="V269" s="6">
        <f t="shared" si="19"/>
        <v>41222.25</v>
      </c>
    </row>
    <row r="270" spans="1:22" ht="19.5" x14ac:dyDescent="0.4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12">
        <f t="shared" si="16"/>
        <v>1.8053333333333332</v>
      </c>
      <c r="P270" s="13">
        <f t="shared" si="17"/>
        <v>56.416666666666664</v>
      </c>
      <c r="Q270" t="str" cm="1">
        <f t="array" ref="Q270:R270">_xlfn.TEXTSPLIT(N270,"/",,FALSE,,#N/A)</f>
        <v>film &amp; video</v>
      </c>
      <c r="R270" t="str">
        <v>documentary</v>
      </c>
      <c r="U270" s="6">
        <f t="shared" si="18"/>
        <v>41186.208333333336</v>
      </c>
      <c r="V270" s="6">
        <f t="shared" si="19"/>
        <v>41232.25</v>
      </c>
    </row>
    <row r="271" spans="1:22" ht="19.5" x14ac:dyDescent="0.4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12">
        <f t="shared" si="16"/>
        <v>2.5262857142857142</v>
      </c>
      <c r="P271" s="13">
        <f t="shared" si="17"/>
        <v>101.63218390804597</v>
      </c>
      <c r="Q271" t="str" cm="1">
        <f t="array" ref="Q271:R271">_xlfn.TEXTSPLIT(N271,"/",,FALSE,,#N/A)</f>
        <v>film &amp; video</v>
      </c>
      <c r="R271" t="str">
        <v>television</v>
      </c>
      <c r="U271" s="6">
        <f t="shared" si="18"/>
        <v>43496.25</v>
      </c>
      <c r="V271" s="6">
        <f t="shared" si="19"/>
        <v>43517.25</v>
      </c>
    </row>
    <row r="272" spans="1:22" ht="19.5" x14ac:dyDescent="0.4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12">
        <f t="shared" si="16"/>
        <v>0.27176538240368026</v>
      </c>
      <c r="P272" s="13">
        <f t="shared" si="17"/>
        <v>25.005291005291006</v>
      </c>
      <c r="Q272" t="str" cm="1">
        <f t="array" ref="Q272:R272">_xlfn.TEXTSPLIT(N272,"/",,FALSE,,#N/A)</f>
        <v>games</v>
      </c>
      <c r="R272" t="str">
        <v>video games</v>
      </c>
      <c r="U272" s="6">
        <f t="shared" si="18"/>
        <v>40514.25</v>
      </c>
      <c r="V272" s="6">
        <f t="shared" si="19"/>
        <v>40516.25</v>
      </c>
    </row>
    <row r="273" spans="1:22" ht="33.75" x14ac:dyDescent="0.4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12">
        <f t="shared" si="16"/>
        <v>1.2706571242680547E-2</v>
      </c>
      <c r="P273" s="13">
        <f t="shared" si="17"/>
        <v>32.016393442622949</v>
      </c>
      <c r="Q273" t="str" cm="1">
        <f t="array" ref="Q273:R273">_xlfn.TEXTSPLIT(N273,"/",,FALSE,,#N/A)</f>
        <v>photography</v>
      </c>
      <c r="R273" t="str">
        <v>photography books</v>
      </c>
      <c r="U273" s="6">
        <f t="shared" si="18"/>
        <v>42345.25</v>
      </c>
      <c r="V273" s="6">
        <f t="shared" si="19"/>
        <v>42376.25</v>
      </c>
    </row>
    <row r="274" spans="1:22" ht="19.5" x14ac:dyDescent="0.4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12">
        <f t="shared" si="16"/>
        <v>3.0400978473581213</v>
      </c>
      <c r="P274" s="13">
        <f t="shared" si="17"/>
        <v>82.021647307286173</v>
      </c>
      <c r="Q274" t="str" cm="1">
        <f t="array" ref="Q274:R274">_xlfn.TEXTSPLIT(N274,"/",,FALSE,,#N/A)</f>
        <v>theater</v>
      </c>
      <c r="R274" t="str">
        <v>plays</v>
      </c>
      <c r="U274" s="6">
        <f t="shared" si="18"/>
        <v>43656.208333333328</v>
      </c>
      <c r="V274" s="6">
        <f t="shared" si="19"/>
        <v>43681.208333333328</v>
      </c>
    </row>
    <row r="275" spans="1:22" ht="19.5" x14ac:dyDescent="0.4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12">
        <f t="shared" si="16"/>
        <v>1.3723076923076922</v>
      </c>
      <c r="P275" s="13">
        <f t="shared" si="17"/>
        <v>37.957446808510639</v>
      </c>
      <c r="Q275" t="str" cm="1">
        <f t="array" ref="Q275:R275">_xlfn.TEXTSPLIT(N275,"/",,FALSE,,#N/A)</f>
        <v>theater</v>
      </c>
      <c r="R275" t="str">
        <v>plays</v>
      </c>
      <c r="U275" s="6">
        <f t="shared" si="18"/>
        <v>42995.208333333328</v>
      </c>
      <c r="V275" s="6">
        <f t="shared" si="19"/>
        <v>42998.208333333328</v>
      </c>
    </row>
    <row r="276" spans="1:22" ht="33.75" x14ac:dyDescent="0.4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12">
        <f t="shared" si="16"/>
        <v>0.32208333333333333</v>
      </c>
      <c r="P276" s="13">
        <f t="shared" si="17"/>
        <v>51.533333333333331</v>
      </c>
      <c r="Q276" t="str" cm="1">
        <f t="array" ref="Q276:R276">_xlfn.TEXTSPLIT(N276,"/",,FALSE,,#N/A)</f>
        <v>theater</v>
      </c>
      <c r="R276" t="str">
        <v>plays</v>
      </c>
      <c r="U276" s="6">
        <f t="shared" si="18"/>
        <v>43045.25</v>
      </c>
      <c r="V276" s="6">
        <f t="shared" si="19"/>
        <v>43050.25</v>
      </c>
    </row>
    <row r="277" spans="1:22" ht="33.75" x14ac:dyDescent="0.4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12">
        <f t="shared" si="16"/>
        <v>2.4151282051282053</v>
      </c>
      <c r="P277" s="13">
        <f t="shared" si="17"/>
        <v>81.198275862068968</v>
      </c>
      <c r="Q277" t="str" cm="1">
        <f t="array" ref="Q277:R277">_xlfn.TEXTSPLIT(N277,"/",,FALSE,,#N/A)</f>
        <v>publishing</v>
      </c>
      <c r="R277" t="str">
        <v>translations</v>
      </c>
      <c r="U277" s="6">
        <f t="shared" si="18"/>
        <v>43561.208333333328</v>
      </c>
      <c r="V277" s="6">
        <f t="shared" si="19"/>
        <v>43569.208333333328</v>
      </c>
    </row>
    <row r="278" spans="1:22" ht="19.5" x14ac:dyDescent="0.4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12">
        <f t="shared" si="16"/>
        <v>0.96799999999999997</v>
      </c>
      <c r="P278" s="13">
        <f t="shared" si="17"/>
        <v>40.030075187969928</v>
      </c>
      <c r="Q278" t="str" cm="1">
        <f t="array" ref="Q278:R278">_xlfn.TEXTSPLIT(N278,"/",,FALSE,,#N/A)</f>
        <v>games</v>
      </c>
      <c r="R278" t="str">
        <v>video games</v>
      </c>
      <c r="U278" s="6">
        <f t="shared" si="18"/>
        <v>41018.208333333336</v>
      </c>
      <c r="V278" s="6">
        <f t="shared" si="19"/>
        <v>41023.208333333336</v>
      </c>
    </row>
    <row r="279" spans="1:22" ht="33.75" x14ac:dyDescent="0.4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12">
        <f t="shared" si="16"/>
        <v>10.664285714285715</v>
      </c>
      <c r="P279" s="13">
        <f t="shared" si="17"/>
        <v>89.939759036144579</v>
      </c>
      <c r="Q279" t="str" cm="1">
        <f t="array" ref="Q279:R279">_xlfn.TEXTSPLIT(N279,"/",,FALSE,,#N/A)</f>
        <v>theater</v>
      </c>
      <c r="R279" t="str">
        <v>plays</v>
      </c>
      <c r="U279" s="6">
        <f t="shared" si="18"/>
        <v>40378.208333333336</v>
      </c>
      <c r="V279" s="6">
        <f t="shared" si="19"/>
        <v>40380.208333333336</v>
      </c>
    </row>
    <row r="280" spans="1:22" ht="19.5" x14ac:dyDescent="0.4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12">
        <f t="shared" si="16"/>
        <v>3.2588888888888889</v>
      </c>
      <c r="P280" s="13">
        <f t="shared" si="17"/>
        <v>96.692307692307693</v>
      </c>
      <c r="Q280" t="str" cm="1">
        <f t="array" ref="Q280:R280">_xlfn.TEXTSPLIT(N280,"/",,FALSE,,#N/A)</f>
        <v>technology</v>
      </c>
      <c r="R280" t="str">
        <v>web</v>
      </c>
      <c r="U280" s="6">
        <f t="shared" si="18"/>
        <v>41239.25</v>
      </c>
      <c r="V280" s="6">
        <f t="shared" si="19"/>
        <v>41264.25</v>
      </c>
    </row>
    <row r="281" spans="1:22" ht="19.5" x14ac:dyDescent="0.4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12">
        <f t="shared" si="16"/>
        <v>1.7070000000000001</v>
      </c>
      <c r="P281" s="13">
        <f t="shared" si="17"/>
        <v>25.010989010989011</v>
      </c>
      <c r="Q281" t="str" cm="1">
        <f t="array" ref="Q281:R281">_xlfn.TEXTSPLIT(N281,"/",,FALSE,,#N/A)</f>
        <v>theater</v>
      </c>
      <c r="R281" t="str">
        <v>plays</v>
      </c>
      <c r="U281" s="6">
        <f t="shared" si="18"/>
        <v>43346.208333333328</v>
      </c>
      <c r="V281" s="6">
        <f t="shared" si="19"/>
        <v>43349.208333333328</v>
      </c>
    </row>
    <row r="282" spans="1:22" ht="33.75" x14ac:dyDescent="0.4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12">
        <f t="shared" si="16"/>
        <v>5.8144</v>
      </c>
      <c r="P282" s="13">
        <f t="shared" si="17"/>
        <v>36.987277353689571</v>
      </c>
      <c r="Q282" t="str" cm="1">
        <f t="array" ref="Q282:R282">_xlfn.TEXTSPLIT(N282,"/",,FALSE,,#N/A)</f>
        <v>film &amp; video</v>
      </c>
      <c r="R282" t="str">
        <v>animation</v>
      </c>
      <c r="U282" s="6">
        <f t="shared" si="18"/>
        <v>43060.25</v>
      </c>
      <c r="V282" s="6">
        <f t="shared" si="19"/>
        <v>43066.25</v>
      </c>
    </row>
    <row r="283" spans="1:22" ht="19.5" x14ac:dyDescent="0.4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12">
        <f t="shared" si="16"/>
        <v>0.91520972644376897</v>
      </c>
      <c r="P283" s="13">
        <f t="shared" si="17"/>
        <v>73.012609117361791</v>
      </c>
      <c r="Q283" t="str" cm="1">
        <f t="array" ref="Q283:R283">_xlfn.TEXTSPLIT(N283,"/",,FALSE,,#N/A)</f>
        <v>theater</v>
      </c>
      <c r="R283" t="str">
        <v>plays</v>
      </c>
      <c r="U283" s="6">
        <f t="shared" si="18"/>
        <v>40979.25</v>
      </c>
      <c r="V283" s="6">
        <f t="shared" si="19"/>
        <v>41000.208333333336</v>
      </c>
    </row>
    <row r="284" spans="1:22" ht="19.5" x14ac:dyDescent="0.4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12">
        <f t="shared" si="16"/>
        <v>1.0804761904761904</v>
      </c>
      <c r="P284" s="13">
        <f t="shared" si="17"/>
        <v>68.240601503759393</v>
      </c>
      <c r="Q284" t="str" cm="1">
        <f t="array" ref="Q284:R284">_xlfn.TEXTSPLIT(N284,"/",,FALSE,,#N/A)</f>
        <v>film &amp; video</v>
      </c>
      <c r="R284" t="str">
        <v>television</v>
      </c>
      <c r="U284" s="6">
        <f t="shared" si="18"/>
        <v>42701.25</v>
      </c>
      <c r="V284" s="6">
        <f t="shared" si="19"/>
        <v>42707.25</v>
      </c>
    </row>
    <row r="285" spans="1:22" ht="33.75" x14ac:dyDescent="0.4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12">
        <f t="shared" si="16"/>
        <v>0.18728395061728395</v>
      </c>
      <c r="P285" s="13">
        <f t="shared" si="17"/>
        <v>52.310344827586206</v>
      </c>
      <c r="Q285" t="str" cm="1">
        <f t="array" ref="Q285:R285">_xlfn.TEXTSPLIT(N285,"/",,FALSE,,#N/A)</f>
        <v>music</v>
      </c>
      <c r="R285" t="str">
        <v>rock</v>
      </c>
      <c r="U285" s="6">
        <f t="shared" si="18"/>
        <v>42520.208333333328</v>
      </c>
      <c r="V285" s="6">
        <f t="shared" si="19"/>
        <v>42525.208333333328</v>
      </c>
    </row>
    <row r="286" spans="1:22" ht="19.5" x14ac:dyDescent="0.4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12">
        <f t="shared" si="16"/>
        <v>0.83193877551020412</v>
      </c>
      <c r="P286" s="13">
        <f t="shared" si="17"/>
        <v>61.765151515151516</v>
      </c>
      <c r="Q286" t="str" cm="1">
        <f t="array" ref="Q286:R286">_xlfn.TEXTSPLIT(N286,"/",,FALSE,,#N/A)</f>
        <v>technology</v>
      </c>
      <c r="R286" t="str">
        <v>web</v>
      </c>
      <c r="U286" s="6">
        <f t="shared" si="18"/>
        <v>41030.208333333336</v>
      </c>
      <c r="V286" s="6">
        <f t="shared" si="19"/>
        <v>41035.208333333336</v>
      </c>
    </row>
    <row r="287" spans="1:22" ht="19.5" x14ac:dyDescent="0.4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12">
        <f t="shared" si="16"/>
        <v>7.0633333333333335</v>
      </c>
      <c r="P287" s="13">
        <f t="shared" si="17"/>
        <v>25.027559055118111</v>
      </c>
      <c r="Q287" t="str" cm="1">
        <f t="array" ref="Q287:R287">_xlfn.TEXTSPLIT(N287,"/",,FALSE,,#N/A)</f>
        <v>theater</v>
      </c>
      <c r="R287" t="str">
        <v>plays</v>
      </c>
      <c r="U287" s="6">
        <f t="shared" si="18"/>
        <v>42623.208333333328</v>
      </c>
      <c r="V287" s="6">
        <f t="shared" si="19"/>
        <v>42661.208333333328</v>
      </c>
    </row>
    <row r="288" spans="1:22" ht="19.5" x14ac:dyDescent="0.4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12">
        <f t="shared" si="16"/>
        <v>0.17446030330062445</v>
      </c>
      <c r="P288" s="13">
        <f t="shared" si="17"/>
        <v>106.28804347826087</v>
      </c>
      <c r="Q288" t="str" cm="1">
        <f t="array" ref="Q288:R288">_xlfn.TEXTSPLIT(N288,"/",,FALSE,,#N/A)</f>
        <v>theater</v>
      </c>
      <c r="R288" t="str">
        <v>plays</v>
      </c>
      <c r="U288" s="6">
        <f t="shared" si="18"/>
        <v>42697.25</v>
      </c>
      <c r="V288" s="6">
        <f t="shared" si="19"/>
        <v>42704.25</v>
      </c>
    </row>
    <row r="289" spans="1:22" ht="19.5" x14ac:dyDescent="0.4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12">
        <f t="shared" si="16"/>
        <v>2.0973015873015872</v>
      </c>
      <c r="P289" s="13">
        <f t="shared" si="17"/>
        <v>75.07386363636364</v>
      </c>
      <c r="Q289" t="str" cm="1">
        <f t="array" ref="Q289:R289">_xlfn.TEXTSPLIT(N289,"/",,FALSE,,#N/A)</f>
        <v>music</v>
      </c>
      <c r="R289" t="str">
        <v>electric music</v>
      </c>
      <c r="U289" s="6">
        <f t="shared" si="18"/>
        <v>42122.208333333328</v>
      </c>
      <c r="V289" s="6">
        <f t="shared" si="19"/>
        <v>42122.208333333328</v>
      </c>
    </row>
    <row r="290" spans="1:22" ht="19.5" x14ac:dyDescent="0.4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12">
        <f t="shared" si="16"/>
        <v>0.97785714285714287</v>
      </c>
      <c r="P290" s="13">
        <f t="shared" si="17"/>
        <v>39.970802919708028</v>
      </c>
      <c r="Q290" t="str" cm="1">
        <f t="array" ref="Q290:R290">_xlfn.TEXTSPLIT(N290,"/",,FALSE,,#N/A)</f>
        <v>music</v>
      </c>
      <c r="R290" t="str">
        <v>metal</v>
      </c>
      <c r="U290" s="6">
        <f t="shared" si="18"/>
        <v>40982.208333333336</v>
      </c>
      <c r="V290" s="6">
        <f t="shared" si="19"/>
        <v>40983.208333333336</v>
      </c>
    </row>
    <row r="291" spans="1:22" ht="19.5" x14ac:dyDescent="0.4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12">
        <f t="shared" si="16"/>
        <v>16.842500000000001</v>
      </c>
      <c r="P291" s="13">
        <f t="shared" si="17"/>
        <v>39.982195845697326</v>
      </c>
      <c r="Q291" t="str" cm="1">
        <f t="array" ref="Q291:R291">_xlfn.TEXTSPLIT(N291,"/",,FALSE,,#N/A)</f>
        <v>theater</v>
      </c>
      <c r="R291" t="str">
        <v>plays</v>
      </c>
      <c r="U291" s="6">
        <f t="shared" si="18"/>
        <v>42219.208333333328</v>
      </c>
      <c r="V291" s="6">
        <f t="shared" si="19"/>
        <v>42222.208333333328</v>
      </c>
    </row>
    <row r="292" spans="1:22" ht="19.5" x14ac:dyDescent="0.4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12">
        <f t="shared" si="16"/>
        <v>0.54402135231316728</v>
      </c>
      <c r="P292" s="13">
        <f t="shared" si="17"/>
        <v>101.01541850220265</v>
      </c>
      <c r="Q292" t="str" cm="1">
        <f t="array" ref="Q292:R292">_xlfn.TEXTSPLIT(N292,"/",,FALSE,,#N/A)</f>
        <v>film &amp; video</v>
      </c>
      <c r="R292" t="str">
        <v>documentary</v>
      </c>
      <c r="U292" s="6">
        <f t="shared" si="18"/>
        <v>41404.208333333336</v>
      </c>
      <c r="V292" s="6">
        <f t="shared" si="19"/>
        <v>41436.208333333336</v>
      </c>
    </row>
    <row r="293" spans="1:22" ht="19.5" x14ac:dyDescent="0.4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12">
        <f t="shared" si="16"/>
        <v>4.5661111111111108</v>
      </c>
      <c r="P293" s="13">
        <f t="shared" si="17"/>
        <v>76.813084112149539</v>
      </c>
      <c r="Q293" t="str" cm="1">
        <f t="array" ref="Q293:R293">_xlfn.TEXTSPLIT(N293,"/",,FALSE,,#N/A)</f>
        <v>technology</v>
      </c>
      <c r="R293" t="str">
        <v>web</v>
      </c>
      <c r="U293" s="6">
        <f t="shared" si="18"/>
        <v>40831.208333333336</v>
      </c>
      <c r="V293" s="6">
        <f t="shared" si="19"/>
        <v>40835.208333333336</v>
      </c>
    </row>
    <row r="294" spans="1:22" ht="19.5" x14ac:dyDescent="0.4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12">
        <f t="shared" si="16"/>
        <v>9.8219178082191785E-2</v>
      </c>
      <c r="P294" s="13">
        <f t="shared" si="17"/>
        <v>71.7</v>
      </c>
      <c r="Q294" t="str" cm="1">
        <f t="array" ref="Q294:R294">_xlfn.TEXTSPLIT(N294,"/",,FALSE,,#N/A)</f>
        <v>food</v>
      </c>
      <c r="R294" t="str">
        <v>food trucks</v>
      </c>
      <c r="U294" s="6">
        <f t="shared" si="18"/>
        <v>40984.208333333336</v>
      </c>
      <c r="V294" s="6">
        <f t="shared" si="19"/>
        <v>41002.208333333336</v>
      </c>
    </row>
    <row r="295" spans="1:22" ht="19.5" x14ac:dyDescent="0.4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12">
        <f t="shared" si="16"/>
        <v>0.16384615384615384</v>
      </c>
      <c r="P295" s="13">
        <f t="shared" si="17"/>
        <v>33.28125</v>
      </c>
      <c r="Q295" t="str" cm="1">
        <f t="array" ref="Q295:R295">_xlfn.TEXTSPLIT(N295,"/",,FALSE,,#N/A)</f>
        <v>theater</v>
      </c>
      <c r="R295" t="str">
        <v>plays</v>
      </c>
      <c r="U295" s="6">
        <f t="shared" si="18"/>
        <v>40456.208333333336</v>
      </c>
      <c r="V295" s="6">
        <f t="shared" si="19"/>
        <v>40465.208333333336</v>
      </c>
    </row>
    <row r="296" spans="1:22" ht="19.5" x14ac:dyDescent="0.4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12">
        <f t="shared" si="16"/>
        <v>13.396666666666667</v>
      </c>
      <c r="P296" s="13">
        <f t="shared" si="17"/>
        <v>43.923497267759565</v>
      </c>
      <c r="Q296" t="str" cm="1">
        <f t="array" ref="Q296:R296">_xlfn.TEXTSPLIT(N296,"/",,FALSE,,#N/A)</f>
        <v>theater</v>
      </c>
      <c r="R296" t="str">
        <v>plays</v>
      </c>
      <c r="U296" s="6">
        <f t="shared" si="18"/>
        <v>43399.208333333328</v>
      </c>
      <c r="V296" s="6">
        <f t="shared" si="19"/>
        <v>43411.25</v>
      </c>
    </row>
    <row r="297" spans="1:22" ht="33.75" x14ac:dyDescent="0.4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12">
        <f t="shared" si="16"/>
        <v>0.35650077760497667</v>
      </c>
      <c r="P297" s="13">
        <f t="shared" si="17"/>
        <v>36.004712041884815</v>
      </c>
      <c r="Q297" t="str" cm="1">
        <f t="array" ref="Q297:R297">_xlfn.TEXTSPLIT(N297,"/",,FALSE,,#N/A)</f>
        <v>theater</v>
      </c>
      <c r="R297" t="str">
        <v>plays</v>
      </c>
      <c r="U297" s="6">
        <f t="shared" si="18"/>
        <v>41562.208333333336</v>
      </c>
      <c r="V297" s="6">
        <f t="shared" si="19"/>
        <v>41587.25</v>
      </c>
    </row>
    <row r="298" spans="1:22" ht="33.75" x14ac:dyDescent="0.4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12">
        <f t="shared" si="16"/>
        <v>0.54950819672131146</v>
      </c>
      <c r="P298" s="13">
        <f t="shared" si="17"/>
        <v>88.21052631578948</v>
      </c>
      <c r="Q298" t="str" cm="1">
        <f t="array" ref="Q298:R298">_xlfn.TEXTSPLIT(N298,"/",,FALSE,,#N/A)</f>
        <v>theater</v>
      </c>
      <c r="R298" t="str">
        <v>plays</v>
      </c>
      <c r="U298" s="6">
        <f t="shared" si="18"/>
        <v>43493.25</v>
      </c>
      <c r="V298" s="6">
        <f t="shared" si="19"/>
        <v>43515.25</v>
      </c>
    </row>
    <row r="299" spans="1:22" ht="19.5" x14ac:dyDescent="0.4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12">
        <f t="shared" si="16"/>
        <v>0.94236111111111109</v>
      </c>
      <c r="P299" s="13">
        <f t="shared" si="17"/>
        <v>65.240384615384613</v>
      </c>
      <c r="Q299" t="str" cm="1">
        <f t="array" ref="Q299:R299">_xlfn.TEXTSPLIT(N299,"/",,FALSE,,#N/A)</f>
        <v>theater</v>
      </c>
      <c r="R299" t="str">
        <v>plays</v>
      </c>
      <c r="U299" s="6">
        <f t="shared" si="18"/>
        <v>41653.25</v>
      </c>
      <c r="V299" s="6">
        <f t="shared" si="19"/>
        <v>41662.25</v>
      </c>
    </row>
    <row r="300" spans="1:22" ht="19.5" x14ac:dyDescent="0.4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12">
        <f t="shared" si="16"/>
        <v>1.4391428571428571</v>
      </c>
      <c r="P300" s="13">
        <f t="shared" si="17"/>
        <v>69.958333333333329</v>
      </c>
      <c r="Q300" t="str" cm="1">
        <f t="array" ref="Q300:R300">_xlfn.TEXTSPLIT(N300,"/",,FALSE,,#N/A)</f>
        <v>music</v>
      </c>
      <c r="R300" t="str">
        <v>rock</v>
      </c>
      <c r="U300" s="6">
        <f t="shared" si="18"/>
        <v>42426.25</v>
      </c>
      <c r="V300" s="6">
        <f t="shared" si="19"/>
        <v>42444.208333333328</v>
      </c>
    </row>
    <row r="301" spans="1:22" ht="33.75" x14ac:dyDescent="0.4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12">
        <f t="shared" si="16"/>
        <v>0.51421052631578945</v>
      </c>
      <c r="P301" s="13">
        <f t="shared" si="17"/>
        <v>39.877551020408163</v>
      </c>
      <c r="Q301" t="str" cm="1">
        <f t="array" ref="Q301:R301">_xlfn.TEXTSPLIT(N301,"/",,FALSE,,#N/A)</f>
        <v>food</v>
      </c>
      <c r="R301" t="str">
        <v>food trucks</v>
      </c>
      <c r="U301" s="6">
        <f t="shared" si="18"/>
        <v>42432.25</v>
      </c>
      <c r="V301" s="6">
        <f t="shared" si="19"/>
        <v>42488.208333333328</v>
      </c>
    </row>
    <row r="302" spans="1:22" ht="19.5" x14ac:dyDescent="0.4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12">
        <f t="shared" si="16"/>
        <v>0.05</v>
      </c>
      <c r="P302" s="13">
        <f t="shared" si="17"/>
        <v>5</v>
      </c>
      <c r="Q302" t="str" cm="1">
        <f t="array" ref="Q302:R302">_xlfn.TEXTSPLIT(N302,"/",,FALSE,,#N/A)</f>
        <v>publishing</v>
      </c>
      <c r="R302" t="str">
        <v>nonfiction</v>
      </c>
      <c r="U302" s="6">
        <f t="shared" si="18"/>
        <v>42977.208333333328</v>
      </c>
      <c r="V302" s="6">
        <f t="shared" si="19"/>
        <v>42978.208333333328</v>
      </c>
    </row>
    <row r="303" spans="1:22" ht="19.5" x14ac:dyDescent="0.4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12">
        <f t="shared" si="16"/>
        <v>13.446666666666667</v>
      </c>
      <c r="P303" s="13">
        <f t="shared" si="17"/>
        <v>41.023728813559323</v>
      </c>
      <c r="Q303" t="str" cm="1">
        <f t="array" ref="Q303:R303">_xlfn.TEXTSPLIT(N303,"/",,FALSE,,#N/A)</f>
        <v>film &amp; video</v>
      </c>
      <c r="R303" t="str">
        <v>documentary</v>
      </c>
      <c r="U303" s="6">
        <f t="shared" si="18"/>
        <v>42061.25</v>
      </c>
      <c r="V303" s="6">
        <f t="shared" si="19"/>
        <v>42078.208333333328</v>
      </c>
    </row>
    <row r="304" spans="1:22" ht="19.5" x14ac:dyDescent="0.4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12">
        <f t="shared" si="16"/>
        <v>0.31844940867279897</v>
      </c>
      <c r="P304" s="13">
        <f t="shared" si="17"/>
        <v>98.914285714285711</v>
      </c>
      <c r="Q304" t="str" cm="1">
        <f t="array" ref="Q304:R304">_xlfn.TEXTSPLIT(N304,"/",,FALSE,,#N/A)</f>
        <v>theater</v>
      </c>
      <c r="R304" t="str">
        <v>plays</v>
      </c>
      <c r="U304" s="6">
        <f t="shared" si="18"/>
        <v>43345.208333333328</v>
      </c>
      <c r="V304" s="6">
        <f t="shared" si="19"/>
        <v>43359.208333333328</v>
      </c>
    </row>
    <row r="305" spans="1:22" ht="19.5" x14ac:dyDescent="0.4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12">
        <f t="shared" si="16"/>
        <v>0.82617647058823529</v>
      </c>
      <c r="P305" s="13">
        <f t="shared" si="17"/>
        <v>87.78125</v>
      </c>
      <c r="Q305" t="str" cm="1">
        <f t="array" ref="Q305:R305">_xlfn.TEXTSPLIT(N305,"/",,FALSE,,#N/A)</f>
        <v>music</v>
      </c>
      <c r="R305" t="str">
        <v>indie rock</v>
      </c>
      <c r="U305" s="6">
        <f t="shared" si="18"/>
        <v>42376.25</v>
      </c>
      <c r="V305" s="6">
        <f t="shared" si="19"/>
        <v>42381.25</v>
      </c>
    </row>
    <row r="306" spans="1:22" ht="19.5" x14ac:dyDescent="0.4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12">
        <f t="shared" si="16"/>
        <v>5.4614285714285717</v>
      </c>
      <c r="P306" s="13">
        <f t="shared" si="17"/>
        <v>80.767605633802816</v>
      </c>
      <c r="Q306" t="str" cm="1">
        <f t="array" ref="Q306:R306">_xlfn.TEXTSPLIT(N306,"/",,FALSE,,#N/A)</f>
        <v>film &amp; video</v>
      </c>
      <c r="R306" t="str">
        <v>documentary</v>
      </c>
      <c r="U306" s="6">
        <f t="shared" si="18"/>
        <v>42589.208333333328</v>
      </c>
      <c r="V306" s="6">
        <f t="shared" si="19"/>
        <v>42630.208333333328</v>
      </c>
    </row>
    <row r="307" spans="1:22" ht="19.5" x14ac:dyDescent="0.4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12">
        <f t="shared" si="16"/>
        <v>2.8621428571428571</v>
      </c>
      <c r="P307" s="13">
        <f t="shared" si="17"/>
        <v>94.28235294117647</v>
      </c>
      <c r="Q307" t="str" cm="1">
        <f t="array" ref="Q307:R307">_xlfn.TEXTSPLIT(N307,"/",,FALSE,,#N/A)</f>
        <v>theater</v>
      </c>
      <c r="R307" t="str">
        <v>plays</v>
      </c>
      <c r="U307" s="6">
        <f t="shared" si="18"/>
        <v>42448.208333333328</v>
      </c>
      <c r="V307" s="6">
        <f t="shared" si="19"/>
        <v>42489.208333333328</v>
      </c>
    </row>
    <row r="308" spans="1:22" ht="33.75" x14ac:dyDescent="0.4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12">
        <f t="shared" si="16"/>
        <v>7.9076923076923072E-2</v>
      </c>
      <c r="P308" s="13">
        <f t="shared" si="17"/>
        <v>73.428571428571431</v>
      </c>
      <c r="Q308" t="str" cm="1">
        <f t="array" ref="Q308:R308">_xlfn.TEXTSPLIT(N308,"/",,FALSE,,#N/A)</f>
        <v>theater</v>
      </c>
      <c r="R308" t="str">
        <v>plays</v>
      </c>
      <c r="U308" s="6">
        <f t="shared" si="18"/>
        <v>42930.208333333328</v>
      </c>
      <c r="V308" s="6">
        <f t="shared" si="19"/>
        <v>42933.208333333328</v>
      </c>
    </row>
    <row r="309" spans="1:22" ht="19.5" x14ac:dyDescent="0.4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12">
        <f t="shared" si="16"/>
        <v>1.3213677811550153</v>
      </c>
      <c r="P309" s="13">
        <f t="shared" si="17"/>
        <v>65.968133535660087</v>
      </c>
      <c r="Q309" t="str" cm="1">
        <f t="array" ref="Q309:R309">_xlfn.TEXTSPLIT(N309,"/",,FALSE,,#N/A)</f>
        <v>publishing</v>
      </c>
      <c r="R309" t="str">
        <v>fiction</v>
      </c>
      <c r="U309" s="6">
        <f t="shared" si="18"/>
        <v>41066.208333333336</v>
      </c>
      <c r="V309" s="6">
        <f t="shared" si="19"/>
        <v>41086.208333333336</v>
      </c>
    </row>
    <row r="310" spans="1:22" ht="19.5" x14ac:dyDescent="0.4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12">
        <f t="shared" si="16"/>
        <v>0.74077834179357027</v>
      </c>
      <c r="P310" s="13">
        <f t="shared" si="17"/>
        <v>109.04109589041096</v>
      </c>
      <c r="Q310" t="str" cm="1">
        <f t="array" ref="Q310:R310">_xlfn.TEXTSPLIT(N310,"/",,FALSE,,#N/A)</f>
        <v>theater</v>
      </c>
      <c r="R310" t="str">
        <v>plays</v>
      </c>
      <c r="U310" s="6">
        <f t="shared" si="18"/>
        <v>40651.208333333336</v>
      </c>
      <c r="V310" s="6">
        <f t="shared" si="19"/>
        <v>40652.208333333336</v>
      </c>
    </row>
    <row r="311" spans="1:22" ht="19.5" x14ac:dyDescent="0.4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12">
        <f t="shared" si="16"/>
        <v>0.75292682926829269</v>
      </c>
      <c r="P311" s="13">
        <f t="shared" si="17"/>
        <v>41.16</v>
      </c>
      <c r="Q311" t="str" cm="1">
        <f t="array" ref="Q311:R311">_xlfn.TEXTSPLIT(N311,"/",,FALSE,,#N/A)</f>
        <v>music</v>
      </c>
      <c r="R311" t="str">
        <v>indie rock</v>
      </c>
      <c r="U311" s="6">
        <f t="shared" si="18"/>
        <v>40807.208333333336</v>
      </c>
      <c r="V311" s="6">
        <f t="shared" si="19"/>
        <v>40827.208333333336</v>
      </c>
    </row>
    <row r="312" spans="1:22" ht="19.5" x14ac:dyDescent="0.4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12">
        <f t="shared" si="16"/>
        <v>0.20333333333333334</v>
      </c>
      <c r="P312" s="13">
        <f t="shared" si="17"/>
        <v>99.125</v>
      </c>
      <c r="Q312" t="str" cm="1">
        <f t="array" ref="Q312:R312">_xlfn.TEXTSPLIT(N312,"/",,FALSE,,#N/A)</f>
        <v>games</v>
      </c>
      <c r="R312" t="str">
        <v>video games</v>
      </c>
      <c r="U312" s="6">
        <f t="shared" si="18"/>
        <v>40277.208333333336</v>
      </c>
      <c r="V312" s="6">
        <f t="shared" si="19"/>
        <v>40293.208333333336</v>
      </c>
    </row>
    <row r="313" spans="1:22" ht="19.5" x14ac:dyDescent="0.4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12">
        <f t="shared" si="16"/>
        <v>2.0336507936507937</v>
      </c>
      <c r="P313" s="13">
        <f t="shared" si="17"/>
        <v>105.88429752066116</v>
      </c>
      <c r="Q313" t="str" cm="1">
        <f t="array" ref="Q313:R313">_xlfn.TEXTSPLIT(N313,"/",,FALSE,,#N/A)</f>
        <v>theater</v>
      </c>
      <c r="R313" t="str">
        <v>plays</v>
      </c>
      <c r="U313" s="6">
        <f t="shared" si="18"/>
        <v>40590.25</v>
      </c>
      <c r="V313" s="6">
        <f t="shared" si="19"/>
        <v>40602.25</v>
      </c>
    </row>
    <row r="314" spans="1:22" ht="19.5" x14ac:dyDescent="0.4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12">
        <f t="shared" si="16"/>
        <v>3.1022842639593908</v>
      </c>
      <c r="P314" s="13">
        <f t="shared" si="17"/>
        <v>48.996525921966864</v>
      </c>
      <c r="Q314" t="str" cm="1">
        <f t="array" ref="Q314:R314">_xlfn.TEXTSPLIT(N314,"/",,FALSE,,#N/A)</f>
        <v>theater</v>
      </c>
      <c r="R314" t="str">
        <v>plays</v>
      </c>
      <c r="U314" s="6">
        <f t="shared" si="18"/>
        <v>41572.208333333336</v>
      </c>
      <c r="V314" s="6">
        <f t="shared" si="19"/>
        <v>41579.208333333336</v>
      </c>
    </row>
    <row r="315" spans="1:22" ht="19.5" x14ac:dyDescent="0.4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12">
        <f t="shared" si="16"/>
        <v>3.9531818181818181</v>
      </c>
      <c r="P315" s="13">
        <f t="shared" si="17"/>
        <v>39</v>
      </c>
      <c r="Q315" t="str" cm="1">
        <f t="array" ref="Q315:R315">_xlfn.TEXTSPLIT(N315,"/",,FALSE,,#N/A)</f>
        <v>music</v>
      </c>
      <c r="R315" t="str">
        <v>rock</v>
      </c>
      <c r="U315" s="6">
        <f t="shared" si="18"/>
        <v>40966.25</v>
      </c>
      <c r="V315" s="6">
        <f t="shared" si="19"/>
        <v>40968.25</v>
      </c>
    </row>
    <row r="316" spans="1:22" ht="19.5" x14ac:dyDescent="0.4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12">
        <f t="shared" si="16"/>
        <v>2.9471428571428571</v>
      </c>
      <c r="P316" s="13">
        <f t="shared" si="17"/>
        <v>31.022556390977442</v>
      </c>
      <c r="Q316" t="str" cm="1">
        <f t="array" ref="Q316:R316">_xlfn.TEXTSPLIT(N316,"/",,FALSE,,#N/A)</f>
        <v>film &amp; video</v>
      </c>
      <c r="R316" t="str">
        <v>documentary</v>
      </c>
      <c r="U316" s="6">
        <f t="shared" si="18"/>
        <v>43536.208333333328</v>
      </c>
      <c r="V316" s="6">
        <f t="shared" si="19"/>
        <v>43541.208333333328</v>
      </c>
    </row>
    <row r="317" spans="1:22" ht="33.75" x14ac:dyDescent="0.4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12">
        <f t="shared" si="16"/>
        <v>0.33894736842105261</v>
      </c>
      <c r="P317" s="13">
        <f t="shared" si="17"/>
        <v>103.87096774193549</v>
      </c>
      <c r="Q317" t="str" cm="1">
        <f t="array" ref="Q317:R317">_xlfn.TEXTSPLIT(N317,"/",,FALSE,,#N/A)</f>
        <v>theater</v>
      </c>
      <c r="R317" t="str">
        <v>plays</v>
      </c>
      <c r="U317" s="6">
        <f t="shared" si="18"/>
        <v>41783.208333333336</v>
      </c>
      <c r="V317" s="6">
        <f t="shared" si="19"/>
        <v>41812.208333333336</v>
      </c>
    </row>
    <row r="318" spans="1:22" ht="19.5" x14ac:dyDescent="0.4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12">
        <f t="shared" si="16"/>
        <v>0.66677083333333331</v>
      </c>
      <c r="P318" s="13">
        <f t="shared" si="17"/>
        <v>59.268518518518519</v>
      </c>
      <c r="Q318" t="str" cm="1">
        <f t="array" ref="Q318:R318">_xlfn.TEXTSPLIT(N318,"/",,FALSE,,#N/A)</f>
        <v>food</v>
      </c>
      <c r="R318" t="str">
        <v>food trucks</v>
      </c>
      <c r="U318" s="6">
        <f t="shared" si="18"/>
        <v>43788.25</v>
      </c>
      <c r="V318" s="6">
        <f t="shared" si="19"/>
        <v>43789.25</v>
      </c>
    </row>
    <row r="319" spans="1:22" ht="19.5" x14ac:dyDescent="0.4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12">
        <f t="shared" si="16"/>
        <v>0.19227272727272726</v>
      </c>
      <c r="P319" s="13">
        <f t="shared" si="17"/>
        <v>42.3</v>
      </c>
      <c r="Q319" t="str" cm="1">
        <f t="array" ref="Q319:R319">_xlfn.TEXTSPLIT(N319,"/",,FALSE,,#N/A)</f>
        <v>theater</v>
      </c>
      <c r="R319" t="str">
        <v>plays</v>
      </c>
      <c r="U319" s="6">
        <f t="shared" si="18"/>
        <v>42869.208333333328</v>
      </c>
      <c r="V319" s="6">
        <f t="shared" si="19"/>
        <v>42882.208333333328</v>
      </c>
    </row>
    <row r="320" spans="1:22" ht="33.75" x14ac:dyDescent="0.4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12">
        <f t="shared" si="16"/>
        <v>0.15842105263157893</v>
      </c>
      <c r="P320" s="13">
        <f t="shared" si="17"/>
        <v>53.117647058823529</v>
      </c>
      <c r="Q320" t="str" cm="1">
        <f t="array" ref="Q320:R320">_xlfn.TEXTSPLIT(N320,"/",,FALSE,,#N/A)</f>
        <v>music</v>
      </c>
      <c r="R320" t="str">
        <v>rock</v>
      </c>
      <c r="U320" s="6">
        <f t="shared" si="18"/>
        <v>41684.25</v>
      </c>
      <c r="V320" s="6">
        <f t="shared" si="19"/>
        <v>41686.25</v>
      </c>
    </row>
    <row r="321" spans="1:22" ht="19.5" x14ac:dyDescent="0.4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12">
        <f t="shared" si="16"/>
        <v>0.38702380952380955</v>
      </c>
      <c r="P321" s="13">
        <f t="shared" si="17"/>
        <v>50.796875</v>
      </c>
      <c r="Q321" t="str" cm="1">
        <f t="array" ref="Q321:R321">_xlfn.TEXTSPLIT(N321,"/",,FALSE,,#N/A)</f>
        <v>technology</v>
      </c>
      <c r="R321" t="str">
        <v>web</v>
      </c>
      <c r="U321" s="6">
        <f t="shared" si="18"/>
        <v>40402.208333333336</v>
      </c>
      <c r="V321" s="6">
        <f t="shared" si="19"/>
        <v>40426.208333333336</v>
      </c>
    </row>
    <row r="322" spans="1:22" ht="19.5" x14ac:dyDescent="0.4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12">
        <f t="shared" si="16"/>
        <v>9.5876777251184833E-2</v>
      </c>
      <c r="P322" s="13">
        <f t="shared" si="17"/>
        <v>101.15</v>
      </c>
      <c r="Q322" t="str" cm="1">
        <f t="array" ref="Q322:R322">_xlfn.TEXTSPLIT(N322,"/",,FALSE,,#N/A)</f>
        <v>publishing</v>
      </c>
      <c r="R322" t="str">
        <v>fiction</v>
      </c>
      <c r="U322" s="6">
        <f t="shared" si="18"/>
        <v>40673.208333333336</v>
      </c>
      <c r="V322" s="6">
        <f t="shared" si="19"/>
        <v>40682.208333333336</v>
      </c>
    </row>
    <row r="323" spans="1:22" ht="33.75" x14ac:dyDescent="0.4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12">
        <f t="shared" ref="O323:O386" si="20">E323/D323</f>
        <v>0.94144366197183094</v>
      </c>
      <c r="P323" s="13">
        <f t="shared" ref="P323:P386" si="21">E323/G323</f>
        <v>65.000810372771468</v>
      </c>
      <c r="Q323" t="str" cm="1">
        <f t="array" ref="Q323:R323">_xlfn.TEXTSPLIT(N323,"/",,FALSE,,#N/A)</f>
        <v>film &amp; video</v>
      </c>
      <c r="R323" t="str">
        <v>shorts</v>
      </c>
      <c r="U323" s="6">
        <f t="shared" ref="U323:U386" si="22">(((J323/60)/60)/24)+DATE(1970,1,1)</f>
        <v>40634.208333333336</v>
      </c>
      <c r="V323" s="6">
        <f t="shared" ref="V323:V386" si="23">(((K323/60)/60)/24)+DATE(1970,1,1)</f>
        <v>40642.208333333336</v>
      </c>
    </row>
    <row r="324" spans="1:22" ht="33.75" x14ac:dyDescent="0.4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12">
        <f t="shared" si="20"/>
        <v>1.6656234096692113</v>
      </c>
      <c r="P324" s="13">
        <f t="shared" si="21"/>
        <v>37.998645510835914</v>
      </c>
      <c r="Q324" t="str" cm="1">
        <f t="array" ref="Q324:R324">_xlfn.TEXTSPLIT(N324,"/",,FALSE,,#N/A)</f>
        <v>theater</v>
      </c>
      <c r="R324" t="str">
        <v>plays</v>
      </c>
      <c r="U324" s="6">
        <f t="shared" si="22"/>
        <v>40507.25</v>
      </c>
      <c r="V324" s="6">
        <f t="shared" si="23"/>
        <v>40520.25</v>
      </c>
    </row>
    <row r="325" spans="1:22" ht="19.5" x14ac:dyDescent="0.4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12">
        <f t="shared" si="20"/>
        <v>0.24134831460674158</v>
      </c>
      <c r="P325" s="13">
        <f t="shared" si="21"/>
        <v>82.615384615384613</v>
      </c>
      <c r="Q325" t="str" cm="1">
        <f t="array" ref="Q325:R325">_xlfn.TEXTSPLIT(N325,"/",,FALSE,,#N/A)</f>
        <v>film &amp; video</v>
      </c>
      <c r="R325" t="str">
        <v>documentary</v>
      </c>
      <c r="U325" s="6">
        <f t="shared" si="22"/>
        <v>41725.208333333336</v>
      </c>
      <c r="V325" s="6">
        <f t="shared" si="23"/>
        <v>41727.208333333336</v>
      </c>
    </row>
    <row r="326" spans="1:22" ht="19.5" x14ac:dyDescent="0.4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12">
        <f t="shared" si="20"/>
        <v>1.6405633802816901</v>
      </c>
      <c r="P326" s="13">
        <f t="shared" si="21"/>
        <v>37.941368078175898</v>
      </c>
      <c r="Q326" t="str" cm="1">
        <f t="array" ref="Q326:R326">_xlfn.TEXTSPLIT(N326,"/",,FALSE,,#N/A)</f>
        <v>theater</v>
      </c>
      <c r="R326" t="str">
        <v>plays</v>
      </c>
      <c r="U326" s="6">
        <f t="shared" si="22"/>
        <v>42176.208333333328</v>
      </c>
      <c r="V326" s="6">
        <f t="shared" si="23"/>
        <v>42188.208333333328</v>
      </c>
    </row>
    <row r="327" spans="1:22" ht="33.75" x14ac:dyDescent="0.4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12">
        <f t="shared" si="20"/>
        <v>0.90723076923076929</v>
      </c>
      <c r="P327" s="13">
        <f t="shared" si="21"/>
        <v>80.780821917808225</v>
      </c>
      <c r="Q327" t="str" cm="1">
        <f t="array" ref="Q327:R327">_xlfn.TEXTSPLIT(N327,"/",,FALSE,,#N/A)</f>
        <v>theater</v>
      </c>
      <c r="R327" t="str">
        <v>plays</v>
      </c>
      <c r="U327" s="6">
        <f t="shared" si="22"/>
        <v>43267.208333333328</v>
      </c>
      <c r="V327" s="6">
        <f t="shared" si="23"/>
        <v>43290.208333333328</v>
      </c>
    </row>
    <row r="328" spans="1:22" ht="33.75" x14ac:dyDescent="0.4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12">
        <f t="shared" si="20"/>
        <v>0.46194444444444444</v>
      </c>
      <c r="P328" s="13">
        <f t="shared" si="21"/>
        <v>25.984375</v>
      </c>
      <c r="Q328" t="str" cm="1">
        <f t="array" ref="Q328:R328">_xlfn.TEXTSPLIT(N328,"/",,FALSE,,#N/A)</f>
        <v>film &amp; video</v>
      </c>
      <c r="R328" t="str">
        <v>animation</v>
      </c>
      <c r="U328" s="6">
        <f t="shared" si="22"/>
        <v>42364.25</v>
      </c>
      <c r="V328" s="6">
        <f t="shared" si="23"/>
        <v>42370.25</v>
      </c>
    </row>
    <row r="329" spans="1:22" ht="19.5" x14ac:dyDescent="0.4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12">
        <f t="shared" si="20"/>
        <v>0.38538461538461538</v>
      </c>
      <c r="P329" s="13">
        <f t="shared" si="21"/>
        <v>30.363636363636363</v>
      </c>
      <c r="Q329" t="str" cm="1">
        <f t="array" ref="Q329:R329">_xlfn.TEXTSPLIT(N329,"/",,FALSE,,#N/A)</f>
        <v>theater</v>
      </c>
      <c r="R329" t="str">
        <v>plays</v>
      </c>
      <c r="U329" s="6">
        <f t="shared" si="22"/>
        <v>43705.208333333328</v>
      </c>
      <c r="V329" s="6">
        <f t="shared" si="23"/>
        <v>43709.208333333328</v>
      </c>
    </row>
    <row r="330" spans="1:22" ht="33.75" x14ac:dyDescent="0.4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12">
        <f t="shared" si="20"/>
        <v>1.3356231003039514</v>
      </c>
      <c r="P330" s="13">
        <f t="shared" si="21"/>
        <v>54.004916018025398</v>
      </c>
      <c r="Q330" t="str" cm="1">
        <f t="array" ref="Q330:R330">_xlfn.TEXTSPLIT(N330,"/",,FALSE,,#N/A)</f>
        <v>music</v>
      </c>
      <c r="R330" t="str">
        <v>rock</v>
      </c>
      <c r="U330" s="6">
        <f t="shared" si="22"/>
        <v>43434.25</v>
      </c>
      <c r="V330" s="6">
        <f t="shared" si="23"/>
        <v>43445.25</v>
      </c>
    </row>
    <row r="331" spans="1:22" ht="19.5" x14ac:dyDescent="0.4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12">
        <f t="shared" si="20"/>
        <v>0.22896588486140726</v>
      </c>
      <c r="P331" s="13">
        <f t="shared" si="21"/>
        <v>101.78672985781991</v>
      </c>
      <c r="Q331" t="str" cm="1">
        <f t="array" ref="Q331:R331">_xlfn.TEXTSPLIT(N331,"/",,FALSE,,#N/A)</f>
        <v>games</v>
      </c>
      <c r="R331" t="str">
        <v>video games</v>
      </c>
      <c r="U331" s="6">
        <f t="shared" si="22"/>
        <v>42716.25</v>
      </c>
      <c r="V331" s="6">
        <f t="shared" si="23"/>
        <v>42727.25</v>
      </c>
    </row>
    <row r="332" spans="1:22" ht="33.75" x14ac:dyDescent="0.4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12">
        <f t="shared" si="20"/>
        <v>1.8495548961424333</v>
      </c>
      <c r="P332" s="13">
        <f t="shared" si="21"/>
        <v>45.003610108303249</v>
      </c>
      <c r="Q332" t="str" cm="1">
        <f t="array" ref="Q332:R332">_xlfn.TEXTSPLIT(N332,"/",,FALSE,,#N/A)</f>
        <v>film &amp; video</v>
      </c>
      <c r="R332" t="str">
        <v>documentary</v>
      </c>
      <c r="U332" s="6">
        <f t="shared" si="22"/>
        <v>43077.25</v>
      </c>
      <c r="V332" s="6">
        <f t="shared" si="23"/>
        <v>43078.25</v>
      </c>
    </row>
    <row r="333" spans="1:22" ht="19.5" x14ac:dyDescent="0.4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12">
        <f t="shared" si="20"/>
        <v>4.4372727272727275</v>
      </c>
      <c r="P333" s="13">
        <f t="shared" si="21"/>
        <v>77.068421052631578</v>
      </c>
      <c r="Q333" t="str" cm="1">
        <f t="array" ref="Q333:R333">_xlfn.TEXTSPLIT(N333,"/",,FALSE,,#N/A)</f>
        <v>food</v>
      </c>
      <c r="R333" t="str">
        <v>food trucks</v>
      </c>
      <c r="U333" s="6">
        <f t="shared" si="22"/>
        <v>40896.25</v>
      </c>
      <c r="V333" s="6">
        <f t="shared" si="23"/>
        <v>40897.25</v>
      </c>
    </row>
    <row r="334" spans="1:22" ht="33.75" x14ac:dyDescent="0.4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12">
        <f t="shared" si="20"/>
        <v>1.999806763285024</v>
      </c>
      <c r="P334" s="13">
        <f t="shared" si="21"/>
        <v>88.076595744680844</v>
      </c>
      <c r="Q334" t="str" cm="1">
        <f t="array" ref="Q334:R334">_xlfn.TEXTSPLIT(N334,"/",,FALSE,,#N/A)</f>
        <v>technology</v>
      </c>
      <c r="R334" t="str">
        <v>wearables</v>
      </c>
      <c r="U334" s="6">
        <f t="shared" si="22"/>
        <v>41361.208333333336</v>
      </c>
      <c r="V334" s="6">
        <f t="shared" si="23"/>
        <v>41362.208333333336</v>
      </c>
    </row>
    <row r="335" spans="1:22" ht="19.5" x14ac:dyDescent="0.4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12">
        <f t="shared" si="20"/>
        <v>1.2395833333333333</v>
      </c>
      <c r="P335" s="13">
        <f t="shared" si="21"/>
        <v>47.035573122529641</v>
      </c>
      <c r="Q335" t="str" cm="1">
        <f t="array" ref="Q335:R335">_xlfn.TEXTSPLIT(N335,"/",,FALSE,,#N/A)</f>
        <v>theater</v>
      </c>
      <c r="R335" t="str">
        <v>plays</v>
      </c>
      <c r="U335" s="6">
        <f t="shared" si="22"/>
        <v>43424.25</v>
      </c>
      <c r="V335" s="6">
        <f t="shared" si="23"/>
        <v>43452.25</v>
      </c>
    </row>
    <row r="336" spans="1:22" ht="19.5" x14ac:dyDescent="0.4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12">
        <f t="shared" si="20"/>
        <v>1.8661329305135952</v>
      </c>
      <c r="P336" s="13">
        <f t="shared" si="21"/>
        <v>110.99550763701707</v>
      </c>
      <c r="Q336" t="str" cm="1">
        <f t="array" ref="Q336:R336">_xlfn.TEXTSPLIT(N336,"/",,FALSE,,#N/A)</f>
        <v>music</v>
      </c>
      <c r="R336" t="str">
        <v>rock</v>
      </c>
      <c r="U336" s="6">
        <f t="shared" si="22"/>
        <v>43110.25</v>
      </c>
      <c r="V336" s="6">
        <f t="shared" si="23"/>
        <v>43117.25</v>
      </c>
    </row>
    <row r="337" spans="1:22" ht="19.5" x14ac:dyDescent="0.4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12">
        <f t="shared" si="20"/>
        <v>1.1428538550057536</v>
      </c>
      <c r="P337" s="13">
        <f t="shared" si="21"/>
        <v>87.003066141042481</v>
      </c>
      <c r="Q337" t="str" cm="1">
        <f t="array" ref="Q337:R337">_xlfn.TEXTSPLIT(N337,"/",,FALSE,,#N/A)</f>
        <v>music</v>
      </c>
      <c r="R337" t="str">
        <v>rock</v>
      </c>
      <c r="U337" s="6">
        <f t="shared" si="22"/>
        <v>43784.25</v>
      </c>
      <c r="V337" s="6">
        <f t="shared" si="23"/>
        <v>43797.25</v>
      </c>
    </row>
    <row r="338" spans="1:22" ht="19.5" x14ac:dyDescent="0.4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12">
        <f t="shared" si="20"/>
        <v>0.97032531824611035</v>
      </c>
      <c r="P338" s="13">
        <f t="shared" si="21"/>
        <v>63.994402985074629</v>
      </c>
      <c r="Q338" t="str" cm="1">
        <f t="array" ref="Q338:R338">_xlfn.TEXTSPLIT(N338,"/",,FALSE,,#N/A)</f>
        <v>music</v>
      </c>
      <c r="R338" t="str">
        <v>rock</v>
      </c>
      <c r="U338" s="6">
        <f t="shared" si="22"/>
        <v>40527.25</v>
      </c>
      <c r="V338" s="6">
        <f t="shared" si="23"/>
        <v>40528.25</v>
      </c>
    </row>
    <row r="339" spans="1:22" ht="19.5" x14ac:dyDescent="0.4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12">
        <f t="shared" si="20"/>
        <v>1.2281904761904763</v>
      </c>
      <c r="P339" s="13">
        <f t="shared" si="21"/>
        <v>105.9945205479452</v>
      </c>
      <c r="Q339" t="str" cm="1">
        <f t="array" ref="Q339:R339">_xlfn.TEXTSPLIT(N339,"/",,FALSE,,#N/A)</f>
        <v>theater</v>
      </c>
      <c r="R339" t="str">
        <v>plays</v>
      </c>
      <c r="U339" s="6">
        <f t="shared" si="22"/>
        <v>43780.25</v>
      </c>
      <c r="V339" s="6">
        <f t="shared" si="23"/>
        <v>43781.25</v>
      </c>
    </row>
    <row r="340" spans="1:22" ht="19.5" x14ac:dyDescent="0.4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12">
        <f t="shared" si="20"/>
        <v>1.7914326647564469</v>
      </c>
      <c r="P340" s="13">
        <f t="shared" si="21"/>
        <v>73.989349112426041</v>
      </c>
      <c r="Q340" t="str" cm="1">
        <f t="array" ref="Q340:R340">_xlfn.TEXTSPLIT(N340,"/",,FALSE,,#N/A)</f>
        <v>theater</v>
      </c>
      <c r="R340" t="str">
        <v>plays</v>
      </c>
      <c r="U340" s="6">
        <f t="shared" si="22"/>
        <v>40821.208333333336</v>
      </c>
      <c r="V340" s="6">
        <f t="shared" si="23"/>
        <v>40851.208333333336</v>
      </c>
    </row>
    <row r="341" spans="1:22" ht="19.5" x14ac:dyDescent="0.4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12">
        <f t="shared" si="20"/>
        <v>0.79951577402787966</v>
      </c>
      <c r="P341" s="13">
        <f t="shared" si="21"/>
        <v>84.02004626060139</v>
      </c>
      <c r="Q341" t="str" cm="1">
        <f t="array" ref="Q341:R341">_xlfn.TEXTSPLIT(N341,"/",,FALSE,,#N/A)</f>
        <v>theater</v>
      </c>
      <c r="R341" t="str">
        <v>plays</v>
      </c>
      <c r="U341" s="6">
        <f t="shared" si="22"/>
        <v>42949.208333333328</v>
      </c>
      <c r="V341" s="6">
        <f t="shared" si="23"/>
        <v>42963.208333333328</v>
      </c>
    </row>
    <row r="342" spans="1:22" ht="19.5" x14ac:dyDescent="0.4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12">
        <f t="shared" si="20"/>
        <v>0.94242587601078165</v>
      </c>
      <c r="P342" s="13">
        <f t="shared" si="21"/>
        <v>88.966921119592882</v>
      </c>
      <c r="Q342" t="str" cm="1">
        <f t="array" ref="Q342:R342">_xlfn.TEXTSPLIT(N342,"/",,FALSE,,#N/A)</f>
        <v>photography</v>
      </c>
      <c r="R342" t="str">
        <v>photography books</v>
      </c>
      <c r="U342" s="6">
        <f t="shared" si="22"/>
        <v>40889.25</v>
      </c>
      <c r="V342" s="6">
        <f t="shared" si="23"/>
        <v>40890.25</v>
      </c>
    </row>
    <row r="343" spans="1:22" ht="19.5" x14ac:dyDescent="0.4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12">
        <f t="shared" si="20"/>
        <v>0.84669291338582675</v>
      </c>
      <c r="P343" s="13">
        <f t="shared" si="21"/>
        <v>76.990453460620529</v>
      </c>
      <c r="Q343" t="str" cm="1">
        <f t="array" ref="Q343:R343">_xlfn.TEXTSPLIT(N343,"/",,FALSE,,#N/A)</f>
        <v>music</v>
      </c>
      <c r="R343" t="str">
        <v>indie rock</v>
      </c>
      <c r="U343" s="6">
        <f t="shared" si="22"/>
        <v>42244.208333333328</v>
      </c>
      <c r="V343" s="6">
        <f t="shared" si="23"/>
        <v>42251.208333333328</v>
      </c>
    </row>
    <row r="344" spans="1:22" ht="19.5" x14ac:dyDescent="0.4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12">
        <f t="shared" si="20"/>
        <v>0.66521920668058454</v>
      </c>
      <c r="P344" s="13">
        <f t="shared" si="21"/>
        <v>97.146341463414629</v>
      </c>
      <c r="Q344" t="str" cm="1">
        <f t="array" ref="Q344:R344">_xlfn.TEXTSPLIT(N344,"/",,FALSE,,#N/A)</f>
        <v>theater</v>
      </c>
      <c r="R344" t="str">
        <v>plays</v>
      </c>
      <c r="U344" s="6">
        <f t="shared" si="22"/>
        <v>41475.208333333336</v>
      </c>
      <c r="V344" s="6">
        <f t="shared" si="23"/>
        <v>41487.208333333336</v>
      </c>
    </row>
    <row r="345" spans="1:22" ht="19.5" x14ac:dyDescent="0.4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12">
        <f t="shared" si="20"/>
        <v>0.53922222222222227</v>
      </c>
      <c r="P345" s="13">
        <f t="shared" si="21"/>
        <v>33.013605442176868</v>
      </c>
      <c r="Q345" t="str" cm="1">
        <f t="array" ref="Q345:R345">_xlfn.TEXTSPLIT(N345,"/",,FALSE,,#N/A)</f>
        <v>theater</v>
      </c>
      <c r="R345" t="str">
        <v>plays</v>
      </c>
      <c r="U345" s="6">
        <f t="shared" si="22"/>
        <v>41597.25</v>
      </c>
      <c r="V345" s="6">
        <f t="shared" si="23"/>
        <v>41650.25</v>
      </c>
    </row>
    <row r="346" spans="1:22" ht="19.5" x14ac:dyDescent="0.4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12">
        <f t="shared" si="20"/>
        <v>0.41983299595141699</v>
      </c>
      <c r="P346" s="13">
        <f t="shared" si="21"/>
        <v>99.950602409638549</v>
      </c>
      <c r="Q346" t="str" cm="1">
        <f t="array" ref="Q346:R346">_xlfn.TEXTSPLIT(N346,"/",,FALSE,,#N/A)</f>
        <v>games</v>
      </c>
      <c r="R346" t="str">
        <v>video games</v>
      </c>
      <c r="U346" s="6">
        <f t="shared" si="22"/>
        <v>43122.25</v>
      </c>
      <c r="V346" s="6">
        <f t="shared" si="23"/>
        <v>43162.25</v>
      </c>
    </row>
    <row r="347" spans="1:22" ht="19.5" x14ac:dyDescent="0.4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12">
        <f t="shared" si="20"/>
        <v>0.14694796954314721</v>
      </c>
      <c r="P347" s="13">
        <f t="shared" si="21"/>
        <v>69.966767371601208</v>
      </c>
      <c r="Q347" t="str" cm="1">
        <f t="array" ref="Q347:R347">_xlfn.TEXTSPLIT(N347,"/",,FALSE,,#N/A)</f>
        <v>film &amp; video</v>
      </c>
      <c r="R347" t="str">
        <v>drama</v>
      </c>
      <c r="U347" s="6">
        <f t="shared" si="22"/>
        <v>42194.208333333328</v>
      </c>
      <c r="V347" s="6">
        <f t="shared" si="23"/>
        <v>42195.208333333328</v>
      </c>
    </row>
    <row r="348" spans="1:22" ht="19.5" x14ac:dyDescent="0.4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12">
        <f t="shared" si="20"/>
        <v>0.34475</v>
      </c>
      <c r="P348" s="13">
        <f t="shared" si="21"/>
        <v>110.32</v>
      </c>
      <c r="Q348" t="str" cm="1">
        <f t="array" ref="Q348:R348">_xlfn.TEXTSPLIT(N348,"/",,FALSE,,#N/A)</f>
        <v>music</v>
      </c>
      <c r="R348" t="str">
        <v>indie rock</v>
      </c>
      <c r="U348" s="6">
        <f t="shared" si="22"/>
        <v>42971.208333333328</v>
      </c>
      <c r="V348" s="6">
        <f t="shared" si="23"/>
        <v>43026.208333333328</v>
      </c>
    </row>
    <row r="349" spans="1:22" ht="19.5" x14ac:dyDescent="0.4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12">
        <f t="shared" si="20"/>
        <v>14.007777777777777</v>
      </c>
      <c r="P349" s="13">
        <f t="shared" si="21"/>
        <v>66.005235602094245</v>
      </c>
      <c r="Q349" t="str" cm="1">
        <f t="array" ref="Q349:R349">_xlfn.TEXTSPLIT(N349,"/",,FALSE,,#N/A)</f>
        <v>technology</v>
      </c>
      <c r="R349" t="str">
        <v>web</v>
      </c>
      <c r="U349" s="6">
        <f t="shared" si="22"/>
        <v>42046.25</v>
      </c>
      <c r="V349" s="6">
        <f t="shared" si="23"/>
        <v>42070.25</v>
      </c>
    </row>
    <row r="350" spans="1:22" ht="19.5" x14ac:dyDescent="0.4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12">
        <f t="shared" si="20"/>
        <v>0.71770351758793971</v>
      </c>
      <c r="P350" s="13">
        <f t="shared" si="21"/>
        <v>41.005742176284812</v>
      </c>
      <c r="Q350" t="str" cm="1">
        <f t="array" ref="Q350:R350">_xlfn.TEXTSPLIT(N350,"/",,FALSE,,#N/A)</f>
        <v>food</v>
      </c>
      <c r="R350" t="str">
        <v>food trucks</v>
      </c>
      <c r="U350" s="6">
        <f t="shared" si="22"/>
        <v>42782.25</v>
      </c>
      <c r="V350" s="6">
        <f t="shared" si="23"/>
        <v>42795.25</v>
      </c>
    </row>
    <row r="351" spans="1:22" ht="19.5" x14ac:dyDescent="0.4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12">
        <f t="shared" si="20"/>
        <v>0.53074115044247783</v>
      </c>
      <c r="P351" s="13">
        <f t="shared" si="21"/>
        <v>103.96316359696641</v>
      </c>
      <c r="Q351" t="str" cm="1">
        <f t="array" ref="Q351:R351">_xlfn.TEXTSPLIT(N351,"/",,FALSE,,#N/A)</f>
        <v>theater</v>
      </c>
      <c r="R351" t="str">
        <v>plays</v>
      </c>
      <c r="U351" s="6">
        <f t="shared" si="22"/>
        <v>42930.208333333328</v>
      </c>
      <c r="V351" s="6">
        <f t="shared" si="23"/>
        <v>42960.208333333328</v>
      </c>
    </row>
    <row r="352" spans="1:22" ht="19.5" x14ac:dyDescent="0.4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12">
        <f t="shared" si="20"/>
        <v>0.05</v>
      </c>
      <c r="P352" s="13">
        <f t="shared" si="21"/>
        <v>5</v>
      </c>
      <c r="Q352" t="str" cm="1">
        <f t="array" ref="Q352:R352">_xlfn.TEXTSPLIT(N352,"/",,FALSE,,#N/A)</f>
        <v>music</v>
      </c>
      <c r="R352" t="str">
        <v>jazz</v>
      </c>
      <c r="U352" s="6">
        <f t="shared" si="22"/>
        <v>42144.208333333328</v>
      </c>
      <c r="V352" s="6">
        <f t="shared" si="23"/>
        <v>42162.208333333328</v>
      </c>
    </row>
    <row r="353" spans="1:22" ht="19.5" x14ac:dyDescent="0.4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12">
        <f t="shared" si="20"/>
        <v>1.2770715249662619</v>
      </c>
      <c r="P353" s="13">
        <f t="shared" si="21"/>
        <v>47.009935419771487</v>
      </c>
      <c r="Q353" t="str" cm="1">
        <f t="array" ref="Q353:R353">_xlfn.TEXTSPLIT(N353,"/",,FALSE,,#N/A)</f>
        <v>music</v>
      </c>
      <c r="R353" t="str">
        <v>rock</v>
      </c>
      <c r="U353" s="6">
        <f t="shared" si="22"/>
        <v>42240.208333333328</v>
      </c>
      <c r="V353" s="6">
        <f t="shared" si="23"/>
        <v>42254.208333333328</v>
      </c>
    </row>
    <row r="354" spans="1:22" ht="19.5" x14ac:dyDescent="0.4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12">
        <f t="shared" si="20"/>
        <v>0.34892857142857142</v>
      </c>
      <c r="P354" s="13">
        <f t="shared" si="21"/>
        <v>29.606060606060606</v>
      </c>
      <c r="Q354" t="str" cm="1">
        <f t="array" ref="Q354:R354">_xlfn.TEXTSPLIT(N354,"/",,FALSE,,#N/A)</f>
        <v>theater</v>
      </c>
      <c r="R354" t="str">
        <v>plays</v>
      </c>
      <c r="U354" s="6">
        <f t="shared" si="22"/>
        <v>42315.25</v>
      </c>
      <c r="V354" s="6">
        <f t="shared" si="23"/>
        <v>42323.25</v>
      </c>
    </row>
    <row r="355" spans="1:22" ht="19.5" x14ac:dyDescent="0.4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12">
        <f t="shared" si="20"/>
        <v>4.105982142857143</v>
      </c>
      <c r="P355" s="13">
        <f t="shared" si="21"/>
        <v>81.010569583088667</v>
      </c>
      <c r="Q355" t="str" cm="1">
        <f t="array" ref="Q355:R355">_xlfn.TEXTSPLIT(N355,"/",,FALSE,,#N/A)</f>
        <v>theater</v>
      </c>
      <c r="R355" t="str">
        <v>plays</v>
      </c>
      <c r="U355" s="6">
        <f t="shared" si="22"/>
        <v>43651.208333333328</v>
      </c>
      <c r="V355" s="6">
        <f t="shared" si="23"/>
        <v>43652.208333333328</v>
      </c>
    </row>
    <row r="356" spans="1:22" ht="19.5" x14ac:dyDescent="0.4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12">
        <f t="shared" si="20"/>
        <v>1.2373770491803278</v>
      </c>
      <c r="P356" s="13">
        <f t="shared" si="21"/>
        <v>94.35</v>
      </c>
      <c r="Q356" t="str" cm="1">
        <f t="array" ref="Q356:R356">_xlfn.TEXTSPLIT(N356,"/",,FALSE,,#N/A)</f>
        <v>film &amp; video</v>
      </c>
      <c r="R356" t="str">
        <v>documentary</v>
      </c>
      <c r="U356" s="6">
        <f t="shared" si="22"/>
        <v>41520.208333333336</v>
      </c>
      <c r="V356" s="6">
        <f t="shared" si="23"/>
        <v>41527.208333333336</v>
      </c>
    </row>
    <row r="357" spans="1:22" ht="19.5" x14ac:dyDescent="0.4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12">
        <f t="shared" si="20"/>
        <v>0.58973684210526311</v>
      </c>
      <c r="P357" s="13">
        <f t="shared" si="21"/>
        <v>26.058139534883722</v>
      </c>
      <c r="Q357" t="str" cm="1">
        <f t="array" ref="Q357:R357">_xlfn.TEXTSPLIT(N357,"/",,FALSE,,#N/A)</f>
        <v>technology</v>
      </c>
      <c r="R357" t="str">
        <v>wearables</v>
      </c>
      <c r="U357" s="6">
        <f t="shared" si="22"/>
        <v>42757.25</v>
      </c>
      <c r="V357" s="6">
        <f t="shared" si="23"/>
        <v>42797.25</v>
      </c>
    </row>
    <row r="358" spans="1:22" ht="19.5" x14ac:dyDescent="0.4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12">
        <f t="shared" si="20"/>
        <v>0.36892473118279567</v>
      </c>
      <c r="P358" s="13">
        <f t="shared" si="21"/>
        <v>85.775000000000006</v>
      </c>
      <c r="Q358" t="str" cm="1">
        <f t="array" ref="Q358:R358">_xlfn.TEXTSPLIT(N358,"/",,FALSE,,#N/A)</f>
        <v>theater</v>
      </c>
      <c r="R358" t="str">
        <v>plays</v>
      </c>
      <c r="U358" s="6">
        <f t="shared" si="22"/>
        <v>40922.25</v>
      </c>
      <c r="V358" s="6">
        <f t="shared" si="23"/>
        <v>40931.25</v>
      </c>
    </row>
    <row r="359" spans="1:22" ht="19.5" x14ac:dyDescent="0.4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12">
        <f t="shared" si="20"/>
        <v>1.8491304347826087</v>
      </c>
      <c r="P359" s="13">
        <f t="shared" si="21"/>
        <v>103.73170731707317</v>
      </c>
      <c r="Q359" t="str" cm="1">
        <f t="array" ref="Q359:R359">_xlfn.TEXTSPLIT(N359,"/",,FALSE,,#N/A)</f>
        <v>games</v>
      </c>
      <c r="R359" t="str">
        <v>video games</v>
      </c>
      <c r="U359" s="6">
        <f t="shared" si="22"/>
        <v>42250.208333333328</v>
      </c>
      <c r="V359" s="6">
        <f t="shared" si="23"/>
        <v>42275.208333333328</v>
      </c>
    </row>
    <row r="360" spans="1:22" ht="19.5" x14ac:dyDescent="0.4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12">
        <f t="shared" si="20"/>
        <v>0.11814432989690722</v>
      </c>
      <c r="P360" s="13">
        <f t="shared" si="21"/>
        <v>49.826086956521742</v>
      </c>
      <c r="Q360" t="str" cm="1">
        <f t="array" ref="Q360:R360">_xlfn.TEXTSPLIT(N360,"/",,FALSE,,#N/A)</f>
        <v>photography</v>
      </c>
      <c r="R360" t="str">
        <v>photography books</v>
      </c>
      <c r="U360" s="6">
        <f t="shared" si="22"/>
        <v>43322.208333333328</v>
      </c>
      <c r="V360" s="6">
        <f t="shared" si="23"/>
        <v>43325.208333333328</v>
      </c>
    </row>
    <row r="361" spans="1:22" ht="19.5" x14ac:dyDescent="0.4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12">
        <f t="shared" si="20"/>
        <v>2.9870000000000001</v>
      </c>
      <c r="P361" s="13">
        <f t="shared" si="21"/>
        <v>63.893048128342244</v>
      </c>
      <c r="Q361" t="str" cm="1">
        <f t="array" ref="Q361:R361">_xlfn.TEXTSPLIT(N361,"/",,FALSE,,#N/A)</f>
        <v>film &amp; video</v>
      </c>
      <c r="R361" t="str">
        <v>animation</v>
      </c>
      <c r="U361" s="6">
        <f t="shared" si="22"/>
        <v>40782.208333333336</v>
      </c>
      <c r="V361" s="6">
        <f t="shared" si="23"/>
        <v>40789.208333333336</v>
      </c>
    </row>
    <row r="362" spans="1:22" ht="19.5" x14ac:dyDescent="0.4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12">
        <f t="shared" si="20"/>
        <v>2.2635175879396985</v>
      </c>
      <c r="P362" s="13">
        <f t="shared" si="21"/>
        <v>47.002434782608695</v>
      </c>
      <c r="Q362" t="str" cm="1">
        <f t="array" ref="Q362:R362">_xlfn.TEXTSPLIT(N362,"/",,FALSE,,#N/A)</f>
        <v>theater</v>
      </c>
      <c r="R362" t="str">
        <v>plays</v>
      </c>
      <c r="U362" s="6">
        <f t="shared" si="22"/>
        <v>40544.25</v>
      </c>
      <c r="V362" s="6">
        <f t="shared" si="23"/>
        <v>40558.25</v>
      </c>
    </row>
    <row r="363" spans="1:22" ht="19.5" x14ac:dyDescent="0.4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12">
        <f t="shared" si="20"/>
        <v>1.7356363636363636</v>
      </c>
      <c r="P363" s="13">
        <f t="shared" si="21"/>
        <v>108.47727272727273</v>
      </c>
      <c r="Q363" t="str" cm="1">
        <f t="array" ref="Q363:R363">_xlfn.TEXTSPLIT(N363,"/",,FALSE,,#N/A)</f>
        <v>theater</v>
      </c>
      <c r="R363" t="str">
        <v>plays</v>
      </c>
      <c r="U363" s="6">
        <f t="shared" si="22"/>
        <v>43015.208333333328</v>
      </c>
      <c r="V363" s="6">
        <f t="shared" si="23"/>
        <v>43039.208333333328</v>
      </c>
    </row>
    <row r="364" spans="1:22" ht="19.5" x14ac:dyDescent="0.4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12">
        <f t="shared" si="20"/>
        <v>3.7175675675675675</v>
      </c>
      <c r="P364" s="13">
        <f t="shared" si="21"/>
        <v>72.015706806282722</v>
      </c>
      <c r="Q364" t="str" cm="1">
        <f t="array" ref="Q364:R364">_xlfn.TEXTSPLIT(N364,"/",,FALSE,,#N/A)</f>
        <v>music</v>
      </c>
      <c r="R364" t="str">
        <v>rock</v>
      </c>
      <c r="U364" s="6">
        <f t="shared" si="22"/>
        <v>40570.25</v>
      </c>
      <c r="V364" s="6">
        <f t="shared" si="23"/>
        <v>40608.25</v>
      </c>
    </row>
    <row r="365" spans="1:22" ht="19.5" x14ac:dyDescent="0.4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12">
        <f t="shared" si="20"/>
        <v>1.601923076923077</v>
      </c>
      <c r="P365" s="13">
        <f t="shared" si="21"/>
        <v>59.928057553956833</v>
      </c>
      <c r="Q365" t="str" cm="1">
        <f t="array" ref="Q365:R365">_xlfn.TEXTSPLIT(N365,"/",,FALSE,,#N/A)</f>
        <v>music</v>
      </c>
      <c r="R365" t="str">
        <v>rock</v>
      </c>
      <c r="U365" s="6">
        <f t="shared" si="22"/>
        <v>40904.25</v>
      </c>
      <c r="V365" s="6">
        <f t="shared" si="23"/>
        <v>40905.25</v>
      </c>
    </row>
    <row r="366" spans="1:22" ht="19.5" x14ac:dyDescent="0.4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12">
        <f t="shared" si="20"/>
        <v>16.163333333333334</v>
      </c>
      <c r="P366" s="13">
        <f t="shared" si="21"/>
        <v>78.209677419354833</v>
      </c>
      <c r="Q366" t="str" cm="1">
        <f t="array" ref="Q366:R366">_xlfn.TEXTSPLIT(N366,"/",,FALSE,,#N/A)</f>
        <v>music</v>
      </c>
      <c r="R366" t="str">
        <v>indie rock</v>
      </c>
      <c r="U366" s="6">
        <f t="shared" si="22"/>
        <v>43164.25</v>
      </c>
      <c r="V366" s="6">
        <f t="shared" si="23"/>
        <v>43194.208333333328</v>
      </c>
    </row>
    <row r="367" spans="1:22" ht="19.5" x14ac:dyDescent="0.4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12">
        <f t="shared" si="20"/>
        <v>7.3343749999999996</v>
      </c>
      <c r="P367" s="13">
        <f t="shared" si="21"/>
        <v>104.77678571428571</v>
      </c>
      <c r="Q367" t="str" cm="1">
        <f t="array" ref="Q367:R367">_xlfn.TEXTSPLIT(N367,"/",,FALSE,,#N/A)</f>
        <v>theater</v>
      </c>
      <c r="R367" t="str">
        <v>plays</v>
      </c>
      <c r="U367" s="6">
        <f t="shared" si="22"/>
        <v>42733.25</v>
      </c>
      <c r="V367" s="6">
        <f t="shared" si="23"/>
        <v>42760.25</v>
      </c>
    </row>
    <row r="368" spans="1:22" ht="19.5" x14ac:dyDescent="0.4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12">
        <f t="shared" si="20"/>
        <v>5.9211111111111112</v>
      </c>
      <c r="P368" s="13">
        <f t="shared" si="21"/>
        <v>105.52475247524752</v>
      </c>
      <c r="Q368" t="str" cm="1">
        <f t="array" ref="Q368:R368">_xlfn.TEXTSPLIT(N368,"/",,FALSE,,#N/A)</f>
        <v>theater</v>
      </c>
      <c r="R368" t="str">
        <v>plays</v>
      </c>
      <c r="U368" s="6">
        <f t="shared" si="22"/>
        <v>40546.25</v>
      </c>
      <c r="V368" s="6">
        <f t="shared" si="23"/>
        <v>40547.25</v>
      </c>
    </row>
    <row r="369" spans="1:22" ht="19.5" x14ac:dyDescent="0.4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12">
        <f t="shared" si="20"/>
        <v>0.18888888888888888</v>
      </c>
      <c r="P369" s="13">
        <f t="shared" si="21"/>
        <v>24.933333333333334</v>
      </c>
      <c r="Q369" t="str" cm="1">
        <f t="array" ref="Q369:R369">_xlfn.TEXTSPLIT(N369,"/",,FALSE,,#N/A)</f>
        <v>theater</v>
      </c>
      <c r="R369" t="str">
        <v>plays</v>
      </c>
      <c r="U369" s="6">
        <f t="shared" si="22"/>
        <v>41930.208333333336</v>
      </c>
      <c r="V369" s="6">
        <f t="shared" si="23"/>
        <v>41954.25</v>
      </c>
    </row>
    <row r="370" spans="1:22" ht="19.5" x14ac:dyDescent="0.4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12">
        <f t="shared" si="20"/>
        <v>2.7680769230769231</v>
      </c>
      <c r="P370" s="13">
        <f t="shared" si="21"/>
        <v>69.873786407766985</v>
      </c>
      <c r="Q370" t="str" cm="1">
        <f t="array" ref="Q370:R370">_xlfn.TEXTSPLIT(N370,"/",,FALSE,,#N/A)</f>
        <v>film &amp; video</v>
      </c>
      <c r="R370" t="str">
        <v>documentary</v>
      </c>
      <c r="U370" s="6">
        <f t="shared" si="22"/>
        <v>40464.208333333336</v>
      </c>
      <c r="V370" s="6">
        <f t="shared" si="23"/>
        <v>40487.208333333336</v>
      </c>
    </row>
    <row r="371" spans="1:22" ht="19.5" x14ac:dyDescent="0.4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12">
        <f t="shared" si="20"/>
        <v>2.730185185185185</v>
      </c>
      <c r="P371" s="13">
        <f t="shared" si="21"/>
        <v>95.733766233766232</v>
      </c>
      <c r="Q371" t="str" cm="1">
        <f t="array" ref="Q371:R371">_xlfn.TEXTSPLIT(N371,"/",,FALSE,,#N/A)</f>
        <v>film &amp; video</v>
      </c>
      <c r="R371" t="str">
        <v>television</v>
      </c>
      <c r="U371" s="6">
        <f t="shared" si="22"/>
        <v>41308.25</v>
      </c>
      <c r="V371" s="6">
        <f t="shared" si="23"/>
        <v>41347.208333333336</v>
      </c>
    </row>
    <row r="372" spans="1:22" ht="19.5" x14ac:dyDescent="0.4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12">
        <f t="shared" si="20"/>
        <v>1.593633125556545</v>
      </c>
      <c r="P372" s="13">
        <f t="shared" si="21"/>
        <v>29.997485752598056</v>
      </c>
      <c r="Q372" t="str" cm="1">
        <f t="array" ref="Q372:R372">_xlfn.TEXTSPLIT(N372,"/",,FALSE,,#N/A)</f>
        <v>theater</v>
      </c>
      <c r="R372" t="str">
        <v>plays</v>
      </c>
      <c r="U372" s="6">
        <f t="shared" si="22"/>
        <v>43570.208333333328</v>
      </c>
      <c r="V372" s="6">
        <f t="shared" si="23"/>
        <v>43576.208333333328</v>
      </c>
    </row>
    <row r="373" spans="1:22" ht="19.5" x14ac:dyDescent="0.4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12">
        <f t="shared" si="20"/>
        <v>0.67869978858350954</v>
      </c>
      <c r="P373" s="13">
        <f t="shared" si="21"/>
        <v>59.011948529411768</v>
      </c>
      <c r="Q373" t="str" cm="1">
        <f t="array" ref="Q373:R373">_xlfn.TEXTSPLIT(N373,"/",,FALSE,,#N/A)</f>
        <v>theater</v>
      </c>
      <c r="R373" t="str">
        <v>plays</v>
      </c>
      <c r="U373" s="6">
        <f t="shared" si="22"/>
        <v>42043.25</v>
      </c>
      <c r="V373" s="6">
        <f t="shared" si="23"/>
        <v>42094.208333333328</v>
      </c>
    </row>
    <row r="374" spans="1:22" ht="33.75" x14ac:dyDescent="0.4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12">
        <f t="shared" si="20"/>
        <v>15.915555555555555</v>
      </c>
      <c r="P374" s="13">
        <f t="shared" si="21"/>
        <v>84.757396449704146</v>
      </c>
      <c r="Q374" t="str" cm="1">
        <f t="array" ref="Q374:R374">_xlfn.TEXTSPLIT(N374,"/",,FALSE,,#N/A)</f>
        <v>film &amp; video</v>
      </c>
      <c r="R374" t="str">
        <v>documentary</v>
      </c>
      <c r="U374" s="6">
        <f t="shared" si="22"/>
        <v>42012.25</v>
      </c>
      <c r="V374" s="6">
        <f t="shared" si="23"/>
        <v>42032.25</v>
      </c>
    </row>
    <row r="375" spans="1:22" ht="19.5" x14ac:dyDescent="0.4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12">
        <f t="shared" si="20"/>
        <v>7.3018222222222224</v>
      </c>
      <c r="P375" s="13">
        <f t="shared" si="21"/>
        <v>78.010921177587846</v>
      </c>
      <c r="Q375" t="str" cm="1">
        <f t="array" ref="Q375:R375">_xlfn.TEXTSPLIT(N375,"/",,FALSE,,#N/A)</f>
        <v>theater</v>
      </c>
      <c r="R375" t="str">
        <v>plays</v>
      </c>
      <c r="U375" s="6">
        <f t="shared" si="22"/>
        <v>42964.208333333328</v>
      </c>
      <c r="V375" s="6">
        <f t="shared" si="23"/>
        <v>42972.208333333328</v>
      </c>
    </row>
    <row r="376" spans="1:22" ht="33.75" x14ac:dyDescent="0.4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12">
        <f t="shared" si="20"/>
        <v>0.13185782556750297</v>
      </c>
      <c r="P376" s="13">
        <f t="shared" si="21"/>
        <v>50.05215419501134</v>
      </c>
      <c r="Q376" t="str" cm="1">
        <f t="array" ref="Q376:R376">_xlfn.TEXTSPLIT(N376,"/",,FALSE,,#N/A)</f>
        <v>film &amp; video</v>
      </c>
      <c r="R376" t="str">
        <v>documentary</v>
      </c>
      <c r="U376" s="6">
        <f t="shared" si="22"/>
        <v>43476.25</v>
      </c>
      <c r="V376" s="6">
        <f t="shared" si="23"/>
        <v>43481.25</v>
      </c>
    </row>
    <row r="377" spans="1:22" ht="33.75" x14ac:dyDescent="0.4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12">
        <f t="shared" si="20"/>
        <v>0.54777777777777781</v>
      </c>
      <c r="P377" s="13">
        <f t="shared" si="21"/>
        <v>59.16</v>
      </c>
      <c r="Q377" t="str" cm="1">
        <f t="array" ref="Q377:R377">_xlfn.TEXTSPLIT(N377,"/",,FALSE,,#N/A)</f>
        <v>music</v>
      </c>
      <c r="R377" t="str">
        <v>indie rock</v>
      </c>
      <c r="U377" s="6">
        <f t="shared" si="22"/>
        <v>42293.208333333328</v>
      </c>
      <c r="V377" s="6">
        <f t="shared" si="23"/>
        <v>42350.25</v>
      </c>
    </row>
    <row r="378" spans="1:22" ht="19.5" x14ac:dyDescent="0.4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12">
        <f t="shared" si="20"/>
        <v>3.6102941176470589</v>
      </c>
      <c r="P378" s="13">
        <f t="shared" si="21"/>
        <v>93.702290076335885</v>
      </c>
      <c r="Q378" t="str" cm="1">
        <f t="array" ref="Q378:R378">_xlfn.TEXTSPLIT(N378,"/",,FALSE,,#N/A)</f>
        <v>music</v>
      </c>
      <c r="R378" t="str">
        <v>rock</v>
      </c>
      <c r="U378" s="6">
        <f t="shared" si="22"/>
        <v>41826.208333333336</v>
      </c>
      <c r="V378" s="6">
        <f t="shared" si="23"/>
        <v>41832.208333333336</v>
      </c>
    </row>
    <row r="379" spans="1:22" ht="19.5" x14ac:dyDescent="0.4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12">
        <f t="shared" si="20"/>
        <v>0.10257545271629778</v>
      </c>
      <c r="P379" s="13">
        <f t="shared" si="21"/>
        <v>40.14173228346457</v>
      </c>
      <c r="Q379" t="str" cm="1">
        <f t="array" ref="Q379:R379">_xlfn.TEXTSPLIT(N379,"/",,FALSE,,#N/A)</f>
        <v>theater</v>
      </c>
      <c r="R379" t="str">
        <v>plays</v>
      </c>
      <c r="U379" s="6">
        <f t="shared" si="22"/>
        <v>43760.208333333328</v>
      </c>
      <c r="V379" s="6">
        <f t="shared" si="23"/>
        <v>43774.25</v>
      </c>
    </row>
    <row r="380" spans="1:22" ht="19.5" x14ac:dyDescent="0.4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12">
        <f t="shared" si="20"/>
        <v>0.13962962962962963</v>
      </c>
      <c r="P380" s="13">
        <f t="shared" si="21"/>
        <v>70.090140845070422</v>
      </c>
      <c r="Q380" t="str" cm="1">
        <f t="array" ref="Q380:R380">_xlfn.TEXTSPLIT(N380,"/",,FALSE,,#N/A)</f>
        <v>film &amp; video</v>
      </c>
      <c r="R380" t="str">
        <v>documentary</v>
      </c>
      <c r="U380" s="6">
        <f t="shared" si="22"/>
        <v>43241.208333333328</v>
      </c>
      <c r="V380" s="6">
        <f t="shared" si="23"/>
        <v>43279.208333333328</v>
      </c>
    </row>
    <row r="381" spans="1:22" ht="19.5" x14ac:dyDescent="0.4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12">
        <f t="shared" si="20"/>
        <v>0.40444444444444444</v>
      </c>
      <c r="P381" s="13">
        <f t="shared" si="21"/>
        <v>66.181818181818187</v>
      </c>
      <c r="Q381" t="str" cm="1">
        <f t="array" ref="Q381:R381">_xlfn.TEXTSPLIT(N381,"/",,FALSE,,#N/A)</f>
        <v>theater</v>
      </c>
      <c r="R381" t="str">
        <v>plays</v>
      </c>
      <c r="U381" s="6">
        <f t="shared" si="22"/>
        <v>40843.208333333336</v>
      </c>
      <c r="V381" s="6">
        <f t="shared" si="23"/>
        <v>40857.25</v>
      </c>
    </row>
    <row r="382" spans="1:22" ht="33.75" x14ac:dyDescent="0.4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12">
        <f t="shared" si="20"/>
        <v>1.6032</v>
      </c>
      <c r="P382" s="13">
        <f t="shared" si="21"/>
        <v>47.714285714285715</v>
      </c>
      <c r="Q382" t="str" cm="1">
        <f t="array" ref="Q382:R382">_xlfn.TEXTSPLIT(N382,"/",,FALSE,,#N/A)</f>
        <v>theater</v>
      </c>
      <c r="R382" t="str">
        <v>plays</v>
      </c>
      <c r="U382" s="6">
        <f t="shared" si="22"/>
        <v>41448.208333333336</v>
      </c>
      <c r="V382" s="6">
        <f t="shared" si="23"/>
        <v>41453.208333333336</v>
      </c>
    </row>
    <row r="383" spans="1:22" ht="19.5" x14ac:dyDescent="0.4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12">
        <f t="shared" si="20"/>
        <v>1.8394339622641509</v>
      </c>
      <c r="P383" s="13">
        <f t="shared" si="21"/>
        <v>62.896774193548389</v>
      </c>
      <c r="Q383" t="str" cm="1">
        <f t="array" ref="Q383:R383">_xlfn.TEXTSPLIT(N383,"/",,FALSE,,#N/A)</f>
        <v>theater</v>
      </c>
      <c r="R383" t="str">
        <v>plays</v>
      </c>
      <c r="U383" s="6">
        <f t="shared" si="22"/>
        <v>42163.208333333328</v>
      </c>
      <c r="V383" s="6">
        <f t="shared" si="23"/>
        <v>42209.208333333328</v>
      </c>
    </row>
    <row r="384" spans="1:22" ht="33.75" x14ac:dyDescent="0.4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12">
        <f t="shared" si="20"/>
        <v>0.63769230769230767</v>
      </c>
      <c r="P384" s="13">
        <f t="shared" si="21"/>
        <v>86.611940298507463</v>
      </c>
      <c r="Q384" t="str" cm="1">
        <f t="array" ref="Q384:R384">_xlfn.TEXTSPLIT(N384,"/",,FALSE,,#N/A)</f>
        <v>photography</v>
      </c>
      <c r="R384" t="str">
        <v>photography books</v>
      </c>
      <c r="U384" s="6">
        <f t="shared" si="22"/>
        <v>43024.208333333328</v>
      </c>
      <c r="V384" s="6">
        <f t="shared" si="23"/>
        <v>43043.208333333328</v>
      </c>
    </row>
    <row r="385" spans="1:22" ht="19.5" x14ac:dyDescent="0.4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12">
        <f t="shared" si="20"/>
        <v>2.2538095238095237</v>
      </c>
      <c r="P385" s="13">
        <f t="shared" si="21"/>
        <v>75.126984126984127</v>
      </c>
      <c r="Q385" t="str" cm="1">
        <f t="array" ref="Q385:R385">_xlfn.TEXTSPLIT(N385,"/",,FALSE,,#N/A)</f>
        <v>food</v>
      </c>
      <c r="R385" t="str">
        <v>food trucks</v>
      </c>
      <c r="U385" s="6">
        <f t="shared" si="22"/>
        <v>43509.25</v>
      </c>
      <c r="V385" s="6">
        <f t="shared" si="23"/>
        <v>43515.25</v>
      </c>
    </row>
    <row r="386" spans="1:22" ht="19.5" x14ac:dyDescent="0.4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12">
        <f t="shared" si="20"/>
        <v>1.7200961538461539</v>
      </c>
      <c r="P386" s="13">
        <f t="shared" si="21"/>
        <v>41.004167534903104</v>
      </c>
      <c r="Q386" t="str" cm="1">
        <f t="array" ref="Q386:R386">_xlfn.TEXTSPLIT(N386,"/",,FALSE,,#N/A)</f>
        <v>film &amp; video</v>
      </c>
      <c r="R386" t="str">
        <v>documentary</v>
      </c>
      <c r="U386" s="6">
        <f t="shared" si="22"/>
        <v>42776.25</v>
      </c>
      <c r="V386" s="6">
        <f t="shared" si="23"/>
        <v>42803.25</v>
      </c>
    </row>
    <row r="387" spans="1:22" ht="33.75" x14ac:dyDescent="0.4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12">
        <f t="shared" ref="O387:O450" si="24">E387/D387</f>
        <v>1.4616709511568124</v>
      </c>
      <c r="P387" s="13">
        <f t="shared" ref="P387:P450" si="25">E387/G387</f>
        <v>50.007915567282325</v>
      </c>
      <c r="Q387" t="str" cm="1">
        <f t="array" ref="Q387:R387">_xlfn.TEXTSPLIT(N387,"/",,FALSE,,#N/A)</f>
        <v>publishing</v>
      </c>
      <c r="R387" t="str">
        <v>nonfiction</v>
      </c>
      <c r="U387" s="6">
        <f t="shared" ref="U387:U450" si="26">(((J387/60)/60)/24)+DATE(1970,1,1)</f>
        <v>43553.208333333328</v>
      </c>
      <c r="V387" s="6">
        <f t="shared" ref="V387:V450" si="27">(((K387/60)/60)/24)+DATE(1970,1,1)</f>
        <v>43585.208333333328</v>
      </c>
    </row>
    <row r="388" spans="1:22" ht="33.75" x14ac:dyDescent="0.4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12">
        <f t="shared" si="24"/>
        <v>0.76423616236162362</v>
      </c>
      <c r="P388" s="13">
        <f t="shared" si="25"/>
        <v>96.960674157303373</v>
      </c>
      <c r="Q388" t="str" cm="1">
        <f t="array" ref="Q388:R388">_xlfn.TEXTSPLIT(N388,"/",,FALSE,,#N/A)</f>
        <v>theater</v>
      </c>
      <c r="R388" t="str">
        <v>plays</v>
      </c>
      <c r="U388" s="6">
        <f t="shared" si="26"/>
        <v>40355.208333333336</v>
      </c>
      <c r="V388" s="6">
        <f t="shared" si="27"/>
        <v>40367.208333333336</v>
      </c>
    </row>
    <row r="389" spans="1:22" ht="19.5" x14ac:dyDescent="0.4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12">
        <f t="shared" si="24"/>
        <v>0.39261467889908258</v>
      </c>
      <c r="P389" s="13">
        <f t="shared" si="25"/>
        <v>100.93160377358491</v>
      </c>
      <c r="Q389" t="str" cm="1">
        <f t="array" ref="Q389:R389">_xlfn.TEXTSPLIT(N389,"/",,FALSE,,#N/A)</f>
        <v>technology</v>
      </c>
      <c r="R389" t="str">
        <v>wearables</v>
      </c>
      <c r="U389" s="6">
        <f t="shared" si="26"/>
        <v>41072.208333333336</v>
      </c>
      <c r="V389" s="6">
        <f t="shared" si="27"/>
        <v>41077.208333333336</v>
      </c>
    </row>
    <row r="390" spans="1:22" ht="19.5" x14ac:dyDescent="0.4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12">
        <f t="shared" si="24"/>
        <v>0.11270034843205574</v>
      </c>
      <c r="P390" s="13">
        <f t="shared" si="25"/>
        <v>89.227586206896547</v>
      </c>
      <c r="Q390" t="str" cm="1">
        <f t="array" ref="Q390:R390">_xlfn.TEXTSPLIT(N390,"/",,FALSE,,#N/A)</f>
        <v>music</v>
      </c>
      <c r="R390" t="str">
        <v>indie rock</v>
      </c>
      <c r="U390" s="6">
        <f t="shared" si="26"/>
        <v>40912.25</v>
      </c>
      <c r="V390" s="6">
        <f t="shared" si="27"/>
        <v>40914.25</v>
      </c>
    </row>
    <row r="391" spans="1:22" ht="19.5" x14ac:dyDescent="0.4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12">
        <f t="shared" si="24"/>
        <v>1.2211084337349398</v>
      </c>
      <c r="P391" s="13">
        <f t="shared" si="25"/>
        <v>87.979166666666671</v>
      </c>
      <c r="Q391" t="str" cm="1">
        <f t="array" ref="Q391:R391">_xlfn.TEXTSPLIT(N391,"/",,FALSE,,#N/A)</f>
        <v>theater</v>
      </c>
      <c r="R391" t="str">
        <v>plays</v>
      </c>
      <c r="U391" s="6">
        <f t="shared" si="26"/>
        <v>40479.208333333336</v>
      </c>
      <c r="V391" s="6">
        <f t="shared" si="27"/>
        <v>40506.25</v>
      </c>
    </row>
    <row r="392" spans="1:22" ht="19.5" x14ac:dyDescent="0.4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12">
        <f t="shared" si="24"/>
        <v>1.8654166666666667</v>
      </c>
      <c r="P392" s="13">
        <f t="shared" si="25"/>
        <v>89.54</v>
      </c>
      <c r="Q392" t="str" cm="1">
        <f t="array" ref="Q392:R392">_xlfn.TEXTSPLIT(N392,"/",,FALSE,,#N/A)</f>
        <v>photography</v>
      </c>
      <c r="R392" t="str">
        <v>photography books</v>
      </c>
      <c r="U392" s="6">
        <f t="shared" si="26"/>
        <v>41530.208333333336</v>
      </c>
      <c r="V392" s="6">
        <f t="shared" si="27"/>
        <v>41545.208333333336</v>
      </c>
    </row>
    <row r="393" spans="1:22" ht="19.5" x14ac:dyDescent="0.4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12">
        <f t="shared" si="24"/>
        <v>7.27317880794702E-2</v>
      </c>
      <c r="P393" s="13">
        <f t="shared" si="25"/>
        <v>29.09271523178808</v>
      </c>
      <c r="Q393" t="str" cm="1">
        <f t="array" ref="Q393:R393">_xlfn.TEXTSPLIT(N393,"/",,FALSE,,#N/A)</f>
        <v>publishing</v>
      </c>
      <c r="R393" t="str">
        <v>nonfiction</v>
      </c>
      <c r="U393" s="6">
        <f t="shared" si="26"/>
        <v>41653.25</v>
      </c>
      <c r="V393" s="6">
        <f t="shared" si="27"/>
        <v>41655.25</v>
      </c>
    </row>
    <row r="394" spans="1:22" ht="33.75" x14ac:dyDescent="0.4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12">
        <f t="shared" si="24"/>
        <v>0.65642371234207963</v>
      </c>
      <c r="P394" s="13">
        <f t="shared" si="25"/>
        <v>42.006218905472636</v>
      </c>
      <c r="Q394" t="str" cm="1">
        <f t="array" ref="Q394:R394">_xlfn.TEXTSPLIT(N394,"/",,FALSE,,#N/A)</f>
        <v>technology</v>
      </c>
      <c r="R394" t="str">
        <v>wearables</v>
      </c>
      <c r="U394" s="6">
        <f t="shared" si="26"/>
        <v>40549.25</v>
      </c>
      <c r="V394" s="6">
        <f t="shared" si="27"/>
        <v>40551.25</v>
      </c>
    </row>
    <row r="395" spans="1:22" ht="19.5" x14ac:dyDescent="0.4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12">
        <f t="shared" si="24"/>
        <v>2.2896178343949045</v>
      </c>
      <c r="P395" s="13">
        <f t="shared" si="25"/>
        <v>47.004903563255965</v>
      </c>
      <c r="Q395" t="str" cm="1">
        <f t="array" ref="Q395:R395">_xlfn.TEXTSPLIT(N395,"/",,FALSE,,#N/A)</f>
        <v>music</v>
      </c>
      <c r="R395" t="str">
        <v>jazz</v>
      </c>
      <c r="U395" s="6">
        <f t="shared" si="26"/>
        <v>42933.208333333328</v>
      </c>
      <c r="V395" s="6">
        <f t="shared" si="27"/>
        <v>42934.208333333328</v>
      </c>
    </row>
    <row r="396" spans="1:22" ht="19.5" x14ac:dyDescent="0.4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12">
        <f t="shared" si="24"/>
        <v>4.6937499999999996</v>
      </c>
      <c r="P396" s="13">
        <f t="shared" si="25"/>
        <v>110.44117647058823</v>
      </c>
      <c r="Q396" t="str" cm="1">
        <f t="array" ref="Q396:R396">_xlfn.TEXTSPLIT(N396,"/",,FALSE,,#N/A)</f>
        <v>film &amp; video</v>
      </c>
      <c r="R396" t="str">
        <v>documentary</v>
      </c>
      <c r="U396" s="6">
        <f t="shared" si="26"/>
        <v>41484.208333333336</v>
      </c>
      <c r="V396" s="6">
        <f t="shared" si="27"/>
        <v>41494.208333333336</v>
      </c>
    </row>
    <row r="397" spans="1:22" ht="33.75" x14ac:dyDescent="0.4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12">
        <f t="shared" si="24"/>
        <v>1.3011267605633803</v>
      </c>
      <c r="P397" s="13">
        <f t="shared" si="25"/>
        <v>41.990909090909092</v>
      </c>
      <c r="Q397" t="str" cm="1">
        <f t="array" ref="Q397:R397">_xlfn.TEXTSPLIT(N397,"/",,FALSE,,#N/A)</f>
        <v>theater</v>
      </c>
      <c r="R397" t="str">
        <v>plays</v>
      </c>
      <c r="U397" s="6">
        <f t="shared" si="26"/>
        <v>40885.25</v>
      </c>
      <c r="V397" s="6">
        <f t="shared" si="27"/>
        <v>40886.25</v>
      </c>
    </row>
    <row r="398" spans="1:22" ht="19.5" x14ac:dyDescent="0.4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12">
        <f t="shared" si="24"/>
        <v>1.6705422993492407</v>
      </c>
      <c r="P398" s="13">
        <f t="shared" si="25"/>
        <v>48.012468827930178</v>
      </c>
      <c r="Q398" t="str" cm="1">
        <f t="array" ref="Q398:R398">_xlfn.TEXTSPLIT(N398,"/",,FALSE,,#N/A)</f>
        <v>film &amp; video</v>
      </c>
      <c r="R398" t="str">
        <v>drama</v>
      </c>
      <c r="U398" s="6">
        <f t="shared" si="26"/>
        <v>43378.208333333328</v>
      </c>
      <c r="V398" s="6">
        <f t="shared" si="27"/>
        <v>43386.208333333328</v>
      </c>
    </row>
    <row r="399" spans="1:22" ht="19.5" x14ac:dyDescent="0.4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12">
        <f t="shared" si="24"/>
        <v>1.738641975308642</v>
      </c>
      <c r="P399" s="13">
        <f t="shared" si="25"/>
        <v>31.019823788546255</v>
      </c>
      <c r="Q399" t="str" cm="1">
        <f t="array" ref="Q399:R399">_xlfn.TEXTSPLIT(N399,"/",,FALSE,,#N/A)</f>
        <v>music</v>
      </c>
      <c r="R399" t="str">
        <v>rock</v>
      </c>
      <c r="U399" s="6">
        <f t="shared" si="26"/>
        <v>41417.208333333336</v>
      </c>
      <c r="V399" s="6">
        <f t="shared" si="27"/>
        <v>41423.208333333336</v>
      </c>
    </row>
    <row r="400" spans="1:22" ht="19.5" x14ac:dyDescent="0.4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12">
        <f t="shared" si="24"/>
        <v>7.1776470588235295</v>
      </c>
      <c r="P400" s="13">
        <f t="shared" si="25"/>
        <v>99.203252032520325</v>
      </c>
      <c r="Q400" t="str" cm="1">
        <f t="array" ref="Q400:R400">_xlfn.TEXTSPLIT(N400,"/",,FALSE,,#N/A)</f>
        <v>film &amp; video</v>
      </c>
      <c r="R400" t="str">
        <v>animation</v>
      </c>
      <c r="U400" s="6">
        <f t="shared" si="26"/>
        <v>43228.208333333328</v>
      </c>
      <c r="V400" s="6">
        <f t="shared" si="27"/>
        <v>43230.208333333328</v>
      </c>
    </row>
    <row r="401" spans="1:22" ht="19.5" x14ac:dyDescent="0.4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12">
        <f t="shared" si="24"/>
        <v>0.63850976361767731</v>
      </c>
      <c r="P401" s="13">
        <f t="shared" si="25"/>
        <v>66.022316684378325</v>
      </c>
      <c r="Q401" t="str" cm="1">
        <f t="array" ref="Q401:R401">_xlfn.TEXTSPLIT(N401,"/",,FALSE,,#N/A)</f>
        <v>music</v>
      </c>
      <c r="R401" t="str">
        <v>indie rock</v>
      </c>
      <c r="U401" s="6">
        <f t="shared" si="26"/>
        <v>40576.25</v>
      </c>
      <c r="V401" s="6">
        <f t="shared" si="27"/>
        <v>40583.25</v>
      </c>
    </row>
    <row r="402" spans="1:22" ht="33.75" x14ac:dyDescent="0.4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12">
        <f t="shared" si="24"/>
        <v>0.02</v>
      </c>
      <c r="P402" s="13">
        <f t="shared" si="25"/>
        <v>2</v>
      </c>
      <c r="Q402" t="str" cm="1">
        <f t="array" ref="Q402:R402">_xlfn.TEXTSPLIT(N402,"/",,FALSE,,#N/A)</f>
        <v>photography</v>
      </c>
      <c r="R402" t="str">
        <v>photography books</v>
      </c>
      <c r="U402" s="6">
        <f t="shared" si="26"/>
        <v>41502.208333333336</v>
      </c>
      <c r="V402" s="6">
        <f t="shared" si="27"/>
        <v>41524.208333333336</v>
      </c>
    </row>
    <row r="403" spans="1:22" ht="19.5" x14ac:dyDescent="0.4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12">
        <f t="shared" si="24"/>
        <v>15.302222222222222</v>
      </c>
      <c r="P403" s="13">
        <f t="shared" si="25"/>
        <v>46.060200668896321</v>
      </c>
      <c r="Q403" t="str" cm="1">
        <f t="array" ref="Q403:R403">_xlfn.TEXTSPLIT(N403,"/",,FALSE,,#N/A)</f>
        <v>theater</v>
      </c>
      <c r="R403" t="str">
        <v>plays</v>
      </c>
      <c r="U403" s="6">
        <f t="shared" si="26"/>
        <v>43765.208333333328</v>
      </c>
      <c r="V403" s="6">
        <f t="shared" si="27"/>
        <v>43765.208333333328</v>
      </c>
    </row>
    <row r="404" spans="1:22" ht="19.5" x14ac:dyDescent="0.4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12">
        <f t="shared" si="24"/>
        <v>0.40356164383561643</v>
      </c>
      <c r="P404" s="13">
        <f t="shared" si="25"/>
        <v>73.650000000000006</v>
      </c>
      <c r="Q404" t="str" cm="1">
        <f t="array" ref="Q404:R404">_xlfn.TEXTSPLIT(N404,"/",,FALSE,,#N/A)</f>
        <v>film &amp; video</v>
      </c>
      <c r="R404" t="str">
        <v>shorts</v>
      </c>
      <c r="U404" s="6">
        <f t="shared" si="26"/>
        <v>40914.25</v>
      </c>
      <c r="V404" s="6">
        <f t="shared" si="27"/>
        <v>40961.25</v>
      </c>
    </row>
    <row r="405" spans="1:22" ht="19.5" x14ac:dyDescent="0.4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12">
        <f t="shared" si="24"/>
        <v>0.86220633299284988</v>
      </c>
      <c r="P405" s="13">
        <f t="shared" si="25"/>
        <v>55.99336650082919</v>
      </c>
      <c r="Q405" t="str" cm="1">
        <f t="array" ref="Q405:R405">_xlfn.TEXTSPLIT(N405,"/",,FALSE,,#N/A)</f>
        <v>theater</v>
      </c>
      <c r="R405" t="str">
        <v>plays</v>
      </c>
      <c r="U405" s="6">
        <f t="shared" si="26"/>
        <v>40310.208333333336</v>
      </c>
      <c r="V405" s="6">
        <f t="shared" si="27"/>
        <v>40346.208333333336</v>
      </c>
    </row>
    <row r="406" spans="1:22" ht="19.5" x14ac:dyDescent="0.4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12">
        <f t="shared" si="24"/>
        <v>3.1558486707566464</v>
      </c>
      <c r="P406" s="13">
        <f t="shared" si="25"/>
        <v>68.985695127402778</v>
      </c>
      <c r="Q406" t="str" cm="1">
        <f t="array" ref="Q406:R406">_xlfn.TEXTSPLIT(N406,"/",,FALSE,,#N/A)</f>
        <v>theater</v>
      </c>
      <c r="R406" t="str">
        <v>plays</v>
      </c>
      <c r="U406" s="6">
        <f t="shared" si="26"/>
        <v>43053.25</v>
      </c>
      <c r="V406" s="6">
        <f t="shared" si="27"/>
        <v>43056.25</v>
      </c>
    </row>
    <row r="407" spans="1:22" ht="19.5" x14ac:dyDescent="0.4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12">
        <f t="shared" si="24"/>
        <v>0.89618243243243245</v>
      </c>
      <c r="P407" s="13">
        <f t="shared" si="25"/>
        <v>60.981609195402299</v>
      </c>
      <c r="Q407" t="str" cm="1">
        <f t="array" ref="Q407:R407">_xlfn.TEXTSPLIT(N407,"/",,FALSE,,#N/A)</f>
        <v>theater</v>
      </c>
      <c r="R407" t="str">
        <v>plays</v>
      </c>
      <c r="U407" s="6">
        <f t="shared" si="26"/>
        <v>43255.208333333328</v>
      </c>
      <c r="V407" s="6">
        <f t="shared" si="27"/>
        <v>43305.208333333328</v>
      </c>
    </row>
    <row r="408" spans="1:22" ht="19.5" x14ac:dyDescent="0.4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12">
        <f t="shared" si="24"/>
        <v>1.8214503816793892</v>
      </c>
      <c r="P408" s="13">
        <f t="shared" si="25"/>
        <v>110.98139534883721</v>
      </c>
      <c r="Q408" t="str" cm="1">
        <f t="array" ref="Q408:R408">_xlfn.TEXTSPLIT(N408,"/",,FALSE,,#N/A)</f>
        <v>film &amp; video</v>
      </c>
      <c r="R408" t="str">
        <v>documentary</v>
      </c>
      <c r="U408" s="6">
        <f t="shared" si="26"/>
        <v>41304.25</v>
      </c>
      <c r="V408" s="6">
        <f t="shared" si="27"/>
        <v>41316.25</v>
      </c>
    </row>
    <row r="409" spans="1:22" ht="19.5" x14ac:dyDescent="0.4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12">
        <f t="shared" si="24"/>
        <v>3.5588235294117645</v>
      </c>
      <c r="P409" s="13">
        <f t="shared" si="25"/>
        <v>25</v>
      </c>
      <c r="Q409" t="str" cm="1">
        <f t="array" ref="Q409:R409">_xlfn.TEXTSPLIT(N409,"/",,FALSE,,#N/A)</f>
        <v>theater</v>
      </c>
      <c r="R409" t="str">
        <v>plays</v>
      </c>
      <c r="U409" s="6">
        <f t="shared" si="26"/>
        <v>43751.208333333328</v>
      </c>
      <c r="V409" s="6">
        <f t="shared" si="27"/>
        <v>43758.208333333328</v>
      </c>
    </row>
    <row r="410" spans="1:22" ht="19.5" x14ac:dyDescent="0.4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12">
        <f t="shared" si="24"/>
        <v>1.3183695652173912</v>
      </c>
      <c r="P410" s="13">
        <f t="shared" si="25"/>
        <v>78.759740259740255</v>
      </c>
      <c r="Q410" t="str" cm="1">
        <f t="array" ref="Q410:R410">_xlfn.TEXTSPLIT(N410,"/",,FALSE,,#N/A)</f>
        <v>film &amp; video</v>
      </c>
      <c r="R410" t="str">
        <v>documentary</v>
      </c>
      <c r="U410" s="6">
        <f t="shared" si="26"/>
        <v>42541.208333333328</v>
      </c>
      <c r="V410" s="6">
        <f t="shared" si="27"/>
        <v>42561.208333333328</v>
      </c>
    </row>
    <row r="411" spans="1:22" ht="19.5" x14ac:dyDescent="0.4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12">
        <f t="shared" si="24"/>
        <v>0.46315634218289087</v>
      </c>
      <c r="P411" s="13">
        <f t="shared" si="25"/>
        <v>87.960784313725483</v>
      </c>
      <c r="Q411" t="str" cm="1">
        <f t="array" ref="Q411:R411">_xlfn.TEXTSPLIT(N411,"/",,FALSE,,#N/A)</f>
        <v>music</v>
      </c>
      <c r="R411" t="str">
        <v>rock</v>
      </c>
      <c r="U411" s="6">
        <f t="shared" si="26"/>
        <v>42843.208333333328</v>
      </c>
      <c r="V411" s="6">
        <f t="shared" si="27"/>
        <v>42847.208333333328</v>
      </c>
    </row>
    <row r="412" spans="1:22" ht="19.5" x14ac:dyDescent="0.4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12">
        <f t="shared" si="24"/>
        <v>0.36132726089785294</v>
      </c>
      <c r="P412" s="13">
        <f t="shared" si="25"/>
        <v>49.987398739873989</v>
      </c>
      <c r="Q412" t="str" cm="1">
        <f t="array" ref="Q412:R412">_xlfn.TEXTSPLIT(N412,"/",,FALSE,,#N/A)</f>
        <v>games</v>
      </c>
      <c r="R412" t="str">
        <v>mobile games</v>
      </c>
      <c r="U412" s="6">
        <f t="shared" si="26"/>
        <v>42122.208333333328</v>
      </c>
      <c r="V412" s="6">
        <f t="shared" si="27"/>
        <v>42122.208333333328</v>
      </c>
    </row>
    <row r="413" spans="1:22" ht="19.5" x14ac:dyDescent="0.4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12">
        <f t="shared" si="24"/>
        <v>1.0462820512820512</v>
      </c>
      <c r="P413" s="13">
        <f t="shared" si="25"/>
        <v>99.524390243902445</v>
      </c>
      <c r="Q413" t="str" cm="1">
        <f t="array" ref="Q413:R413">_xlfn.TEXTSPLIT(N413,"/",,FALSE,,#N/A)</f>
        <v>theater</v>
      </c>
      <c r="R413" t="str">
        <v>plays</v>
      </c>
      <c r="U413" s="6">
        <f t="shared" si="26"/>
        <v>42884.208333333328</v>
      </c>
      <c r="V413" s="6">
        <f t="shared" si="27"/>
        <v>42886.208333333328</v>
      </c>
    </row>
    <row r="414" spans="1:22" ht="19.5" x14ac:dyDescent="0.4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12">
        <f t="shared" si="24"/>
        <v>6.6885714285714286</v>
      </c>
      <c r="P414" s="13">
        <f t="shared" si="25"/>
        <v>104.82089552238806</v>
      </c>
      <c r="Q414" t="str" cm="1">
        <f t="array" ref="Q414:R414">_xlfn.TEXTSPLIT(N414,"/",,FALSE,,#N/A)</f>
        <v>publishing</v>
      </c>
      <c r="R414" t="str">
        <v>fiction</v>
      </c>
      <c r="U414" s="6">
        <f t="shared" si="26"/>
        <v>41642.25</v>
      </c>
      <c r="V414" s="6">
        <f t="shared" si="27"/>
        <v>41652.25</v>
      </c>
    </row>
    <row r="415" spans="1:22" ht="19.5" x14ac:dyDescent="0.4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12">
        <f t="shared" si="24"/>
        <v>0.62072823218997364</v>
      </c>
      <c r="P415" s="13">
        <f t="shared" si="25"/>
        <v>108.01469237832875</v>
      </c>
      <c r="Q415" t="str" cm="1">
        <f t="array" ref="Q415:R415">_xlfn.TEXTSPLIT(N415,"/",,FALSE,,#N/A)</f>
        <v>film &amp; video</v>
      </c>
      <c r="R415" t="str">
        <v>animation</v>
      </c>
      <c r="U415" s="6">
        <f t="shared" si="26"/>
        <v>43431.25</v>
      </c>
      <c r="V415" s="6">
        <f t="shared" si="27"/>
        <v>43458.25</v>
      </c>
    </row>
    <row r="416" spans="1:22" ht="19.5" x14ac:dyDescent="0.4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12">
        <f t="shared" si="24"/>
        <v>0.84699787460148779</v>
      </c>
      <c r="P416" s="13">
        <f t="shared" si="25"/>
        <v>28.998544660724033</v>
      </c>
      <c r="Q416" t="str" cm="1">
        <f t="array" ref="Q416:R416">_xlfn.TEXTSPLIT(N416,"/",,FALSE,,#N/A)</f>
        <v>food</v>
      </c>
      <c r="R416" t="str">
        <v>food trucks</v>
      </c>
      <c r="U416" s="6">
        <f t="shared" si="26"/>
        <v>40288.208333333336</v>
      </c>
      <c r="V416" s="6">
        <f t="shared" si="27"/>
        <v>40296.208333333336</v>
      </c>
    </row>
    <row r="417" spans="1:22" ht="19.5" x14ac:dyDescent="0.4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12">
        <f t="shared" si="24"/>
        <v>0.11059030837004405</v>
      </c>
      <c r="P417" s="13">
        <f t="shared" si="25"/>
        <v>30.028708133971293</v>
      </c>
      <c r="Q417" t="str" cm="1">
        <f t="array" ref="Q417:R417">_xlfn.TEXTSPLIT(N417,"/",,FALSE,,#N/A)</f>
        <v>theater</v>
      </c>
      <c r="R417" t="str">
        <v>plays</v>
      </c>
      <c r="U417" s="6">
        <f t="shared" si="26"/>
        <v>40921.25</v>
      </c>
      <c r="V417" s="6">
        <f t="shared" si="27"/>
        <v>40938.25</v>
      </c>
    </row>
    <row r="418" spans="1:22" ht="33.75" x14ac:dyDescent="0.4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12">
        <f t="shared" si="24"/>
        <v>0.43838781575037145</v>
      </c>
      <c r="P418" s="13">
        <f t="shared" si="25"/>
        <v>41.005559416261292</v>
      </c>
      <c r="Q418" t="str" cm="1">
        <f t="array" ref="Q418:R418">_xlfn.TEXTSPLIT(N418,"/",,FALSE,,#N/A)</f>
        <v>film &amp; video</v>
      </c>
      <c r="R418" t="str">
        <v>documentary</v>
      </c>
      <c r="U418" s="6">
        <f t="shared" si="26"/>
        <v>40560.25</v>
      </c>
      <c r="V418" s="6">
        <f t="shared" si="27"/>
        <v>40569.25</v>
      </c>
    </row>
    <row r="419" spans="1:22" ht="19.5" x14ac:dyDescent="0.4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12">
        <f t="shared" si="24"/>
        <v>0.55470588235294116</v>
      </c>
      <c r="P419" s="13">
        <f t="shared" si="25"/>
        <v>62.866666666666667</v>
      </c>
      <c r="Q419" t="str" cm="1">
        <f t="array" ref="Q419:R419">_xlfn.TEXTSPLIT(N419,"/",,FALSE,,#N/A)</f>
        <v>theater</v>
      </c>
      <c r="R419" t="str">
        <v>plays</v>
      </c>
      <c r="U419" s="6">
        <f t="shared" si="26"/>
        <v>43407.208333333328</v>
      </c>
      <c r="V419" s="6">
        <f t="shared" si="27"/>
        <v>43431.25</v>
      </c>
    </row>
    <row r="420" spans="1:22" ht="19.5" x14ac:dyDescent="0.4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12">
        <f t="shared" si="24"/>
        <v>0.57399511301160655</v>
      </c>
      <c r="P420" s="13">
        <f t="shared" si="25"/>
        <v>47.005002501250623</v>
      </c>
      <c r="Q420" t="str" cm="1">
        <f t="array" ref="Q420:R420">_xlfn.TEXTSPLIT(N420,"/",,FALSE,,#N/A)</f>
        <v>film &amp; video</v>
      </c>
      <c r="R420" t="str">
        <v>documentary</v>
      </c>
      <c r="U420" s="6">
        <f t="shared" si="26"/>
        <v>41035.208333333336</v>
      </c>
      <c r="V420" s="6">
        <f t="shared" si="27"/>
        <v>41036.208333333336</v>
      </c>
    </row>
    <row r="421" spans="1:22" ht="19.5" x14ac:dyDescent="0.4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12">
        <f t="shared" si="24"/>
        <v>1.2343497363796134</v>
      </c>
      <c r="P421" s="13">
        <f t="shared" si="25"/>
        <v>26.997693638285604</v>
      </c>
      <c r="Q421" t="str" cm="1">
        <f t="array" ref="Q421:R421">_xlfn.TEXTSPLIT(N421,"/",,FALSE,,#N/A)</f>
        <v>technology</v>
      </c>
      <c r="R421" t="str">
        <v>web</v>
      </c>
      <c r="U421" s="6">
        <f t="shared" si="26"/>
        <v>40899.25</v>
      </c>
      <c r="V421" s="6">
        <f t="shared" si="27"/>
        <v>40905.25</v>
      </c>
    </row>
    <row r="422" spans="1:22" ht="19.5" x14ac:dyDescent="0.4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12">
        <f t="shared" si="24"/>
        <v>1.2846</v>
      </c>
      <c r="P422" s="13">
        <f t="shared" si="25"/>
        <v>68.329787234042556</v>
      </c>
      <c r="Q422" t="str" cm="1">
        <f t="array" ref="Q422:R422">_xlfn.TEXTSPLIT(N422,"/",,FALSE,,#N/A)</f>
        <v>theater</v>
      </c>
      <c r="R422" t="str">
        <v>plays</v>
      </c>
      <c r="U422" s="6">
        <f t="shared" si="26"/>
        <v>42911.208333333328</v>
      </c>
      <c r="V422" s="6">
        <f t="shared" si="27"/>
        <v>42925.208333333328</v>
      </c>
    </row>
    <row r="423" spans="1:22" ht="19.5" x14ac:dyDescent="0.4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12">
        <f t="shared" si="24"/>
        <v>0.63989361702127656</v>
      </c>
      <c r="P423" s="13">
        <f t="shared" si="25"/>
        <v>50.974576271186443</v>
      </c>
      <c r="Q423" t="str" cm="1">
        <f t="array" ref="Q423:R423">_xlfn.TEXTSPLIT(N423,"/",,FALSE,,#N/A)</f>
        <v>technology</v>
      </c>
      <c r="R423" t="str">
        <v>wearables</v>
      </c>
      <c r="U423" s="6">
        <f t="shared" si="26"/>
        <v>42915.208333333328</v>
      </c>
      <c r="V423" s="6">
        <f t="shared" si="27"/>
        <v>42945.208333333328</v>
      </c>
    </row>
    <row r="424" spans="1:22" ht="33.75" x14ac:dyDescent="0.4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12">
        <f t="shared" si="24"/>
        <v>1.2729885057471264</v>
      </c>
      <c r="P424" s="13">
        <f t="shared" si="25"/>
        <v>54.024390243902438</v>
      </c>
      <c r="Q424" t="str" cm="1">
        <f t="array" ref="Q424:R424">_xlfn.TEXTSPLIT(N424,"/",,FALSE,,#N/A)</f>
        <v>theater</v>
      </c>
      <c r="R424" t="str">
        <v>plays</v>
      </c>
      <c r="U424" s="6">
        <f t="shared" si="26"/>
        <v>40285.208333333336</v>
      </c>
      <c r="V424" s="6">
        <f t="shared" si="27"/>
        <v>40305.208333333336</v>
      </c>
    </row>
    <row r="425" spans="1:22" ht="19.5" x14ac:dyDescent="0.4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12">
        <f t="shared" si="24"/>
        <v>0.10638024357239513</v>
      </c>
      <c r="P425" s="13">
        <f t="shared" si="25"/>
        <v>97.055555555555557</v>
      </c>
      <c r="Q425" t="str" cm="1">
        <f t="array" ref="Q425:R425">_xlfn.TEXTSPLIT(N425,"/",,FALSE,,#N/A)</f>
        <v>food</v>
      </c>
      <c r="R425" t="str">
        <v>food trucks</v>
      </c>
      <c r="U425" s="6">
        <f t="shared" si="26"/>
        <v>40808.208333333336</v>
      </c>
      <c r="V425" s="6">
        <f t="shared" si="27"/>
        <v>40810.208333333336</v>
      </c>
    </row>
    <row r="426" spans="1:22" ht="19.5" x14ac:dyDescent="0.4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12">
        <f t="shared" si="24"/>
        <v>0.40470588235294119</v>
      </c>
      <c r="P426" s="13">
        <f t="shared" si="25"/>
        <v>24.867469879518072</v>
      </c>
      <c r="Q426" t="str" cm="1">
        <f t="array" ref="Q426:R426">_xlfn.TEXTSPLIT(N426,"/",,FALSE,,#N/A)</f>
        <v>music</v>
      </c>
      <c r="R426" t="str">
        <v>indie rock</v>
      </c>
      <c r="U426" s="6">
        <f t="shared" si="26"/>
        <v>43208.208333333328</v>
      </c>
      <c r="V426" s="6">
        <f t="shared" si="27"/>
        <v>43214.208333333328</v>
      </c>
    </row>
    <row r="427" spans="1:22" ht="19.5" x14ac:dyDescent="0.4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12">
        <f t="shared" si="24"/>
        <v>2.8766666666666665</v>
      </c>
      <c r="P427" s="13">
        <f t="shared" si="25"/>
        <v>84.423913043478265</v>
      </c>
      <c r="Q427" t="str" cm="1">
        <f t="array" ref="Q427:R427">_xlfn.TEXTSPLIT(N427,"/",,FALSE,,#N/A)</f>
        <v>photography</v>
      </c>
      <c r="R427" t="str">
        <v>photography books</v>
      </c>
      <c r="U427" s="6">
        <f t="shared" si="26"/>
        <v>42213.208333333328</v>
      </c>
      <c r="V427" s="6">
        <f t="shared" si="27"/>
        <v>42219.208333333328</v>
      </c>
    </row>
    <row r="428" spans="1:22" ht="19.5" x14ac:dyDescent="0.4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12">
        <f t="shared" si="24"/>
        <v>5.7294444444444448</v>
      </c>
      <c r="P428" s="13">
        <f t="shared" si="25"/>
        <v>47.091324200913242</v>
      </c>
      <c r="Q428" t="str" cm="1">
        <f t="array" ref="Q428:R428">_xlfn.TEXTSPLIT(N428,"/",,FALSE,,#N/A)</f>
        <v>theater</v>
      </c>
      <c r="R428" t="str">
        <v>plays</v>
      </c>
      <c r="U428" s="6">
        <f t="shared" si="26"/>
        <v>41332.25</v>
      </c>
      <c r="V428" s="6">
        <f t="shared" si="27"/>
        <v>41339.25</v>
      </c>
    </row>
    <row r="429" spans="1:22" ht="19.5" x14ac:dyDescent="0.4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12">
        <f t="shared" si="24"/>
        <v>1.1290429799426933</v>
      </c>
      <c r="P429" s="13">
        <f t="shared" si="25"/>
        <v>77.996041171813147</v>
      </c>
      <c r="Q429" t="str" cm="1">
        <f t="array" ref="Q429:R429">_xlfn.TEXTSPLIT(N429,"/",,FALSE,,#N/A)</f>
        <v>theater</v>
      </c>
      <c r="R429" t="str">
        <v>plays</v>
      </c>
      <c r="U429" s="6">
        <f t="shared" si="26"/>
        <v>41895.208333333336</v>
      </c>
      <c r="V429" s="6">
        <f t="shared" si="27"/>
        <v>41927.208333333336</v>
      </c>
    </row>
    <row r="430" spans="1:22" ht="19.5" x14ac:dyDescent="0.4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12">
        <f t="shared" si="24"/>
        <v>0.46387573964497042</v>
      </c>
      <c r="P430" s="13">
        <f t="shared" si="25"/>
        <v>62.967871485943775</v>
      </c>
      <c r="Q430" t="str" cm="1">
        <f t="array" ref="Q430:R430">_xlfn.TEXTSPLIT(N430,"/",,FALSE,,#N/A)</f>
        <v>film &amp; video</v>
      </c>
      <c r="R430" t="str">
        <v>animation</v>
      </c>
      <c r="U430" s="6">
        <f t="shared" si="26"/>
        <v>40585.25</v>
      </c>
      <c r="V430" s="6">
        <f t="shared" si="27"/>
        <v>40592.25</v>
      </c>
    </row>
    <row r="431" spans="1:22" ht="19.5" x14ac:dyDescent="0.4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12">
        <f t="shared" si="24"/>
        <v>0.90675916230366493</v>
      </c>
      <c r="P431" s="13">
        <f t="shared" si="25"/>
        <v>81.006080449017773</v>
      </c>
      <c r="Q431" t="str" cm="1">
        <f t="array" ref="Q431:R431">_xlfn.TEXTSPLIT(N431,"/",,FALSE,,#N/A)</f>
        <v>photography</v>
      </c>
      <c r="R431" t="str">
        <v>photography books</v>
      </c>
      <c r="U431" s="6">
        <f t="shared" si="26"/>
        <v>41680.25</v>
      </c>
      <c r="V431" s="6">
        <f t="shared" si="27"/>
        <v>41708.208333333336</v>
      </c>
    </row>
    <row r="432" spans="1:22" ht="19.5" x14ac:dyDescent="0.4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12">
        <f t="shared" si="24"/>
        <v>0.67740740740740746</v>
      </c>
      <c r="P432" s="13">
        <f t="shared" si="25"/>
        <v>65.321428571428569</v>
      </c>
      <c r="Q432" t="str" cm="1">
        <f t="array" ref="Q432:R432">_xlfn.TEXTSPLIT(N432,"/",,FALSE,,#N/A)</f>
        <v>theater</v>
      </c>
      <c r="R432" t="str">
        <v>plays</v>
      </c>
      <c r="U432" s="6">
        <f t="shared" si="26"/>
        <v>43737.208333333328</v>
      </c>
      <c r="V432" s="6">
        <f t="shared" si="27"/>
        <v>43771.208333333328</v>
      </c>
    </row>
    <row r="433" spans="1:22" ht="19.5" x14ac:dyDescent="0.4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12">
        <f t="shared" si="24"/>
        <v>1.9249019607843136</v>
      </c>
      <c r="P433" s="13">
        <f t="shared" si="25"/>
        <v>104.43617021276596</v>
      </c>
      <c r="Q433" t="str" cm="1">
        <f t="array" ref="Q433:R433">_xlfn.TEXTSPLIT(N433,"/",,FALSE,,#N/A)</f>
        <v>theater</v>
      </c>
      <c r="R433" t="str">
        <v>plays</v>
      </c>
      <c r="U433" s="6">
        <f t="shared" si="26"/>
        <v>43273.208333333328</v>
      </c>
      <c r="V433" s="6">
        <f t="shared" si="27"/>
        <v>43290.208333333328</v>
      </c>
    </row>
    <row r="434" spans="1:22" ht="19.5" x14ac:dyDescent="0.4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12">
        <f t="shared" si="24"/>
        <v>0.82714285714285718</v>
      </c>
      <c r="P434" s="13">
        <f t="shared" si="25"/>
        <v>69.989010989010993</v>
      </c>
      <c r="Q434" t="str" cm="1">
        <f t="array" ref="Q434:R434">_xlfn.TEXTSPLIT(N434,"/",,FALSE,,#N/A)</f>
        <v>theater</v>
      </c>
      <c r="R434" t="str">
        <v>plays</v>
      </c>
      <c r="U434" s="6">
        <f t="shared" si="26"/>
        <v>41761.208333333336</v>
      </c>
      <c r="V434" s="6">
        <f t="shared" si="27"/>
        <v>41781.208333333336</v>
      </c>
    </row>
    <row r="435" spans="1:22" ht="19.5" x14ac:dyDescent="0.4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12">
        <f t="shared" si="24"/>
        <v>0.54163920922570019</v>
      </c>
      <c r="P435" s="13">
        <f t="shared" si="25"/>
        <v>83.023989898989896</v>
      </c>
      <c r="Q435" t="str" cm="1">
        <f t="array" ref="Q435:R435">_xlfn.TEXTSPLIT(N435,"/",,FALSE,,#N/A)</f>
        <v>film &amp; video</v>
      </c>
      <c r="R435" t="str">
        <v>documentary</v>
      </c>
      <c r="U435" s="6">
        <f t="shared" si="26"/>
        <v>41603.25</v>
      </c>
      <c r="V435" s="6">
        <f t="shared" si="27"/>
        <v>41619.25</v>
      </c>
    </row>
    <row r="436" spans="1:22" ht="19.5" x14ac:dyDescent="0.4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12">
        <f t="shared" si="24"/>
        <v>0.16722222222222222</v>
      </c>
      <c r="P436" s="13">
        <f t="shared" si="25"/>
        <v>90.3</v>
      </c>
      <c r="Q436" t="str" cm="1">
        <f t="array" ref="Q436:R436">_xlfn.TEXTSPLIT(N436,"/",,FALSE,,#N/A)</f>
        <v>theater</v>
      </c>
      <c r="R436" t="str">
        <v>plays</v>
      </c>
      <c r="U436" s="6">
        <f t="shared" si="26"/>
        <v>42705.25</v>
      </c>
      <c r="V436" s="6">
        <f t="shared" si="27"/>
        <v>42719.25</v>
      </c>
    </row>
    <row r="437" spans="1:22" ht="19.5" x14ac:dyDescent="0.4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12">
        <f t="shared" si="24"/>
        <v>1.168766404199475</v>
      </c>
      <c r="P437" s="13">
        <f t="shared" si="25"/>
        <v>103.98131932282546</v>
      </c>
      <c r="Q437" t="str" cm="1">
        <f t="array" ref="Q437:R437">_xlfn.TEXTSPLIT(N437,"/",,FALSE,,#N/A)</f>
        <v>theater</v>
      </c>
      <c r="R437" t="str">
        <v>plays</v>
      </c>
      <c r="U437" s="6">
        <f t="shared" si="26"/>
        <v>41988.25</v>
      </c>
      <c r="V437" s="6">
        <f t="shared" si="27"/>
        <v>42000.25</v>
      </c>
    </row>
    <row r="438" spans="1:22" ht="19.5" x14ac:dyDescent="0.4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12">
        <f t="shared" si="24"/>
        <v>10.521538461538462</v>
      </c>
      <c r="P438" s="13">
        <f t="shared" si="25"/>
        <v>54.931726907630519</v>
      </c>
      <c r="Q438" t="str" cm="1">
        <f t="array" ref="Q438:R438">_xlfn.TEXTSPLIT(N438,"/",,FALSE,,#N/A)</f>
        <v>music</v>
      </c>
      <c r="R438" t="str">
        <v>jazz</v>
      </c>
      <c r="U438" s="6">
        <f t="shared" si="26"/>
        <v>43575.208333333328</v>
      </c>
      <c r="V438" s="6">
        <f t="shared" si="27"/>
        <v>43576.208333333328</v>
      </c>
    </row>
    <row r="439" spans="1:22" ht="19.5" x14ac:dyDescent="0.4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12">
        <f t="shared" si="24"/>
        <v>1.2307407407407407</v>
      </c>
      <c r="P439" s="13">
        <f t="shared" si="25"/>
        <v>51.921875</v>
      </c>
      <c r="Q439" t="str" cm="1">
        <f t="array" ref="Q439:R439">_xlfn.TEXTSPLIT(N439,"/",,FALSE,,#N/A)</f>
        <v>film &amp; video</v>
      </c>
      <c r="R439" t="str">
        <v>animation</v>
      </c>
      <c r="U439" s="6">
        <f t="shared" si="26"/>
        <v>42260.208333333328</v>
      </c>
      <c r="V439" s="6">
        <f t="shared" si="27"/>
        <v>42263.208333333328</v>
      </c>
    </row>
    <row r="440" spans="1:22" ht="33.75" x14ac:dyDescent="0.4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12">
        <f t="shared" si="24"/>
        <v>1.7863855421686747</v>
      </c>
      <c r="P440" s="13">
        <f t="shared" si="25"/>
        <v>60.02834008097166</v>
      </c>
      <c r="Q440" t="str" cm="1">
        <f t="array" ref="Q440:R440">_xlfn.TEXTSPLIT(N440,"/",,FALSE,,#N/A)</f>
        <v>theater</v>
      </c>
      <c r="R440" t="str">
        <v>plays</v>
      </c>
      <c r="U440" s="6">
        <f t="shared" si="26"/>
        <v>41337.25</v>
      </c>
      <c r="V440" s="6">
        <f t="shared" si="27"/>
        <v>41367.208333333336</v>
      </c>
    </row>
    <row r="441" spans="1:22" ht="19.5" x14ac:dyDescent="0.4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12">
        <f t="shared" si="24"/>
        <v>3.5528169014084505</v>
      </c>
      <c r="P441" s="13">
        <f t="shared" si="25"/>
        <v>44.003488879197555</v>
      </c>
      <c r="Q441" t="str" cm="1">
        <f t="array" ref="Q441:R441">_xlfn.TEXTSPLIT(N441,"/",,FALSE,,#N/A)</f>
        <v>film &amp; video</v>
      </c>
      <c r="R441" t="str">
        <v>science fiction</v>
      </c>
      <c r="U441" s="6">
        <f t="shared" si="26"/>
        <v>42680.208333333328</v>
      </c>
      <c r="V441" s="6">
        <f t="shared" si="27"/>
        <v>42687.25</v>
      </c>
    </row>
    <row r="442" spans="1:22" ht="19.5" x14ac:dyDescent="0.4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12">
        <f t="shared" si="24"/>
        <v>1.6190634146341463</v>
      </c>
      <c r="P442" s="13">
        <f t="shared" si="25"/>
        <v>53.003513254551258</v>
      </c>
      <c r="Q442" t="str" cm="1">
        <f t="array" ref="Q442:R442">_xlfn.TEXTSPLIT(N442,"/",,FALSE,,#N/A)</f>
        <v>film &amp; video</v>
      </c>
      <c r="R442" t="str">
        <v>television</v>
      </c>
      <c r="U442" s="6">
        <f t="shared" si="26"/>
        <v>42916.208333333328</v>
      </c>
      <c r="V442" s="6">
        <f t="shared" si="27"/>
        <v>42926.208333333328</v>
      </c>
    </row>
    <row r="443" spans="1:22" ht="19.5" x14ac:dyDescent="0.4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12">
        <f t="shared" si="24"/>
        <v>0.24914285714285714</v>
      </c>
      <c r="P443" s="13">
        <f t="shared" si="25"/>
        <v>54.5</v>
      </c>
      <c r="Q443" t="str" cm="1">
        <f t="array" ref="Q443:R443">_xlfn.TEXTSPLIT(N443,"/",,FALSE,,#N/A)</f>
        <v>technology</v>
      </c>
      <c r="R443" t="str">
        <v>wearables</v>
      </c>
      <c r="U443" s="6">
        <f t="shared" si="26"/>
        <v>41025.208333333336</v>
      </c>
      <c r="V443" s="6">
        <f t="shared" si="27"/>
        <v>41053.208333333336</v>
      </c>
    </row>
    <row r="444" spans="1:22" ht="19.5" x14ac:dyDescent="0.4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12">
        <f t="shared" si="24"/>
        <v>1.9872222222222222</v>
      </c>
      <c r="P444" s="13">
        <f t="shared" si="25"/>
        <v>75.04195804195804</v>
      </c>
      <c r="Q444" t="str" cm="1">
        <f t="array" ref="Q444:R444">_xlfn.TEXTSPLIT(N444,"/",,FALSE,,#N/A)</f>
        <v>theater</v>
      </c>
      <c r="R444" t="str">
        <v>plays</v>
      </c>
      <c r="U444" s="6">
        <f t="shared" si="26"/>
        <v>42980.208333333328</v>
      </c>
      <c r="V444" s="6">
        <f t="shared" si="27"/>
        <v>42996.208333333328</v>
      </c>
    </row>
    <row r="445" spans="1:22" ht="19.5" x14ac:dyDescent="0.4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12">
        <f t="shared" si="24"/>
        <v>0.34752688172043011</v>
      </c>
      <c r="P445" s="13">
        <f t="shared" si="25"/>
        <v>35.911111111111111</v>
      </c>
      <c r="Q445" t="str" cm="1">
        <f t="array" ref="Q445:R445">_xlfn.TEXTSPLIT(N445,"/",,FALSE,,#N/A)</f>
        <v>theater</v>
      </c>
      <c r="R445" t="str">
        <v>plays</v>
      </c>
      <c r="U445" s="6">
        <f t="shared" si="26"/>
        <v>40451.208333333336</v>
      </c>
      <c r="V445" s="6">
        <f t="shared" si="27"/>
        <v>40470.208333333336</v>
      </c>
    </row>
    <row r="446" spans="1:22" ht="19.5" x14ac:dyDescent="0.4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12">
        <f t="shared" si="24"/>
        <v>1.7641935483870967</v>
      </c>
      <c r="P446" s="13">
        <f t="shared" si="25"/>
        <v>36.952702702702702</v>
      </c>
      <c r="Q446" t="str" cm="1">
        <f t="array" ref="Q446:R446">_xlfn.TEXTSPLIT(N446,"/",,FALSE,,#N/A)</f>
        <v>music</v>
      </c>
      <c r="R446" t="str">
        <v>indie rock</v>
      </c>
      <c r="U446" s="6">
        <f t="shared" si="26"/>
        <v>40748.208333333336</v>
      </c>
      <c r="V446" s="6">
        <f t="shared" si="27"/>
        <v>40750.208333333336</v>
      </c>
    </row>
    <row r="447" spans="1:22" ht="33.75" x14ac:dyDescent="0.4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12">
        <f t="shared" si="24"/>
        <v>5.1138095238095236</v>
      </c>
      <c r="P447" s="13">
        <f t="shared" si="25"/>
        <v>63.170588235294119</v>
      </c>
      <c r="Q447" t="str" cm="1">
        <f t="array" ref="Q447:R447">_xlfn.TEXTSPLIT(N447,"/",,FALSE,,#N/A)</f>
        <v>theater</v>
      </c>
      <c r="R447" t="str">
        <v>plays</v>
      </c>
      <c r="U447" s="6">
        <f t="shared" si="26"/>
        <v>40515.25</v>
      </c>
      <c r="V447" s="6">
        <f t="shared" si="27"/>
        <v>40536.25</v>
      </c>
    </row>
    <row r="448" spans="1:22" ht="19.5" x14ac:dyDescent="0.4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12">
        <f t="shared" si="24"/>
        <v>0.82044117647058823</v>
      </c>
      <c r="P448" s="13">
        <f t="shared" si="25"/>
        <v>29.99462365591398</v>
      </c>
      <c r="Q448" t="str" cm="1">
        <f t="array" ref="Q448:R448">_xlfn.TEXTSPLIT(N448,"/",,FALSE,,#N/A)</f>
        <v>technology</v>
      </c>
      <c r="R448" t="str">
        <v>wearables</v>
      </c>
      <c r="U448" s="6">
        <f t="shared" si="26"/>
        <v>41261.25</v>
      </c>
      <c r="V448" s="6">
        <f t="shared" si="27"/>
        <v>41263.25</v>
      </c>
    </row>
    <row r="449" spans="1:22" ht="33.75" x14ac:dyDescent="0.4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12">
        <f t="shared" si="24"/>
        <v>0.24326030927835052</v>
      </c>
      <c r="P449" s="13">
        <f t="shared" si="25"/>
        <v>86</v>
      </c>
      <c r="Q449" t="str" cm="1">
        <f t="array" ref="Q449:R449">_xlfn.TEXTSPLIT(N449,"/",,FALSE,,#N/A)</f>
        <v>film &amp; video</v>
      </c>
      <c r="R449" t="str">
        <v>television</v>
      </c>
      <c r="U449" s="6">
        <f t="shared" si="26"/>
        <v>43088.25</v>
      </c>
      <c r="V449" s="6">
        <f t="shared" si="27"/>
        <v>43104.25</v>
      </c>
    </row>
    <row r="450" spans="1:22" ht="19.5" x14ac:dyDescent="0.4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12">
        <f t="shared" si="24"/>
        <v>0.50482758620689661</v>
      </c>
      <c r="P450" s="13">
        <f t="shared" si="25"/>
        <v>75.014876033057845</v>
      </c>
      <c r="Q450" t="str" cm="1">
        <f t="array" ref="Q450:R450">_xlfn.TEXTSPLIT(N450,"/",,FALSE,,#N/A)</f>
        <v>games</v>
      </c>
      <c r="R450" t="str">
        <v>video games</v>
      </c>
      <c r="U450" s="6">
        <f t="shared" si="26"/>
        <v>41378.208333333336</v>
      </c>
      <c r="V450" s="6">
        <f t="shared" si="27"/>
        <v>41380.208333333336</v>
      </c>
    </row>
    <row r="451" spans="1:22" ht="19.5" x14ac:dyDescent="0.4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12">
        <f t="shared" ref="O451:O514" si="28">E451/D451</f>
        <v>9.67</v>
      </c>
      <c r="P451" s="13">
        <f t="shared" ref="P451:P514" si="29">E451/G451</f>
        <v>101.19767441860465</v>
      </c>
      <c r="Q451" t="str" cm="1">
        <f t="array" ref="Q451:R451">_xlfn.TEXTSPLIT(N451,"/",,FALSE,,#N/A)</f>
        <v>games</v>
      </c>
      <c r="R451" t="str">
        <v>video games</v>
      </c>
      <c r="U451" s="6">
        <f t="shared" ref="U451:U514" si="30">(((J451/60)/60)/24)+DATE(1970,1,1)</f>
        <v>43530.25</v>
      </c>
      <c r="V451" s="6">
        <f t="shared" ref="V451:V514" si="31">(((K451/60)/60)/24)+DATE(1970,1,1)</f>
        <v>43547.208333333328</v>
      </c>
    </row>
    <row r="452" spans="1:22" ht="19.5" x14ac:dyDescent="0.4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12">
        <f t="shared" si="28"/>
        <v>0.04</v>
      </c>
      <c r="P452" s="13">
        <f t="shared" si="29"/>
        <v>4</v>
      </c>
      <c r="Q452" t="str" cm="1">
        <f t="array" ref="Q452:R452">_xlfn.TEXTSPLIT(N452,"/",,FALSE,,#N/A)</f>
        <v>film &amp; video</v>
      </c>
      <c r="R452" t="str">
        <v>animation</v>
      </c>
      <c r="U452" s="6">
        <f t="shared" si="30"/>
        <v>43394.208333333328</v>
      </c>
      <c r="V452" s="6">
        <f t="shared" si="31"/>
        <v>43417.25</v>
      </c>
    </row>
    <row r="453" spans="1:22" ht="19.5" x14ac:dyDescent="0.4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12">
        <f t="shared" si="28"/>
        <v>1.2284501347708894</v>
      </c>
      <c r="P453" s="13">
        <f t="shared" si="29"/>
        <v>29.001272669424118</v>
      </c>
      <c r="Q453" t="str" cm="1">
        <f t="array" ref="Q453:R453">_xlfn.TEXTSPLIT(N453,"/",,FALSE,,#N/A)</f>
        <v>music</v>
      </c>
      <c r="R453" t="str">
        <v>rock</v>
      </c>
      <c r="U453" s="6">
        <f t="shared" si="30"/>
        <v>42935.208333333328</v>
      </c>
      <c r="V453" s="6">
        <f t="shared" si="31"/>
        <v>42966.208333333328</v>
      </c>
    </row>
    <row r="454" spans="1:22" ht="33.75" x14ac:dyDescent="0.4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12">
        <f t="shared" si="28"/>
        <v>0.63437500000000002</v>
      </c>
      <c r="P454" s="13">
        <f t="shared" si="29"/>
        <v>98.225806451612897</v>
      </c>
      <c r="Q454" t="str" cm="1">
        <f t="array" ref="Q454:R454">_xlfn.TEXTSPLIT(N454,"/",,FALSE,,#N/A)</f>
        <v>film &amp; video</v>
      </c>
      <c r="R454" t="str">
        <v>drama</v>
      </c>
      <c r="U454" s="6">
        <f t="shared" si="30"/>
        <v>40365.208333333336</v>
      </c>
      <c r="V454" s="6">
        <f t="shared" si="31"/>
        <v>40366.208333333336</v>
      </c>
    </row>
    <row r="455" spans="1:22" ht="33.75" x14ac:dyDescent="0.4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12">
        <f t="shared" si="28"/>
        <v>0.56331688596491225</v>
      </c>
      <c r="P455" s="13">
        <f t="shared" si="29"/>
        <v>87.001693480101608</v>
      </c>
      <c r="Q455" t="str" cm="1">
        <f t="array" ref="Q455:R455">_xlfn.TEXTSPLIT(N455,"/",,FALSE,,#N/A)</f>
        <v>film &amp; video</v>
      </c>
      <c r="R455" t="str">
        <v>science fiction</v>
      </c>
      <c r="U455" s="6">
        <f t="shared" si="30"/>
        <v>42705.25</v>
      </c>
      <c r="V455" s="6">
        <f t="shared" si="31"/>
        <v>42746.25</v>
      </c>
    </row>
    <row r="456" spans="1:22" ht="19.5" x14ac:dyDescent="0.4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12">
        <f t="shared" si="28"/>
        <v>0.44074999999999998</v>
      </c>
      <c r="P456" s="13">
        <f t="shared" si="29"/>
        <v>45.205128205128204</v>
      </c>
      <c r="Q456" t="str" cm="1">
        <f t="array" ref="Q456:R456">_xlfn.TEXTSPLIT(N456,"/",,FALSE,,#N/A)</f>
        <v>film &amp; video</v>
      </c>
      <c r="R456" t="str">
        <v>drama</v>
      </c>
      <c r="U456" s="6">
        <f t="shared" si="30"/>
        <v>41568.208333333336</v>
      </c>
      <c r="V456" s="6">
        <f t="shared" si="31"/>
        <v>41604.25</v>
      </c>
    </row>
    <row r="457" spans="1:22" ht="19.5" x14ac:dyDescent="0.4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12">
        <f t="shared" si="28"/>
        <v>1.1837253218884121</v>
      </c>
      <c r="P457" s="13">
        <f t="shared" si="29"/>
        <v>37.001341561577675</v>
      </c>
      <c r="Q457" t="str" cm="1">
        <f t="array" ref="Q457:R457">_xlfn.TEXTSPLIT(N457,"/",,FALSE,,#N/A)</f>
        <v>theater</v>
      </c>
      <c r="R457" t="str">
        <v>plays</v>
      </c>
      <c r="U457" s="6">
        <f t="shared" si="30"/>
        <v>40809.208333333336</v>
      </c>
      <c r="V457" s="6">
        <f t="shared" si="31"/>
        <v>40832.208333333336</v>
      </c>
    </row>
    <row r="458" spans="1:22" ht="33.75" x14ac:dyDescent="0.4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12">
        <f t="shared" si="28"/>
        <v>1.041243169398907</v>
      </c>
      <c r="P458" s="13">
        <f t="shared" si="29"/>
        <v>94.976947040498445</v>
      </c>
      <c r="Q458" t="str" cm="1">
        <f t="array" ref="Q458:R458">_xlfn.TEXTSPLIT(N458,"/",,FALSE,,#N/A)</f>
        <v>music</v>
      </c>
      <c r="R458" t="str">
        <v>indie rock</v>
      </c>
      <c r="U458" s="6">
        <f t="shared" si="30"/>
        <v>43141.25</v>
      </c>
      <c r="V458" s="6">
        <f t="shared" si="31"/>
        <v>43141.25</v>
      </c>
    </row>
    <row r="459" spans="1:22" ht="19.5" x14ac:dyDescent="0.4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12">
        <f t="shared" si="28"/>
        <v>0.26640000000000003</v>
      </c>
      <c r="P459" s="13">
        <f t="shared" si="29"/>
        <v>28.956521739130434</v>
      </c>
      <c r="Q459" t="str" cm="1">
        <f t="array" ref="Q459:R459">_xlfn.TEXTSPLIT(N459,"/",,FALSE,,#N/A)</f>
        <v>theater</v>
      </c>
      <c r="R459" t="str">
        <v>plays</v>
      </c>
      <c r="U459" s="6">
        <f t="shared" si="30"/>
        <v>42657.208333333328</v>
      </c>
      <c r="V459" s="6">
        <f t="shared" si="31"/>
        <v>42659.208333333328</v>
      </c>
    </row>
    <row r="460" spans="1:22" ht="19.5" x14ac:dyDescent="0.4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12">
        <f t="shared" si="28"/>
        <v>3.5120118343195266</v>
      </c>
      <c r="P460" s="13">
        <f t="shared" si="29"/>
        <v>55.993396226415094</v>
      </c>
      <c r="Q460" t="str" cm="1">
        <f t="array" ref="Q460:R460">_xlfn.TEXTSPLIT(N460,"/",,FALSE,,#N/A)</f>
        <v>theater</v>
      </c>
      <c r="R460" t="str">
        <v>plays</v>
      </c>
      <c r="U460" s="6">
        <f t="shared" si="30"/>
        <v>40265.208333333336</v>
      </c>
      <c r="V460" s="6">
        <f t="shared" si="31"/>
        <v>40309.208333333336</v>
      </c>
    </row>
    <row r="461" spans="1:22" ht="19.5" x14ac:dyDescent="0.4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12">
        <f t="shared" si="28"/>
        <v>0.90063492063492068</v>
      </c>
      <c r="P461" s="13">
        <f t="shared" si="29"/>
        <v>54.038095238095238</v>
      </c>
      <c r="Q461" t="str" cm="1">
        <f t="array" ref="Q461:R461">_xlfn.TEXTSPLIT(N461,"/",,FALSE,,#N/A)</f>
        <v>film &amp; video</v>
      </c>
      <c r="R461" t="str">
        <v>documentary</v>
      </c>
      <c r="U461" s="6">
        <f t="shared" si="30"/>
        <v>42001.25</v>
      </c>
      <c r="V461" s="6">
        <f t="shared" si="31"/>
        <v>42026.25</v>
      </c>
    </row>
    <row r="462" spans="1:22" ht="19.5" x14ac:dyDescent="0.4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12">
        <f t="shared" si="28"/>
        <v>1.7162500000000001</v>
      </c>
      <c r="P462" s="13">
        <f t="shared" si="29"/>
        <v>82.38</v>
      </c>
      <c r="Q462" t="str" cm="1">
        <f t="array" ref="Q462:R462">_xlfn.TEXTSPLIT(N462,"/",,FALSE,,#N/A)</f>
        <v>theater</v>
      </c>
      <c r="R462" t="str">
        <v>plays</v>
      </c>
      <c r="U462" s="6">
        <f t="shared" si="30"/>
        <v>40399.208333333336</v>
      </c>
      <c r="V462" s="6">
        <f t="shared" si="31"/>
        <v>40402.208333333336</v>
      </c>
    </row>
    <row r="463" spans="1:22" ht="19.5" x14ac:dyDescent="0.4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12">
        <f t="shared" si="28"/>
        <v>1.4104655870445344</v>
      </c>
      <c r="P463" s="13">
        <f t="shared" si="29"/>
        <v>66.997115384615384</v>
      </c>
      <c r="Q463" t="str" cm="1">
        <f t="array" ref="Q463:R463">_xlfn.TEXTSPLIT(N463,"/",,FALSE,,#N/A)</f>
        <v>film &amp; video</v>
      </c>
      <c r="R463" t="str">
        <v>drama</v>
      </c>
      <c r="U463" s="6">
        <f t="shared" si="30"/>
        <v>41757.208333333336</v>
      </c>
      <c r="V463" s="6">
        <f t="shared" si="31"/>
        <v>41777.208333333336</v>
      </c>
    </row>
    <row r="464" spans="1:22" ht="19.5" x14ac:dyDescent="0.4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12">
        <f t="shared" si="28"/>
        <v>0.30579449152542371</v>
      </c>
      <c r="P464" s="13">
        <f t="shared" si="29"/>
        <v>107.91401869158878</v>
      </c>
      <c r="Q464" t="str" cm="1">
        <f t="array" ref="Q464:R464">_xlfn.TEXTSPLIT(N464,"/",,FALSE,,#N/A)</f>
        <v>games</v>
      </c>
      <c r="R464" t="str">
        <v>mobile games</v>
      </c>
      <c r="U464" s="6">
        <f t="shared" si="30"/>
        <v>41304.25</v>
      </c>
      <c r="V464" s="6">
        <f t="shared" si="31"/>
        <v>41342.25</v>
      </c>
    </row>
    <row r="465" spans="1:22" ht="33.75" x14ac:dyDescent="0.4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12">
        <f t="shared" si="28"/>
        <v>1.0816455696202532</v>
      </c>
      <c r="P465" s="13">
        <f t="shared" si="29"/>
        <v>69.009501187648453</v>
      </c>
      <c r="Q465" t="str" cm="1">
        <f t="array" ref="Q465:R465">_xlfn.TEXTSPLIT(N465,"/",,FALSE,,#N/A)</f>
        <v>film &amp; video</v>
      </c>
      <c r="R465" t="str">
        <v>animation</v>
      </c>
      <c r="U465" s="6">
        <f t="shared" si="30"/>
        <v>41639.25</v>
      </c>
      <c r="V465" s="6">
        <f t="shared" si="31"/>
        <v>41643.25</v>
      </c>
    </row>
    <row r="466" spans="1:22" ht="19.5" x14ac:dyDescent="0.4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12">
        <f t="shared" si="28"/>
        <v>1.3345505617977529</v>
      </c>
      <c r="P466" s="13">
        <f t="shared" si="29"/>
        <v>39.006568144499177</v>
      </c>
      <c r="Q466" t="str" cm="1">
        <f t="array" ref="Q466:R466">_xlfn.TEXTSPLIT(N466,"/",,FALSE,,#N/A)</f>
        <v>theater</v>
      </c>
      <c r="R466" t="str">
        <v>plays</v>
      </c>
      <c r="U466" s="6">
        <f t="shared" si="30"/>
        <v>43142.25</v>
      </c>
      <c r="V466" s="6">
        <f t="shared" si="31"/>
        <v>43156.25</v>
      </c>
    </row>
    <row r="467" spans="1:22" ht="19.5" x14ac:dyDescent="0.4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12">
        <f t="shared" si="28"/>
        <v>1.8785106382978722</v>
      </c>
      <c r="P467" s="13">
        <f t="shared" si="29"/>
        <v>110.3625</v>
      </c>
      <c r="Q467" t="str" cm="1">
        <f t="array" ref="Q467:R467">_xlfn.TEXTSPLIT(N467,"/",,FALSE,,#N/A)</f>
        <v>publishing</v>
      </c>
      <c r="R467" t="str">
        <v>translations</v>
      </c>
      <c r="U467" s="6">
        <f t="shared" si="30"/>
        <v>43127.25</v>
      </c>
      <c r="V467" s="6">
        <f t="shared" si="31"/>
        <v>43136.25</v>
      </c>
    </row>
    <row r="468" spans="1:22" ht="19.5" x14ac:dyDescent="0.4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12">
        <f t="shared" si="28"/>
        <v>3.32</v>
      </c>
      <c r="P468" s="13">
        <f t="shared" si="29"/>
        <v>94.857142857142861</v>
      </c>
      <c r="Q468" t="str" cm="1">
        <f t="array" ref="Q468:R468">_xlfn.TEXTSPLIT(N468,"/",,FALSE,,#N/A)</f>
        <v>technology</v>
      </c>
      <c r="R468" t="str">
        <v>wearables</v>
      </c>
      <c r="U468" s="6">
        <f t="shared" si="30"/>
        <v>41409.208333333336</v>
      </c>
      <c r="V468" s="6">
        <f t="shared" si="31"/>
        <v>41432.208333333336</v>
      </c>
    </row>
    <row r="469" spans="1:22" ht="33.75" x14ac:dyDescent="0.4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12">
        <f t="shared" si="28"/>
        <v>5.7521428571428572</v>
      </c>
      <c r="P469" s="13">
        <f t="shared" si="29"/>
        <v>57.935251798561154</v>
      </c>
      <c r="Q469" t="str" cm="1">
        <f t="array" ref="Q469:R469">_xlfn.TEXTSPLIT(N469,"/",,FALSE,,#N/A)</f>
        <v>technology</v>
      </c>
      <c r="R469" t="str">
        <v>web</v>
      </c>
      <c r="U469" s="6">
        <f t="shared" si="30"/>
        <v>42331.25</v>
      </c>
      <c r="V469" s="6">
        <f t="shared" si="31"/>
        <v>42338.25</v>
      </c>
    </row>
    <row r="470" spans="1:22" ht="19.5" x14ac:dyDescent="0.4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12">
        <f t="shared" si="28"/>
        <v>0.40500000000000003</v>
      </c>
      <c r="P470" s="13">
        <f t="shared" si="29"/>
        <v>101.25</v>
      </c>
      <c r="Q470" t="str" cm="1">
        <f t="array" ref="Q470:R470">_xlfn.TEXTSPLIT(N470,"/",,FALSE,,#N/A)</f>
        <v>theater</v>
      </c>
      <c r="R470" t="str">
        <v>plays</v>
      </c>
      <c r="U470" s="6">
        <f t="shared" si="30"/>
        <v>43569.208333333328</v>
      </c>
      <c r="V470" s="6">
        <f t="shared" si="31"/>
        <v>43585.208333333328</v>
      </c>
    </row>
    <row r="471" spans="1:22" ht="19.5" x14ac:dyDescent="0.4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12">
        <f t="shared" si="28"/>
        <v>1.8442857142857143</v>
      </c>
      <c r="P471" s="13">
        <f t="shared" si="29"/>
        <v>64.95597484276729</v>
      </c>
      <c r="Q471" t="str" cm="1">
        <f t="array" ref="Q471:R471">_xlfn.TEXTSPLIT(N471,"/",,FALSE,,#N/A)</f>
        <v>film &amp; video</v>
      </c>
      <c r="R471" t="str">
        <v>drama</v>
      </c>
      <c r="U471" s="6">
        <f t="shared" si="30"/>
        <v>42142.208333333328</v>
      </c>
      <c r="V471" s="6">
        <f t="shared" si="31"/>
        <v>42144.208333333328</v>
      </c>
    </row>
    <row r="472" spans="1:22" ht="19.5" x14ac:dyDescent="0.4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12">
        <f t="shared" si="28"/>
        <v>2.8580555555555556</v>
      </c>
      <c r="P472" s="13">
        <f t="shared" si="29"/>
        <v>27.00524934383202</v>
      </c>
      <c r="Q472" t="str" cm="1">
        <f t="array" ref="Q472:R472">_xlfn.TEXTSPLIT(N472,"/",,FALSE,,#N/A)</f>
        <v>technology</v>
      </c>
      <c r="R472" t="str">
        <v>wearables</v>
      </c>
      <c r="U472" s="6">
        <f t="shared" si="30"/>
        <v>42716.25</v>
      </c>
      <c r="V472" s="6">
        <f t="shared" si="31"/>
        <v>42723.25</v>
      </c>
    </row>
    <row r="473" spans="1:22" ht="19.5" x14ac:dyDescent="0.4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12">
        <f t="shared" si="28"/>
        <v>3.19</v>
      </c>
      <c r="P473" s="13">
        <f t="shared" si="29"/>
        <v>50.97422680412371</v>
      </c>
      <c r="Q473" t="str" cm="1">
        <f t="array" ref="Q473:R473">_xlfn.TEXTSPLIT(N473,"/",,FALSE,,#N/A)</f>
        <v>food</v>
      </c>
      <c r="R473" t="str">
        <v>food trucks</v>
      </c>
      <c r="U473" s="6">
        <f t="shared" si="30"/>
        <v>41031.208333333336</v>
      </c>
      <c r="V473" s="6">
        <f t="shared" si="31"/>
        <v>41031.208333333336</v>
      </c>
    </row>
    <row r="474" spans="1:22" ht="19.5" x14ac:dyDescent="0.4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12">
        <f t="shared" si="28"/>
        <v>0.39234070221066319</v>
      </c>
      <c r="P474" s="13">
        <f t="shared" si="29"/>
        <v>104.94260869565217</v>
      </c>
      <c r="Q474" t="str" cm="1">
        <f t="array" ref="Q474:R474">_xlfn.TEXTSPLIT(N474,"/",,FALSE,,#N/A)</f>
        <v>music</v>
      </c>
      <c r="R474" t="str">
        <v>rock</v>
      </c>
      <c r="U474" s="6">
        <f t="shared" si="30"/>
        <v>43535.208333333328</v>
      </c>
      <c r="V474" s="6">
        <f t="shared" si="31"/>
        <v>43589.208333333328</v>
      </c>
    </row>
    <row r="475" spans="1:22" ht="19.5" x14ac:dyDescent="0.4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12">
        <f t="shared" si="28"/>
        <v>1.7814000000000001</v>
      </c>
      <c r="P475" s="13">
        <f t="shared" si="29"/>
        <v>84.028301886792448</v>
      </c>
      <c r="Q475" t="str" cm="1">
        <f t="array" ref="Q475:R475">_xlfn.TEXTSPLIT(N475,"/",,FALSE,,#N/A)</f>
        <v>music</v>
      </c>
      <c r="R475" t="str">
        <v>electric music</v>
      </c>
      <c r="U475" s="6">
        <f t="shared" si="30"/>
        <v>43277.208333333328</v>
      </c>
      <c r="V475" s="6">
        <f t="shared" si="31"/>
        <v>43278.208333333328</v>
      </c>
    </row>
    <row r="476" spans="1:22" ht="19.5" x14ac:dyDescent="0.4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12">
        <f t="shared" si="28"/>
        <v>3.6515</v>
      </c>
      <c r="P476" s="13">
        <f t="shared" si="29"/>
        <v>102.85915492957747</v>
      </c>
      <c r="Q476" t="str" cm="1">
        <f t="array" ref="Q476:R476">_xlfn.TEXTSPLIT(N476,"/",,FALSE,,#N/A)</f>
        <v>film &amp; video</v>
      </c>
      <c r="R476" t="str">
        <v>television</v>
      </c>
      <c r="U476" s="6">
        <f t="shared" si="30"/>
        <v>41989.25</v>
      </c>
      <c r="V476" s="6">
        <f t="shared" si="31"/>
        <v>41990.25</v>
      </c>
    </row>
    <row r="477" spans="1:22" ht="33.75" x14ac:dyDescent="0.4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12">
        <f t="shared" si="28"/>
        <v>1.1394594594594594</v>
      </c>
      <c r="P477" s="13">
        <f t="shared" si="29"/>
        <v>39.962085308056871</v>
      </c>
      <c r="Q477" t="str" cm="1">
        <f t="array" ref="Q477:R477">_xlfn.TEXTSPLIT(N477,"/",,FALSE,,#N/A)</f>
        <v>publishing</v>
      </c>
      <c r="R477" t="str">
        <v>translations</v>
      </c>
      <c r="U477" s="6">
        <f t="shared" si="30"/>
        <v>41450.208333333336</v>
      </c>
      <c r="V477" s="6">
        <f t="shared" si="31"/>
        <v>41454.208333333336</v>
      </c>
    </row>
    <row r="478" spans="1:22" ht="33.75" x14ac:dyDescent="0.4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12">
        <f t="shared" si="28"/>
        <v>0.29828720626631855</v>
      </c>
      <c r="P478" s="13">
        <f t="shared" si="29"/>
        <v>51.001785714285717</v>
      </c>
      <c r="Q478" t="str" cm="1">
        <f t="array" ref="Q478:R478">_xlfn.TEXTSPLIT(N478,"/",,FALSE,,#N/A)</f>
        <v>publishing</v>
      </c>
      <c r="R478" t="str">
        <v>fiction</v>
      </c>
      <c r="U478" s="6">
        <f t="shared" si="30"/>
        <v>43322.208333333328</v>
      </c>
      <c r="V478" s="6">
        <f t="shared" si="31"/>
        <v>43328.208333333328</v>
      </c>
    </row>
    <row r="479" spans="1:22" ht="19.5" x14ac:dyDescent="0.4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12">
        <f t="shared" si="28"/>
        <v>0.54270588235294115</v>
      </c>
      <c r="P479" s="13">
        <f t="shared" si="29"/>
        <v>40.823008849557525</v>
      </c>
      <c r="Q479" t="str" cm="1">
        <f t="array" ref="Q479:R479">_xlfn.TEXTSPLIT(N479,"/",,FALSE,,#N/A)</f>
        <v>film &amp; video</v>
      </c>
      <c r="R479" t="str">
        <v>science fiction</v>
      </c>
      <c r="U479" s="6">
        <f t="shared" si="30"/>
        <v>40720.208333333336</v>
      </c>
      <c r="V479" s="6">
        <f t="shared" si="31"/>
        <v>40747.208333333336</v>
      </c>
    </row>
    <row r="480" spans="1:22" ht="19.5" x14ac:dyDescent="0.4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12">
        <f t="shared" si="28"/>
        <v>2.3634156976744185</v>
      </c>
      <c r="P480" s="13">
        <f t="shared" si="29"/>
        <v>58.999637155297535</v>
      </c>
      <c r="Q480" t="str" cm="1">
        <f t="array" ref="Q480:R480">_xlfn.TEXTSPLIT(N480,"/",,FALSE,,#N/A)</f>
        <v>technology</v>
      </c>
      <c r="R480" t="str">
        <v>wearables</v>
      </c>
      <c r="U480" s="6">
        <f t="shared" si="30"/>
        <v>42072.208333333328</v>
      </c>
      <c r="V480" s="6">
        <f t="shared" si="31"/>
        <v>42084.208333333328</v>
      </c>
    </row>
    <row r="481" spans="1:22" ht="19.5" x14ac:dyDescent="0.4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12">
        <f t="shared" si="28"/>
        <v>5.1291666666666664</v>
      </c>
      <c r="P481" s="13">
        <f t="shared" si="29"/>
        <v>71.156069364161851</v>
      </c>
      <c r="Q481" t="str" cm="1">
        <f t="array" ref="Q481:R481">_xlfn.TEXTSPLIT(N481,"/",,FALSE,,#N/A)</f>
        <v>food</v>
      </c>
      <c r="R481" t="str">
        <v>food trucks</v>
      </c>
      <c r="U481" s="6">
        <f t="shared" si="30"/>
        <v>42945.208333333328</v>
      </c>
      <c r="V481" s="6">
        <f t="shared" si="31"/>
        <v>42947.208333333328</v>
      </c>
    </row>
    <row r="482" spans="1:22" ht="19.5" x14ac:dyDescent="0.4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12">
        <f t="shared" si="28"/>
        <v>1.0065116279069768</v>
      </c>
      <c r="P482" s="13">
        <f t="shared" si="29"/>
        <v>99.494252873563212</v>
      </c>
      <c r="Q482" t="str" cm="1">
        <f t="array" ref="Q482:R482">_xlfn.TEXTSPLIT(N482,"/",,FALSE,,#N/A)</f>
        <v>photography</v>
      </c>
      <c r="R482" t="str">
        <v>photography books</v>
      </c>
      <c r="U482" s="6">
        <f t="shared" si="30"/>
        <v>40248.25</v>
      </c>
      <c r="V482" s="6">
        <f t="shared" si="31"/>
        <v>40257.208333333336</v>
      </c>
    </row>
    <row r="483" spans="1:22" ht="33.75" x14ac:dyDescent="0.4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12">
        <f t="shared" si="28"/>
        <v>0.81348423194303154</v>
      </c>
      <c r="P483" s="13">
        <f t="shared" si="29"/>
        <v>103.98634590377114</v>
      </c>
      <c r="Q483" t="str" cm="1">
        <f t="array" ref="Q483:R483">_xlfn.TEXTSPLIT(N483,"/",,FALSE,,#N/A)</f>
        <v>theater</v>
      </c>
      <c r="R483" t="str">
        <v>plays</v>
      </c>
      <c r="U483" s="6">
        <f t="shared" si="30"/>
        <v>41913.208333333336</v>
      </c>
      <c r="V483" s="6">
        <f t="shared" si="31"/>
        <v>41955.25</v>
      </c>
    </row>
    <row r="484" spans="1:22" ht="33.75" x14ac:dyDescent="0.4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12">
        <f t="shared" si="28"/>
        <v>0.16404761904761905</v>
      </c>
      <c r="P484" s="13">
        <f t="shared" si="29"/>
        <v>76.555555555555557</v>
      </c>
      <c r="Q484" t="str" cm="1">
        <f t="array" ref="Q484:R484">_xlfn.TEXTSPLIT(N484,"/",,FALSE,,#N/A)</f>
        <v>publishing</v>
      </c>
      <c r="R484" t="str">
        <v>fiction</v>
      </c>
      <c r="U484" s="6">
        <f t="shared" si="30"/>
        <v>40963.25</v>
      </c>
      <c r="V484" s="6">
        <f t="shared" si="31"/>
        <v>40974.25</v>
      </c>
    </row>
    <row r="485" spans="1:22" ht="19.5" x14ac:dyDescent="0.4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12">
        <f t="shared" si="28"/>
        <v>0.52774617067833696</v>
      </c>
      <c r="P485" s="13">
        <f t="shared" si="29"/>
        <v>87.068592057761734</v>
      </c>
      <c r="Q485" t="str" cm="1">
        <f t="array" ref="Q485:R485">_xlfn.TEXTSPLIT(N485,"/",,FALSE,,#N/A)</f>
        <v>theater</v>
      </c>
      <c r="R485" t="str">
        <v>plays</v>
      </c>
      <c r="U485" s="6">
        <f t="shared" si="30"/>
        <v>43811.25</v>
      </c>
      <c r="V485" s="6">
        <f t="shared" si="31"/>
        <v>43818.25</v>
      </c>
    </row>
    <row r="486" spans="1:22" ht="19.5" x14ac:dyDescent="0.4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12">
        <f t="shared" si="28"/>
        <v>2.6020608108108108</v>
      </c>
      <c r="P486" s="13">
        <f t="shared" si="29"/>
        <v>48.99554707379135</v>
      </c>
      <c r="Q486" t="str" cm="1">
        <f t="array" ref="Q486:R486">_xlfn.TEXTSPLIT(N486,"/",,FALSE,,#N/A)</f>
        <v>food</v>
      </c>
      <c r="R486" t="str">
        <v>food trucks</v>
      </c>
      <c r="U486" s="6">
        <f t="shared" si="30"/>
        <v>41855.208333333336</v>
      </c>
      <c r="V486" s="6">
        <f t="shared" si="31"/>
        <v>41904.208333333336</v>
      </c>
    </row>
    <row r="487" spans="1:22" ht="33.75" x14ac:dyDescent="0.4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12">
        <f t="shared" si="28"/>
        <v>0.30732891832229581</v>
      </c>
      <c r="P487" s="13">
        <f t="shared" si="29"/>
        <v>42.969135802469133</v>
      </c>
      <c r="Q487" t="str" cm="1">
        <f t="array" ref="Q487:R487">_xlfn.TEXTSPLIT(N487,"/",,FALSE,,#N/A)</f>
        <v>theater</v>
      </c>
      <c r="R487" t="str">
        <v>plays</v>
      </c>
      <c r="U487" s="6">
        <f t="shared" si="30"/>
        <v>43626.208333333328</v>
      </c>
      <c r="V487" s="6">
        <f t="shared" si="31"/>
        <v>43667.208333333328</v>
      </c>
    </row>
    <row r="488" spans="1:22" ht="33.75" x14ac:dyDescent="0.4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12">
        <f t="shared" si="28"/>
        <v>0.13500000000000001</v>
      </c>
      <c r="P488" s="13">
        <f t="shared" si="29"/>
        <v>33.428571428571431</v>
      </c>
      <c r="Q488" t="str" cm="1">
        <f t="array" ref="Q488:R488">_xlfn.TEXTSPLIT(N488,"/",,FALSE,,#N/A)</f>
        <v>publishing</v>
      </c>
      <c r="R488" t="str">
        <v>translations</v>
      </c>
      <c r="U488" s="6">
        <f t="shared" si="30"/>
        <v>43168.25</v>
      </c>
      <c r="V488" s="6">
        <f t="shared" si="31"/>
        <v>43183.208333333328</v>
      </c>
    </row>
    <row r="489" spans="1:22" ht="19.5" x14ac:dyDescent="0.4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12">
        <f t="shared" si="28"/>
        <v>1.7862556663644606</v>
      </c>
      <c r="P489" s="13">
        <f t="shared" si="29"/>
        <v>83.982949701619773</v>
      </c>
      <c r="Q489" t="str" cm="1">
        <f t="array" ref="Q489:R489">_xlfn.TEXTSPLIT(N489,"/",,FALSE,,#N/A)</f>
        <v>theater</v>
      </c>
      <c r="R489" t="str">
        <v>plays</v>
      </c>
      <c r="U489" s="6">
        <f t="shared" si="30"/>
        <v>42845.208333333328</v>
      </c>
      <c r="V489" s="6">
        <f t="shared" si="31"/>
        <v>42878.208333333328</v>
      </c>
    </row>
    <row r="490" spans="1:22" ht="19.5" x14ac:dyDescent="0.4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12">
        <f t="shared" si="28"/>
        <v>2.2005660377358489</v>
      </c>
      <c r="P490" s="13">
        <f t="shared" si="29"/>
        <v>101.41739130434783</v>
      </c>
      <c r="Q490" t="str" cm="1">
        <f t="array" ref="Q490:R490">_xlfn.TEXTSPLIT(N490,"/",,FALSE,,#N/A)</f>
        <v>theater</v>
      </c>
      <c r="R490" t="str">
        <v>plays</v>
      </c>
      <c r="U490" s="6">
        <f t="shared" si="30"/>
        <v>42403.25</v>
      </c>
      <c r="V490" s="6">
        <f t="shared" si="31"/>
        <v>42420.25</v>
      </c>
    </row>
    <row r="491" spans="1:22" ht="19.5" x14ac:dyDescent="0.4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12">
        <f t="shared" si="28"/>
        <v>1.015108695652174</v>
      </c>
      <c r="P491" s="13">
        <f t="shared" si="29"/>
        <v>109.87058823529412</v>
      </c>
      <c r="Q491" t="str" cm="1">
        <f t="array" ref="Q491:R491">_xlfn.TEXTSPLIT(N491,"/",,FALSE,,#N/A)</f>
        <v>technology</v>
      </c>
      <c r="R491" t="str">
        <v>wearables</v>
      </c>
      <c r="U491" s="6">
        <f t="shared" si="30"/>
        <v>40406.208333333336</v>
      </c>
      <c r="V491" s="6">
        <f t="shared" si="31"/>
        <v>40411.208333333336</v>
      </c>
    </row>
    <row r="492" spans="1:22" ht="19.5" x14ac:dyDescent="0.4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12">
        <f t="shared" si="28"/>
        <v>1.915</v>
      </c>
      <c r="P492" s="13">
        <f t="shared" si="29"/>
        <v>31.916666666666668</v>
      </c>
      <c r="Q492" t="str" cm="1">
        <f t="array" ref="Q492:R492">_xlfn.TEXTSPLIT(N492,"/",,FALSE,,#N/A)</f>
        <v>journalism</v>
      </c>
      <c r="R492" t="str">
        <v>audio</v>
      </c>
      <c r="U492" s="6">
        <f t="shared" si="30"/>
        <v>43786.25</v>
      </c>
      <c r="V492" s="6">
        <f t="shared" si="31"/>
        <v>43793.25</v>
      </c>
    </row>
    <row r="493" spans="1:22" ht="33.75" x14ac:dyDescent="0.4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12">
        <f t="shared" si="28"/>
        <v>3.0534683098591549</v>
      </c>
      <c r="P493" s="13">
        <f t="shared" si="29"/>
        <v>70.993450675399103</v>
      </c>
      <c r="Q493" t="str" cm="1">
        <f t="array" ref="Q493:R493">_xlfn.TEXTSPLIT(N493,"/",,FALSE,,#N/A)</f>
        <v>food</v>
      </c>
      <c r="R493" t="str">
        <v>food trucks</v>
      </c>
      <c r="U493" s="6">
        <f t="shared" si="30"/>
        <v>41456.208333333336</v>
      </c>
      <c r="V493" s="6">
        <f t="shared" si="31"/>
        <v>41482.208333333336</v>
      </c>
    </row>
    <row r="494" spans="1:22" ht="19.5" x14ac:dyDescent="0.4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12">
        <f t="shared" si="28"/>
        <v>0.23995287958115183</v>
      </c>
      <c r="P494" s="13">
        <f t="shared" si="29"/>
        <v>77.026890756302521</v>
      </c>
      <c r="Q494" t="str" cm="1">
        <f t="array" ref="Q494:R494">_xlfn.TEXTSPLIT(N494,"/",,FALSE,,#N/A)</f>
        <v>film &amp; video</v>
      </c>
      <c r="R494" t="str">
        <v>shorts</v>
      </c>
      <c r="U494" s="6">
        <f t="shared" si="30"/>
        <v>40336.208333333336</v>
      </c>
      <c r="V494" s="6">
        <f t="shared" si="31"/>
        <v>40371.208333333336</v>
      </c>
    </row>
    <row r="495" spans="1:22" ht="19.5" x14ac:dyDescent="0.4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12">
        <f t="shared" si="28"/>
        <v>7.2377777777777776</v>
      </c>
      <c r="P495" s="13">
        <f t="shared" si="29"/>
        <v>101.78125</v>
      </c>
      <c r="Q495" t="str" cm="1">
        <f t="array" ref="Q495:R495">_xlfn.TEXTSPLIT(N495,"/",,FALSE,,#N/A)</f>
        <v>photography</v>
      </c>
      <c r="R495" t="str">
        <v>photography books</v>
      </c>
      <c r="U495" s="6">
        <f t="shared" si="30"/>
        <v>43645.208333333328</v>
      </c>
      <c r="V495" s="6">
        <f t="shared" si="31"/>
        <v>43658.208333333328</v>
      </c>
    </row>
    <row r="496" spans="1:22" ht="19.5" x14ac:dyDescent="0.4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12">
        <f t="shared" si="28"/>
        <v>5.4736000000000002</v>
      </c>
      <c r="P496" s="13">
        <f t="shared" si="29"/>
        <v>51.059701492537314</v>
      </c>
      <c r="Q496" t="str" cm="1">
        <f t="array" ref="Q496:R496">_xlfn.TEXTSPLIT(N496,"/",,FALSE,,#N/A)</f>
        <v>technology</v>
      </c>
      <c r="R496" t="str">
        <v>wearables</v>
      </c>
      <c r="U496" s="6">
        <f t="shared" si="30"/>
        <v>40990.208333333336</v>
      </c>
      <c r="V496" s="6">
        <f t="shared" si="31"/>
        <v>40991.208333333336</v>
      </c>
    </row>
    <row r="497" spans="1:22" ht="19.5" x14ac:dyDescent="0.4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12">
        <f t="shared" si="28"/>
        <v>4.1449999999999996</v>
      </c>
      <c r="P497" s="13">
        <f t="shared" si="29"/>
        <v>68.02051282051282</v>
      </c>
      <c r="Q497" t="str" cm="1">
        <f t="array" ref="Q497:R497">_xlfn.TEXTSPLIT(N497,"/",,FALSE,,#N/A)</f>
        <v>theater</v>
      </c>
      <c r="R497" t="str">
        <v>plays</v>
      </c>
      <c r="U497" s="6">
        <f t="shared" si="30"/>
        <v>41800.208333333336</v>
      </c>
      <c r="V497" s="6">
        <f t="shared" si="31"/>
        <v>41804.208333333336</v>
      </c>
    </row>
    <row r="498" spans="1:22" ht="19.5" x14ac:dyDescent="0.4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12">
        <f t="shared" si="28"/>
        <v>9.0696409140369975E-3</v>
      </c>
      <c r="P498" s="13">
        <f t="shared" si="29"/>
        <v>30.87037037037037</v>
      </c>
      <c r="Q498" t="str" cm="1">
        <f t="array" ref="Q498:R498">_xlfn.TEXTSPLIT(N498,"/",,FALSE,,#N/A)</f>
        <v>film &amp; video</v>
      </c>
      <c r="R498" t="str">
        <v>animation</v>
      </c>
      <c r="U498" s="6">
        <f t="shared" si="30"/>
        <v>42876.208333333328</v>
      </c>
      <c r="V498" s="6">
        <f t="shared" si="31"/>
        <v>42893.208333333328</v>
      </c>
    </row>
    <row r="499" spans="1:22" ht="19.5" x14ac:dyDescent="0.4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12">
        <f t="shared" si="28"/>
        <v>0.34173469387755101</v>
      </c>
      <c r="P499" s="13">
        <f t="shared" si="29"/>
        <v>27.908333333333335</v>
      </c>
      <c r="Q499" t="str" cm="1">
        <f t="array" ref="Q499:R499">_xlfn.TEXTSPLIT(N499,"/",,FALSE,,#N/A)</f>
        <v>technology</v>
      </c>
      <c r="R499" t="str">
        <v>wearables</v>
      </c>
      <c r="U499" s="6">
        <f t="shared" si="30"/>
        <v>42724.25</v>
      </c>
      <c r="V499" s="6">
        <f t="shared" si="31"/>
        <v>42724.25</v>
      </c>
    </row>
    <row r="500" spans="1:22" ht="19.5" x14ac:dyDescent="0.4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12">
        <f t="shared" si="28"/>
        <v>0.239488107549121</v>
      </c>
      <c r="P500" s="13">
        <f t="shared" si="29"/>
        <v>79.994818652849744</v>
      </c>
      <c r="Q500" t="str" cm="1">
        <f t="array" ref="Q500:R500">_xlfn.TEXTSPLIT(N500,"/",,FALSE,,#N/A)</f>
        <v>technology</v>
      </c>
      <c r="R500" t="str">
        <v>web</v>
      </c>
      <c r="U500" s="6">
        <f t="shared" si="30"/>
        <v>42005.25</v>
      </c>
      <c r="V500" s="6">
        <f t="shared" si="31"/>
        <v>42007.25</v>
      </c>
    </row>
    <row r="501" spans="1:22" ht="33.75" x14ac:dyDescent="0.4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12">
        <f t="shared" si="28"/>
        <v>0.48072649572649573</v>
      </c>
      <c r="P501" s="13">
        <f t="shared" si="29"/>
        <v>38.003378378378379</v>
      </c>
      <c r="Q501" t="str" cm="1">
        <f t="array" ref="Q501:R501">_xlfn.TEXTSPLIT(N501,"/",,FALSE,,#N/A)</f>
        <v>film &amp; video</v>
      </c>
      <c r="R501" t="str">
        <v>documentary</v>
      </c>
      <c r="U501" s="6">
        <f t="shared" si="30"/>
        <v>42444.208333333328</v>
      </c>
      <c r="V501" s="6">
        <f t="shared" si="31"/>
        <v>42449.208333333328</v>
      </c>
    </row>
    <row r="502" spans="1:22" ht="19.5" x14ac:dyDescent="0.4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12">
        <f t="shared" si="28"/>
        <v>0</v>
      </c>
      <c r="P502" s="13" t="e">
        <f t="shared" si="29"/>
        <v>#DIV/0!</v>
      </c>
      <c r="Q502" t="str" cm="1">
        <f t="array" ref="Q502:R502">_xlfn.TEXTSPLIT(N502,"/",,FALSE,,#N/A)</f>
        <v>theater</v>
      </c>
      <c r="R502" t="str">
        <v>plays</v>
      </c>
      <c r="U502" s="6">
        <f t="shared" si="30"/>
        <v>41395.208333333336</v>
      </c>
      <c r="V502" s="6">
        <f t="shared" si="31"/>
        <v>41423.208333333336</v>
      </c>
    </row>
    <row r="503" spans="1:22" ht="19.5" x14ac:dyDescent="0.4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12">
        <f t="shared" si="28"/>
        <v>0.70145182291666663</v>
      </c>
      <c r="P503" s="13">
        <f t="shared" si="29"/>
        <v>59.990534521158132</v>
      </c>
      <c r="Q503" t="str" cm="1">
        <f t="array" ref="Q503:R503">_xlfn.TEXTSPLIT(N503,"/",,FALSE,,#N/A)</f>
        <v>film &amp; video</v>
      </c>
      <c r="R503" t="str">
        <v>documentary</v>
      </c>
      <c r="U503" s="6">
        <f t="shared" si="30"/>
        <v>41345.208333333336</v>
      </c>
      <c r="V503" s="6">
        <f t="shared" si="31"/>
        <v>41347.208333333336</v>
      </c>
    </row>
    <row r="504" spans="1:22" ht="19.5" x14ac:dyDescent="0.4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12">
        <f t="shared" si="28"/>
        <v>5.2992307692307694</v>
      </c>
      <c r="P504" s="13">
        <f t="shared" si="29"/>
        <v>37.037634408602152</v>
      </c>
      <c r="Q504" t="str" cm="1">
        <f t="array" ref="Q504:R504">_xlfn.TEXTSPLIT(N504,"/",,FALSE,,#N/A)</f>
        <v>games</v>
      </c>
      <c r="R504" t="str">
        <v>video games</v>
      </c>
      <c r="U504" s="6">
        <f t="shared" si="30"/>
        <v>41117.208333333336</v>
      </c>
      <c r="V504" s="6">
        <f t="shared" si="31"/>
        <v>41146.208333333336</v>
      </c>
    </row>
    <row r="505" spans="1:22" ht="33.75" x14ac:dyDescent="0.4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12">
        <f t="shared" si="28"/>
        <v>1.8032549019607844</v>
      </c>
      <c r="P505" s="13">
        <f t="shared" si="29"/>
        <v>99.963043478260872</v>
      </c>
      <c r="Q505" t="str" cm="1">
        <f t="array" ref="Q505:R505">_xlfn.TEXTSPLIT(N505,"/",,FALSE,,#N/A)</f>
        <v>film &amp; video</v>
      </c>
      <c r="R505" t="str">
        <v>drama</v>
      </c>
      <c r="U505" s="6">
        <f t="shared" si="30"/>
        <v>42186.208333333328</v>
      </c>
      <c r="V505" s="6">
        <f t="shared" si="31"/>
        <v>42206.208333333328</v>
      </c>
    </row>
    <row r="506" spans="1:22" ht="19.5" x14ac:dyDescent="0.4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12">
        <f t="shared" si="28"/>
        <v>0.92320000000000002</v>
      </c>
      <c r="P506" s="13">
        <f t="shared" si="29"/>
        <v>111.6774193548387</v>
      </c>
      <c r="Q506" t="str" cm="1">
        <f t="array" ref="Q506:R506">_xlfn.TEXTSPLIT(N506,"/",,FALSE,,#N/A)</f>
        <v>music</v>
      </c>
      <c r="R506" t="str">
        <v>rock</v>
      </c>
      <c r="U506" s="6">
        <f t="shared" si="30"/>
        <v>42142.208333333328</v>
      </c>
      <c r="V506" s="6">
        <f t="shared" si="31"/>
        <v>42143.208333333328</v>
      </c>
    </row>
    <row r="507" spans="1:22" ht="19.5" x14ac:dyDescent="0.4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12">
        <f t="shared" si="28"/>
        <v>0.13901001112347053</v>
      </c>
      <c r="P507" s="13">
        <f t="shared" si="29"/>
        <v>36.014409221902014</v>
      </c>
      <c r="Q507" t="str" cm="1">
        <f t="array" ref="Q507:R507">_xlfn.TEXTSPLIT(N507,"/",,FALSE,,#N/A)</f>
        <v>publishing</v>
      </c>
      <c r="R507" t="str">
        <v>radio &amp; podcasts</v>
      </c>
      <c r="U507" s="6">
        <f t="shared" si="30"/>
        <v>41341.25</v>
      </c>
      <c r="V507" s="6">
        <f t="shared" si="31"/>
        <v>41383.208333333336</v>
      </c>
    </row>
    <row r="508" spans="1:22" ht="19.5" x14ac:dyDescent="0.4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12">
        <f t="shared" si="28"/>
        <v>9.2707777777777771</v>
      </c>
      <c r="P508" s="13">
        <f t="shared" si="29"/>
        <v>66.010284810126578</v>
      </c>
      <c r="Q508" t="str" cm="1">
        <f t="array" ref="Q508:R508">_xlfn.TEXTSPLIT(N508,"/",,FALSE,,#N/A)</f>
        <v>theater</v>
      </c>
      <c r="R508" t="str">
        <v>plays</v>
      </c>
      <c r="U508" s="6">
        <f t="shared" si="30"/>
        <v>43062.25</v>
      </c>
      <c r="V508" s="6">
        <f t="shared" si="31"/>
        <v>43079.25</v>
      </c>
    </row>
    <row r="509" spans="1:22" ht="33.75" x14ac:dyDescent="0.4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12">
        <f t="shared" si="28"/>
        <v>0.39857142857142858</v>
      </c>
      <c r="P509" s="13">
        <f t="shared" si="29"/>
        <v>44.05263157894737</v>
      </c>
      <c r="Q509" t="str" cm="1">
        <f t="array" ref="Q509:R509">_xlfn.TEXTSPLIT(N509,"/",,FALSE,,#N/A)</f>
        <v>technology</v>
      </c>
      <c r="R509" t="str">
        <v>web</v>
      </c>
      <c r="U509" s="6">
        <f t="shared" si="30"/>
        <v>41373.208333333336</v>
      </c>
      <c r="V509" s="6">
        <f t="shared" si="31"/>
        <v>41422.208333333336</v>
      </c>
    </row>
    <row r="510" spans="1:22" ht="19.5" x14ac:dyDescent="0.4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12">
        <f t="shared" si="28"/>
        <v>1.1222929936305732</v>
      </c>
      <c r="P510" s="13">
        <f t="shared" si="29"/>
        <v>52.999726551818434</v>
      </c>
      <c r="Q510" t="str" cm="1">
        <f t="array" ref="Q510:R510">_xlfn.TEXTSPLIT(N510,"/",,FALSE,,#N/A)</f>
        <v>theater</v>
      </c>
      <c r="R510" t="str">
        <v>plays</v>
      </c>
      <c r="U510" s="6">
        <f t="shared" si="30"/>
        <v>43310.208333333328</v>
      </c>
      <c r="V510" s="6">
        <f t="shared" si="31"/>
        <v>43331.208333333328</v>
      </c>
    </row>
    <row r="511" spans="1:22" ht="19.5" x14ac:dyDescent="0.4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12">
        <f t="shared" si="28"/>
        <v>0.70925816023738875</v>
      </c>
      <c r="P511" s="13">
        <f t="shared" si="29"/>
        <v>95</v>
      </c>
      <c r="Q511" t="str" cm="1">
        <f t="array" ref="Q511:R511">_xlfn.TEXTSPLIT(N511,"/",,FALSE,,#N/A)</f>
        <v>theater</v>
      </c>
      <c r="R511" t="str">
        <v>plays</v>
      </c>
      <c r="U511" s="6">
        <f t="shared" si="30"/>
        <v>41034.208333333336</v>
      </c>
      <c r="V511" s="6">
        <f t="shared" si="31"/>
        <v>41044.208333333336</v>
      </c>
    </row>
    <row r="512" spans="1:22" ht="19.5" x14ac:dyDescent="0.4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12">
        <f t="shared" si="28"/>
        <v>1.1908974358974358</v>
      </c>
      <c r="P512" s="13">
        <f t="shared" si="29"/>
        <v>70.908396946564892</v>
      </c>
      <c r="Q512" t="str" cm="1">
        <f t="array" ref="Q512:R512">_xlfn.TEXTSPLIT(N512,"/",,FALSE,,#N/A)</f>
        <v>film &amp; video</v>
      </c>
      <c r="R512" t="str">
        <v>drama</v>
      </c>
      <c r="U512" s="6">
        <f t="shared" si="30"/>
        <v>43251.208333333328</v>
      </c>
      <c r="V512" s="6">
        <f t="shared" si="31"/>
        <v>43275.208333333328</v>
      </c>
    </row>
    <row r="513" spans="1:22" ht="19.5" x14ac:dyDescent="0.4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12">
        <f t="shared" si="28"/>
        <v>0.24017591339648173</v>
      </c>
      <c r="P513" s="13">
        <f t="shared" si="29"/>
        <v>98.060773480662988</v>
      </c>
      <c r="Q513" t="str" cm="1">
        <f t="array" ref="Q513:R513">_xlfn.TEXTSPLIT(N513,"/",,FALSE,,#N/A)</f>
        <v>theater</v>
      </c>
      <c r="R513" t="str">
        <v>plays</v>
      </c>
      <c r="U513" s="6">
        <f t="shared" si="30"/>
        <v>43671.208333333328</v>
      </c>
      <c r="V513" s="6">
        <f t="shared" si="31"/>
        <v>43681.208333333328</v>
      </c>
    </row>
    <row r="514" spans="1:22" ht="19.5" x14ac:dyDescent="0.4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12">
        <f t="shared" si="28"/>
        <v>1.3931868131868133</v>
      </c>
      <c r="P514" s="13">
        <f t="shared" si="29"/>
        <v>53.046025104602514</v>
      </c>
      <c r="Q514" t="str" cm="1">
        <f t="array" ref="Q514:R514">_xlfn.TEXTSPLIT(N514,"/",,FALSE,,#N/A)</f>
        <v>games</v>
      </c>
      <c r="R514" t="str">
        <v>video games</v>
      </c>
      <c r="U514" s="6">
        <f t="shared" si="30"/>
        <v>41825.208333333336</v>
      </c>
      <c r="V514" s="6">
        <f t="shared" si="31"/>
        <v>41826.208333333336</v>
      </c>
    </row>
    <row r="515" spans="1:22" ht="19.5" x14ac:dyDescent="0.4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12">
        <f t="shared" ref="O515:O578" si="32">E515/D515</f>
        <v>0.39277108433734942</v>
      </c>
      <c r="P515" s="13">
        <f t="shared" ref="P515:P578" si="33">E515/G515</f>
        <v>93.142857142857139</v>
      </c>
      <c r="Q515" t="str" cm="1">
        <f t="array" ref="Q515:R515">_xlfn.TEXTSPLIT(N515,"/",,FALSE,,#N/A)</f>
        <v>film &amp; video</v>
      </c>
      <c r="R515" t="str">
        <v>television</v>
      </c>
      <c r="U515" s="6">
        <f t="shared" ref="U515:U578" si="34">(((J515/60)/60)/24)+DATE(1970,1,1)</f>
        <v>40430.208333333336</v>
      </c>
      <c r="V515" s="6">
        <f t="shared" ref="V515:V578" si="35">(((K515/60)/60)/24)+DATE(1970,1,1)</f>
        <v>40432.208333333336</v>
      </c>
    </row>
    <row r="516" spans="1:22" ht="19.5" x14ac:dyDescent="0.4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12">
        <f t="shared" si="32"/>
        <v>0.22439077144917088</v>
      </c>
      <c r="P516" s="13">
        <f t="shared" si="33"/>
        <v>58.945075757575758</v>
      </c>
      <c r="Q516" t="str" cm="1">
        <f t="array" ref="Q516:R516">_xlfn.TEXTSPLIT(N516,"/",,FALSE,,#N/A)</f>
        <v>music</v>
      </c>
      <c r="R516" t="str">
        <v>rock</v>
      </c>
      <c r="U516" s="6">
        <f t="shared" si="34"/>
        <v>41614.25</v>
      </c>
      <c r="V516" s="6">
        <f t="shared" si="35"/>
        <v>41619.25</v>
      </c>
    </row>
    <row r="517" spans="1:22" ht="19.5" x14ac:dyDescent="0.4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12">
        <f t="shared" si="32"/>
        <v>0.55779069767441858</v>
      </c>
      <c r="P517" s="13">
        <f t="shared" si="33"/>
        <v>36.067669172932334</v>
      </c>
      <c r="Q517" t="str" cm="1">
        <f t="array" ref="Q517:R517">_xlfn.TEXTSPLIT(N517,"/",,FALSE,,#N/A)</f>
        <v>theater</v>
      </c>
      <c r="R517" t="str">
        <v>plays</v>
      </c>
      <c r="U517" s="6">
        <f t="shared" si="34"/>
        <v>40900.25</v>
      </c>
      <c r="V517" s="6">
        <f t="shared" si="35"/>
        <v>40902.25</v>
      </c>
    </row>
    <row r="518" spans="1:22" ht="19.5" x14ac:dyDescent="0.4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12">
        <f t="shared" si="32"/>
        <v>0.42523125996810207</v>
      </c>
      <c r="P518" s="13">
        <f t="shared" si="33"/>
        <v>63.030732860520096</v>
      </c>
      <c r="Q518" t="str" cm="1">
        <f t="array" ref="Q518:R518">_xlfn.TEXTSPLIT(N518,"/",,FALSE,,#N/A)</f>
        <v>publishing</v>
      </c>
      <c r="R518" t="str">
        <v>nonfiction</v>
      </c>
      <c r="U518" s="6">
        <f t="shared" si="34"/>
        <v>40396.208333333336</v>
      </c>
      <c r="V518" s="6">
        <f t="shared" si="35"/>
        <v>40434.208333333336</v>
      </c>
    </row>
    <row r="519" spans="1:22" ht="19.5" x14ac:dyDescent="0.4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12">
        <f t="shared" si="32"/>
        <v>1.1200000000000001</v>
      </c>
      <c r="P519" s="13">
        <f t="shared" si="33"/>
        <v>84.717948717948715</v>
      </c>
      <c r="Q519" t="str" cm="1">
        <f t="array" ref="Q519:R519">_xlfn.TEXTSPLIT(N519,"/",,FALSE,,#N/A)</f>
        <v>food</v>
      </c>
      <c r="R519" t="str">
        <v>food trucks</v>
      </c>
      <c r="U519" s="6">
        <f t="shared" si="34"/>
        <v>42860.208333333328</v>
      </c>
      <c r="V519" s="6">
        <f t="shared" si="35"/>
        <v>42865.208333333328</v>
      </c>
    </row>
    <row r="520" spans="1:22" ht="33.75" x14ac:dyDescent="0.4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12">
        <f t="shared" si="32"/>
        <v>7.0681818181818179E-2</v>
      </c>
      <c r="P520" s="13">
        <f t="shared" si="33"/>
        <v>62.2</v>
      </c>
      <c r="Q520" t="str" cm="1">
        <f t="array" ref="Q520:R520">_xlfn.TEXTSPLIT(N520,"/",,FALSE,,#N/A)</f>
        <v>film &amp; video</v>
      </c>
      <c r="R520" t="str">
        <v>animation</v>
      </c>
      <c r="U520" s="6">
        <f t="shared" si="34"/>
        <v>43154.25</v>
      </c>
      <c r="V520" s="6">
        <f t="shared" si="35"/>
        <v>43156.25</v>
      </c>
    </row>
    <row r="521" spans="1:22" ht="19.5" x14ac:dyDescent="0.4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12">
        <f t="shared" si="32"/>
        <v>1.0174563871693867</v>
      </c>
      <c r="P521" s="13">
        <f t="shared" si="33"/>
        <v>101.97518330513255</v>
      </c>
      <c r="Q521" t="str" cm="1">
        <f t="array" ref="Q521:R521">_xlfn.TEXTSPLIT(N521,"/",,FALSE,,#N/A)</f>
        <v>music</v>
      </c>
      <c r="R521" t="str">
        <v>rock</v>
      </c>
      <c r="U521" s="6">
        <f t="shared" si="34"/>
        <v>42012.25</v>
      </c>
      <c r="V521" s="6">
        <f t="shared" si="35"/>
        <v>42026.25</v>
      </c>
    </row>
    <row r="522" spans="1:22" ht="19.5" x14ac:dyDescent="0.4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12">
        <f t="shared" si="32"/>
        <v>4.2575000000000003</v>
      </c>
      <c r="P522" s="13">
        <f t="shared" si="33"/>
        <v>106.4375</v>
      </c>
      <c r="Q522" t="str" cm="1">
        <f t="array" ref="Q522:R522">_xlfn.TEXTSPLIT(N522,"/",,FALSE,,#N/A)</f>
        <v>theater</v>
      </c>
      <c r="R522" t="str">
        <v>plays</v>
      </c>
      <c r="U522" s="6">
        <f t="shared" si="34"/>
        <v>43574.208333333328</v>
      </c>
      <c r="V522" s="6">
        <f t="shared" si="35"/>
        <v>43577.208333333328</v>
      </c>
    </row>
    <row r="523" spans="1:22" ht="19.5" x14ac:dyDescent="0.4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12">
        <f t="shared" si="32"/>
        <v>1.4553947368421052</v>
      </c>
      <c r="P523" s="13">
        <f t="shared" si="33"/>
        <v>29.975609756097562</v>
      </c>
      <c r="Q523" t="str" cm="1">
        <f t="array" ref="Q523:R523">_xlfn.TEXTSPLIT(N523,"/",,FALSE,,#N/A)</f>
        <v>film &amp; video</v>
      </c>
      <c r="R523" t="str">
        <v>drama</v>
      </c>
      <c r="U523" s="6">
        <f t="shared" si="34"/>
        <v>42605.208333333328</v>
      </c>
      <c r="V523" s="6">
        <f t="shared" si="35"/>
        <v>42611.208333333328</v>
      </c>
    </row>
    <row r="524" spans="1:22" ht="33.75" x14ac:dyDescent="0.4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12">
        <f t="shared" si="32"/>
        <v>0.32453465346534655</v>
      </c>
      <c r="P524" s="13">
        <f t="shared" si="33"/>
        <v>85.806282722513089</v>
      </c>
      <c r="Q524" t="str" cm="1">
        <f t="array" ref="Q524:R524">_xlfn.TEXTSPLIT(N524,"/",,FALSE,,#N/A)</f>
        <v>film &amp; video</v>
      </c>
      <c r="R524" t="str">
        <v>shorts</v>
      </c>
      <c r="U524" s="6">
        <f t="shared" si="34"/>
        <v>41093.208333333336</v>
      </c>
      <c r="V524" s="6">
        <f t="shared" si="35"/>
        <v>41105.208333333336</v>
      </c>
    </row>
    <row r="525" spans="1:22" ht="19.5" x14ac:dyDescent="0.4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12">
        <f t="shared" si="32"/>
        <v>7.003333333333333</v>
      </c>
      <c r="P525" s="13">
        <f t="shared" si="33"/>
        <v>70.82022471910112</v>
      </c>
      <c r="Q525" t="str" cm="1">
        <f t="array" ref="Q525:R525">_xlfn.TEXTSPLIT(N525,"/",,FALSE,,#N/A)</f>
        <v>film &amp; video</v>
      </c>
      <c r="R525" t="str">
        <v>shorts</v>
      </c>
      <c r="U525" s="6">
        <f t="shared" si="34"/>
        <v>40241.25</v>
      </c>
      <c r="V525" s="6">
        <f t="shared" si="35"/>
        <v>40246.25</v>
      </c>
    </row>
    <row r="526" spans="1:22" ht="19.5" x14ac:dyDescent="0.4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12">
        <f t="shared" si="32"/>
        <v>0.83904860392967939</v>
      </c>
      <c r="P526" s="13">
        <f t="shared" si="33"/>
        <v>40.998484082870135</v>
      </c>
      <c r="Q526" t="str" cm="1">
        <f t="array" ref="Q526:R526">_xlfn.TEXTSPLIT(N526,"/",,FALSE,,#N/A)</f>
        <v>theater</v>
      </c>
      <c r="R526" t="str">
        <v>plays</v>
      </c>
      <c r="U526" s="6">
        <f t="shared" si="34"/>
        <v>40294.208333333336</v>
      </c>
      <c r="V526" s="6">
        <f t="shared" si="35"/>
        <v>40307.208333333336</v>
      </c>
    </row>
    <row r="527" spans="1:22" ht="19.5" x14ac:dyDescent="0.4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12">
        <f t="shared" si="32"/>
        <v>0.84190476190476193</v>
      </c>
      <c r="P527" s="13">
        <f t="shared" si="33"/>
        <v>28.063492063492063</v>
      </c>
      <c r="Q527" t="str" cm="1">
        <f t="array" ref="Q527:R527">_xlfn.TEXTSPLIT(N527,"/",,FALSE,,#N/A)</f>
        <v>technology</v>
      </c>
      <c r="R527" t="str">
        <v>wearables</v>
      </c>
      <c r="U527" s="6">
        <f t="shared" si="34"/>
        <v>40505.25</v>
      </c>
      <c r="V527" s="6">
        <f t="shared" si="35"/>
        <v>40509.25</v>
      </c>
    </row>
    <row r="528" spans="1:22" ht="33.75" x14ac:dyDescent="0.4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12">
        <f t="shared" si="32"/>
        <v>1.5595180722891566</v>
      </c>
      <c r="P528" s="13">
        <f t="shared" si="33"/>
        <v>88.054421768707485</v>
      </c>
      <c r="Q528" t="str" cm="1">
        <f t="array" ref="Q528:R528">_xlfn.TEXTSPLIT(N528,"/",,FALSE,,#N/A)</f>
        <v>theater</v>
      </c>
      <c r="R528" t="str">
        <v>plays</v>
      </c>
      <c r="U528" s="6">
        <f t="shared" si="34"/>
        <v>42364.25</v>
      </c>
      <c r="V528" s="6">
        <f t="shared" si="35"/>
        <v>42401.25</v>
      </c>
    </row>
    <row r="529" spans="1:22" ht="19.5" x14ac:dyDescent="0.4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12">
        <f t="shared" si="32"/>
        <v>0.99619450317124736</v>
      </c>
      <c r="P529" s="13">
        <f t="shared" si="33"/>
        <v>31</v>
      </c>
      <c r="Q529" t="str" cm="1">
        <f t="array" ref="Q529:R529">_xlfn.TEXTSPLIT(N529,"/",,FALSE,,#N/A)</f>
        <v>film &amp; video</v>
      </c>
      <c r="R529" t="str">
        <v>animation</v>
      </c>
      <c r="U529" s="6">
        <f t="shared" si="34"/>
        <v>42405.25</v>
      </c>
      <c r="V529" s="6">
        <f t="shared" si="35"/>
        <v>42441.25</v>
      </c>
    </row>
    <row r="530" spans="1:22" ht="19.5" x14ac:dyDescent="0.4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12">
        <f t="shared" si="32"/>
        <v>0.80300000000000005</v>
      </c>
      <c r="P530" s="13">
        <f t="shared" si="33"/>
        <v>90.337500000000006</v>
      </c>
      <c r="Q530" t="str" cm="1">
        <f t="array" ref="Q530:R530">_xlfn.TEXTSPLIT(N530,"/",,FALSE,,#N/A)</f>
        <v>music</v>
      </c>
      <c r="R530" t="str">
        <v>indie rock</v>
      </c>
      <c r="U530" s="6">
        <f t="shared" si="34"/>
        <v>41601.25</v>
      </c>
      <c r="V530" s="6">
        <f t="shared" si="35"/>
        <v>41646.25</v>
      </c>
    </row>
    <row r="531" spans="1:22" ht="19.5" x14ac:dyDescent="0.4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12">
        <f t="shared" si="32"/>
        <v>0.11254901960784314</v>
      </c>
      <c r="P531" s="13">
        <f t="shared" si="33"/>
        <v>63.777777777777779</v>
      </c>
      <c r="Q531" t="str" cm="1">
        <f t="array" ref="Q531:R531">_xlfn.TEXTSPLIT(N531,"/",,FALSE,,#N/A)</f>
        <v>games</v>
      </c>
      <c r="R531" t="str">
        <v>video games</v>
      </c>
      <c r="U531" s="6">
        <f t="shared" si="34"/>
        <v>41769.208333333336</v>
      </c>
      <c r="V531" s="6">
        <f t="shared" si="35"/>
        <v>41797.208333333336</v>
      </c>
    </row>
    <row r="532" spans="1:22" ht="19.5" x14ac:dyDescent="0.4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12">
        <f t="shared" si="32"/>
        <v>0.91740952380952379</v>
      </c>
      <c r="P532" s="13">
        <f t="shared" si="33"/>
        <v>53.995515695067262</v>
      </c>
      <c r="Q532" t="str" cm="1">
        <f t="array" ref="Q532:R532">_xlfn.TEXTSPLIT(N532,"/",,FALSE,,#N/A)</f>
        <v>publishing</v>
      </c>
      <c r="R532" t="str">
        <v>fiction</v>
      </c>
      <c r="U532" s="6">
        <f t="shared" si="34"/>
        <v>40421.208333333336</v>
      </c>
      <c r="V532" s="6">
        <f t="shared" si="35"/>
        <v>40435.208333333336</v>
      </c>
    </row>
    <row r="533" spans="1:22" ht="33.75" x14ac:dyDescent="0.4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12">
        <f t="shared" si="32"/>
        <v>0.95521156936261387</v>
      </c>
      <c r="P533" s="13">
        <f t="shared" si="33"/>
        <v>48.993956043956047</v>
      </c>
      <c r="Q533" t="str" cm="1">
        <f t="array" ref="Q533:R533">_xlfn.TEXTSPLIT(N533,"/",,FALSE,,#N/A)</f>
        <v>games</v>
      </c>
      <c r="R533" t="str">
        <v>video games</v>
      </c>
      <c r="U533" s="6">
        <f t="shared" si="34"/>
        <v>41589.25</v>
      </c>
      <c r="V533" s="6">
        <f t="shared" si="35"/>
        <v>41645.25</v>
      </c>
    </row>
    <row r="534" spans="1:22" ht="19.5" x14ac:dyDescent="0.4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12">
        <f t="shared" si="32"/>
        <v>5.0287499999999996</v>
      </c>
      <c r="P534" s="13">
        <f t="shared" si="33"/>
        <v>63.857142857142854</v>
      </c>
      <c r="Q534" t="str" cm="1">
        <f t="array" ref="Q534:R534">_xlfn.TEXTSPLIT(N534,"/",,FALSE,,#N/A)</f>
        <v>theater</v>
      </c>
      <c r="R534" t="str">
        <v>plays</v>
      </c>
      <c r="U534" s="6">
        <f t="shared" si="34"/>
        <v>43125.25</v>
      </c>
      <c r="V534" s="6">
        <f t="shared" si="35"/>
        <v>43126.25</v>
      </c>
    </row>
    <row r="535" spans="1:22" ht="19.5" x14ac:dyDescent="0.4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12">
        <f t="shared" si="32"/>
        <v>1.5924394463667819</v>
      </c>
      <c r="P535" s="13">
        <f t="shared" si="33"/>
        <v>82.996393146979258</v>
      </c>
      <c r="Q535" t="str" cm="1">
        <f t="array" ref="Q535:R535">_xlfn.TEXTSPLIT(N535,"/",,FALSE,,#N/A)</f>
        <v>music</v>
      </c>
      <c r="R535" t="str">
        <v>indie rock</v>
      </c>
      <c r="U535" s="6">
        <f t="shared" si="34"/>
        <v>41479.208333333336</v>
      </c>
      <c r="V535" s="6">
        <f t="shared" si="35"/>
        <v>41515.208333333336</v>
      </c>
    </row>
    <row r="536" spans="1:22" ht="19.5" x14ac:dyDescent="0.4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12">
        <f t="shared" si="32"/>
        <v>0.15022446689113356</v>
      </c>
      <c r="P536" s="13">
        <f t="shared" si="33"/>
        <v>55.08230452674897</v>
      </c>
      <c r="Q536" t="str" cm="1">
        <f t="array" ref="Q536:R536">_xlfn.TEXTSPLIT(N536,"/",,FALSE,,#N/A)</f>
        <v>film &amp; video</v>
      </c>
      <c r="R536" t="str">
        <v>drama</v>
      </c>
      <c r="U536" s="6">
        <f t="shared" si="34"/>
        <v>43329.208333333328</v>
      </c>
      <c r="V536" s="6">
        <f t="shared" si="35"/>
        <v>43330.208333333328</v>
      </c>
    </row>
    <row r="537" spans="1:22" ht="19.5" x14ac:dyDescent="0.4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12">
        <f t="shared" si="32"/>
        <v>4.820384615384615</v>
      </c>
      <c r="P537" s="13">
        <f t="shared" si="33"/>
        <v>62.044554455445542</v>
      </c>
      <c r="Q537" t="str" cm="1">
        <f t="array" ref="Q537:R537">_xlfn.TEXTSPLIT(N537,"/",,FALSE,,#N/A)</f>
        <v>theater</v>
      </c>
      <c r="R537" t="str">
        <v>plays</v>
      </c>
      <c r="U537" s="6">
        <f t="shared" si="34"/>
        <v>43259.208333333328</v>
      </c>
      <c r="V537" s="6">
        <f t="shared" si="35"/>
        <v>43261.208333333328</v>
      </c>
    </row>
    <row r="538" spans="1:22" ht="19.5" x14ac:dyDescent="0.4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12">
        <f t="shared" si="32"/>
        <v>1.4996938775510205</v>
      </c>
      <c r="P538" s="13">
        <f t="shared" si="33"/>
        <v>104.97857142857143</v>
      </c>
      <c r="Q538" t="str" cm="1">
        <f t="array" ref="Q538:R538">_xlfn.TEXTSPLIT(N538,"/",,FALSE,,#N/A)</f>
        <v>publishing</v>
      </c>
      <c r="R538" t="str">
        <v>fiction</v>
      </c>
      <c r="U538" s="6">
        <f t="shared" si="34"/>
        <v>40414.208333333336</v>
      </c>
      <c r="V538" s="6">
        <f t="shared" si="35"/>
        <v>40440.208333333336</v>
      </c>
    </row>
    <row r="539" spans="1:22" ht="19.5" x14ac:dyDescent="0.4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12">
        <f t="shared" si="32"/>
        <v>1.1722156398104266</v>
      </c>
      <c r="P539" s="13">
        <f t="shared" si="33"/>
        <v>94.044676806083643</v>
      </c>
      <c r="Q539" t="str" cm="1">
        <f t="array" ref="Q539:R539">_xlfn.TEXTSPLIT(N539,"/",,FALSE,,#N/A)</f>
        <v>film &amp; video</v>
      </c>
      <c r="R539" t="str">
        <v>documentary</v>
      </c>
      <c r="U539" s="6">
        <f t="shared" si="34"/>
        <v>43342.208333333328</v>
      </c>
      <c r="V539" s="6">
        <f t="shared" si="35"/>
        <v>43365.208333333328</v>
      </c>
    </row>
    <row r="540" spans="1:22" ht="19.5" x14ac:dyDescent="0.4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12">
        <f t="shared" si="32"/>
        <v>0.37695968274950431</v>
      </c>
      <c r="P540" s="13">
        <f t="shared" si="33"/>
        <v>44.007716049382715</v>
      </c>
      <c r="Q540" t="str" cm="1">
        <f t="array" ref="Q540:R540">_xlfn.TEXTSPLIT(N540,"/",,FALSE,,#N/A)</f>
        <v>games</v>
      </c>
      <c r="R540" t="str">
        <v>mobile games</v>
      </c>
      <c r="U540" s="6">
        <f t="shared" si="34"/>
        <v>41539.208333333336</v>
      </c>
      <c r="V540" s="6">
        <f t="shared" si="35"/>
        <v>41555.208333333336</v>
      </c>
    </row>
    <row r="541" spans="1:22" ht="19.5" x14ac:dyDescent="0.4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12">
        <f t="shared" si="32"/>
        <v>0.72653061224489801</v>
      </c>
      <c r="P541" s="13">
        <f t="shared" si="33"/>
        <v>92.467532467532465</v>
      </c>
      <c r="Q541" t="str" cm="1">
        <f t="array" ref="Q541:R541">_xlfn.TEXTSPLIT(N541,"/",,FALSE,,#N/A)</f>
        <v>food</v>
      </c>
      <c r="R541" t="str">
        <v>food trucks</v>
      </c>
      <c r="U541" s="6">
        <f t="shared" si="34"/>
        <v>43647.208333333328</v>
      </c>
      <c r="V541" s="6">
        <f t="shared" si="35"/>
        <v>43653.208333333328</v>
      </c>
    </row>
    <row r="542" spans="1:22" ht="19.5" x14ac:dyDescent="0.4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12">
        <f t="shared" si="32"/>
        <v>2.6598113207547169</v>
      </c>
      <c r="P542" s="13">
        <f t="shared" si="33"/>
        <v>57.072874493927124</v>
      </c>
      <c r="Q542" t="str" cm="1">
        <f t="array" ref="Q542:R542">_xlfn.TEXTSPLIT(N542,"/",,FALSE,,#N/A)</f>
        <v>photography</v>
      </c>
      <c r="R542" t="str">
        <v>photography books</v>
      </c>
      <c r="U542" s="6">
        <f t="shared" si="34"/>
        <v>43225.208333333328</v>
      </c>
      <c r="V542" s="6">
        <f t="shared" si="35"/>
        <v>43247.208333333328</v>
      </c>
    </row>
    <row r="543" spans="1:22" ht="19.5" x14ac:dyDescent="0.4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12">
        <f t="shared" si="32"/>
        <v>0.24205617977528091</v>
      </c>
      <c r="P543" s="13">
        <f t="shared" si="33"/>
        <v>109.07848101265823</v>
      </c>
      <c r="Q543" t="str" cm="1">
        <f t="array" ref="Q543:R543">_xlfn.TEXTSPLIT(N543,"/",,FALSE,,#N/A)</f>
        <v>games</v>
      </c>
      <c r="R543" t="str">
        <v>mobile games</v>
      </c>
      <c r="U543" s="6">
        <f t="shared" si="34"/>
        <v>42165.208333333328</v>
      </c>
      <c r="V543" s="6">
        <f t="shared" si="35"/>
        <v>42191.208333333328</v>
      </c>
    </row>
    <row r="544" spans="1:22" ht="19.5" x14ac:dyDescent="0.4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12">
        <f t="shared" si="32"/>
        <v>2.5064935064935064E-2</v>
      </c>
      <c r="P544" s="13">
        <f t="shared" si="33"/>
        <v>39.387755102040813</v>
      </c>
      <c r="Q544" t="str" cm="1">
        <f t="array" ref="Q544:R544">_xlfn.TEXTSPLIT(N544,"/",,FALSE,,#N/A)</f>
        <v>music</v>
      </c>
      <c r="R544" t="str">
        <v>indie rock</v>
      </c>
      <c r="U544" s="6">
        <f t="shared" si="34"/>
        <v>42391.25</v>
      </c>
      <c r="V544" s="6">
        <f t="shared" si="35"/>
        <v>42421.25</v>
      </c>
    </row>
    <row r="545" spans="1:22" ht="19.5" x14ac:dyDescent="0.4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12">
        <f t="shared" si="32"/>
        <v>0.1632979976442874</v>
      </c>
      <c r="P545" s="13">
        <f t="shared" si="33"/>
        <v>77.022222222222226</v>
      </c>
      <c r="Q545" t="str" cm="1">
        <f t="array" ref="Q545:R545">_xlfn.TEXTSPLIT(N545,"/",,FALSE,,#N/A)</f>
        <v>games</v>
      </c>
      <c r="R545" t="str">
        <v>video games</v>
      </c>
      <c r="U545" s="6">
        <f t="shared" si="34"/>
        <v>41528.208333333336</v>
      </c>
      <c r="V545" s="6">
        <f t="shared" si="35"/>
        <v>41543.208333333336</v>
      </c>
    </row>
    <row r="546" spans="1:22" ht="33.75" x14ac:dyDescent="0.4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12">
        <f t="shared" si="32"/>
        <v>2.7650000000000001</v>
      </c>
      <c r="P546" s="13">
        <f t="shared" si="33"/>
        <v>92.166666666666671</v>
      </c>
      <c r="Q546" t="str" cm="1">
        <f t="array" ref="Q546:R546">_xlfn.TEXTSPLIT(N546,"/",,FALSE,,#N/A)</f>
        <v>music</v>
      </c>
      <c r="R546" t="str">
        <v>rock</v>
      </c>
      <c r="U546" s="6">
        <f t="shared" si="34"/>
        <v>42377.25</v>
      </c>
      <c r="V546" s="6">
        <f t="shared" si="35"/>
        <v>42390.25</v>
      </c>
    </row>
    <row r="547" spans="1:22" ht="19.5" x14ac:dyDescent="0.4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12">
        <f t="shared" si="32"/>
        <v>0.88803571428571426</v>
      </c>
      <c r="P547" s="13">
        <f t="shared" si="33"/>
        <v>61.007063197026021</v>
      </c>
      <c r="Q547" t="str" cm="1">
        <f t="array" ref="Q547:R547">_xlfn.TEXTSPLIT(N547,"/",,FALSE,,#N/A)</f>
        <v>theater</v>
      </c>
      <c r="R547" t="str">
        <v>plays</v>
      </c>
      <c r="U547" s="6">
        <f t="shared" si="34"/>
        <v>43824.25</v>
      </c>
      <c r="V547" s="6">
        <f t="shared" si="35"/>
        <v>43844.25</v>
      </c>
    </row>
    <row r="548" spans="1:22" ht="19.5" x14ac:dyDescent="0.4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12">
        <f t="shared" si="32"/>
        <v>1.6357142857142857</v>
      </c>
      <c r="P548" s="13">
        <f t="shared" si="33"/>
        <v>78.068181818181813</v>
      </c>
      <c r="Q548" t="str" cm="1">
        <f t="array" ref="Q548:R548">_xlfn.TEXTSPLIT(N548,"/",,FALSE,,#N/A)</f>
        <v>theater</v>
      </c>
      <c r="R548" t="str">
        <v>plays</v>
      </c>
      <c r="U548" s="6">
        <f t="shared" si="34"/>
        <v>43360.208333333328</v>
      </c>
      <c r="V548" s="6">
        <f t="shared" si="35"/>
        <v>43363.208333333328</v>
      </c>
    </row>
    <row r="549" spans="1:22" ht="19.5" x14ac:dyDescent="0.4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12">
        <f t="shared" si="32"/>
        <v>9.69</v>
      </c>
      <c r="P549" s="13">
        <f t="shared" si="33"/>
        <v>80.75</v>
      </c>
      <c r="Q549" t="str" cm="1">
        <f t="array" ref="Q549:R549">_xlfn.TEXTSPLIT(N549,"/",,FALSE,,#N/A)</f>
        <v>film &amp; video</v>
      </c>
      <c r="R549" t="str">
        <v>drama</v>
      </c>
      <c r="U549" s="6">
        <f t="shared" si="34"/>
        <v>42029.25</v>
      </c>
      <c r="V549" s="6">
        <f t="shared" si="35"/>
        <v>42041.25</v>
      </c>
    </row>
    <row r="550" spans="1:22" ht="19.5" x14ac:dyDescent="0.4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12">
        <f t="shared" si="32"/>
        <v>2.7091376701966716</v>
      </c>
      <c r="P550" s="13">
        <f t="shared" si="33"/>
        <v>59.991289782244557</v>
      </c>
      <c r="Q550" t="str" cm="1">
        <f t="array" ref="Q550:R550">_xlfn.TEXTSPLIT(N550,"/",,FALSE,,#N/A)</f>
        <v>theater</v>
      </c>
      <c r="R550" t="str">
        <v>plays</v>
      </c>
      <c r="U550" s="6">
        <f t="shared" si="34"/>
        <v>42461.208333333328</v>
      </c>
      <c r="V550" s="6">
        <f t="shared" si="35"/>
        <v>42474.208333333328</v>
      </c>
    </row>
    <row r="551" spans="1:22" ht="33.75" x14ac:dyDescent="0.4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12">
        <f t="shared" si="32"/>
        <v>2.8421355932203389</v>
      </c>
      <c r="P551" s="13">
        <f t="shared" si="33"/>
        <v>110.03018372703411</v>
      </c>
      <c r="Q551" t="str" cm="1">
        <f t="array" ref="Q551:R551">_xlfn.TEXTSPLIT(N551,"/",,FALSE,,#N/A)</f>
        <v>technology</v>
      </c>
      <c r="R551" t="str">
        <v>wearables</v>
      </c>
      <c r="U551" s="6">
        <f t="shared" si="34"/>
        <v>41422.208333333336</v>
      </c>
      <c r="V551" s="6">
        <f t="shared" si="35"/>
        <v>41431.208333333336</v>
      </c>
    </row>
    <row r="552" spans="1:22" ht="33.75" x14ac:dyDescent="0.4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12">
        <f t="shared" si="32"/>
        <v>0.04</v>
      </c>
      <c r="P552" s="13">
        <f t="shared" si="33"/>
        <v>4</v>
      </c>
      <c r="Q552" t="str" cm="1">
        <f t="array" ref="Q552:R552">_xlfn.TEXTSPLIT(N552,"/",,FALSE,,#N/A)</f>
        <v>music</v>
      </c>
      <c r="R552" t="str">
        <v>indie rock</v>
      </c>
      <c r="U552" s="6">
        <f t="shared" si="34"/>
        <v>40968.25</v>
      </c>
      <c r="V552" s="6">
        <f t="shared" si="35"/>
        <v>40989.208333333336</v>
      </c>
    </row>
    <row r="553" spans="1:22" ht="19.5" x14ac:dyDescent="0.4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12">
        <f t="shared" si="32"/>
        <v>0.58632981676846196</v>
      </c>
      <c r="P553" s="13">
        <f t="shared" si="33"/>
        <v>37.99856063332134</v>
      </c>
      <c r="Q553" t="str" cm="1">
        <f t="array" ref="Q553:R553">_xlfn.TEXTSPLIT(N553,"/",,FALSE,,#N/A)</f>
        <v>technology</v>
      </c>
      <c r="R553" t="str">
        <v>web</v>
      </c>
      <c r="U553" s="6">
        <f t="shared" si="34"/>
        <v>41993.25</v>
      </c>
      <c r="V553" s="6">
        <f t="shared" si="35"/>
        <v>42033.25</v>
      </c>
    </row>
    <row r="554" spans="1:22" ht="19.5" x14ac:dyDescent="0.4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12">
        <f t="shared" si="32"/>
        <v>0.98511111111111116</v>
      </c>
      <c r="P554" s="13">
        <f t="shared" si="33"/>
        <v>96.369565217391298</v>
      </c>
      <c r="Q554" t="str" cm="1">
        <f t="array" ref="Q554:R554">_xlfn.TEXTSPLIT(N554,"/",,FALSE,,#N/A)</f>
        <v>theater</v>
      </c>
      <c r="R554" t="str">
        <v>plays</v>
      </c>
      <c r="U554" s="6">
        <f t="shared" si="34"/>
        <v>42700.25</v>
      </c>
      <c r="V554" s="6">
        <f t="shared" si="35"/>
        <v>42702.25</v>
      </c>
    </row>
    <row r="555" spans="1:22" ht="33.75" x14ac:dyDescent="0.4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12">
        <f t="shared" si="32"/>
        <v>0.43975381008206332</v>
      </c>
      <c r="P555" s="13">
        <f t="shared" si="33"/>
        <v>72.978599221789878</v>
      </c>
      <c r="Q555" t="str" cm="1">
        <f t="array" ref="Q555:R555">_xlfn.TEXTSPLIT(N555,"/",,FALSE,,#N/A)</f>
        <v>music</v>
      </c>
      <c r="R555" t="str">
        <v>rock</v>
      </c>
      <c r="U555" s="6">
        <f t="shared" si="34"/>
        <v>40545.25</v>
      </c>
      <c r="V555" s="6">
        <f t="shared" si="35"/>
        <v>40546.25</v>
      </c>
    </row>
    <row r="556" spans="1:22" ht="33.75" x14ac:dyDescent="0.4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12">
        <f t="shared" si="32"/>
        <v>1.5166315789473683</v>
      </c>
      <c r="P556" s="13">
        <f t="shared" si="33"/>
        <v>26.007220216606498</v>
      </c>
      <c r="Q556" t="str" cm="1">
        <f t="array" ref="Q556:R556">_xlfn.TEXTSPLIT(N556,"/",,FALSE,,#N/A)</f>
        <v>music</v>
      </c>
      <c r="R556" t="str">
        <v>indie rock</v>
      </c>
      <c r="U556" s="6">
        <f t="shared" si="34"/>
        <v>42723.25</v>
      </c>
      <c r="V556" s="6">
        <f t="shared" si="35"/>
        <v>42729.25</v>
      </c>
    </row>
    <row r="557" spans="1:22" ht="19.5" x14ac:dyDescent="0.4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12">
        <f t="shared" si="32"/>
        <v>2.2363492063492063</v>
      </c>
      <c r="P557" s="13">
        <f t="shared" si="33"/>
        <v>104.36296296296297</v>
      </c>
      <c r="Q557" t="str" cm="1">
        <f t="array" ref="Q557:R557">_xlfn.TEXTSPLIT(N557,"/",,FALSE,,#N/A)</f>
        <v>music</v>
      </c>
      <c r="R557" t="str">
        <v>rock</v>
      </c>
      <c r="U557" s="6">
        <f t="shared" si="34"/>
        <v>41731.208333333336</v>
      </c>
      <c r="V557" s="6">
        <f t="shared" si="35"/>
        <v>41762.208333333336</v>
      </c>
    </row>
    <row r="558" spans="1:22" ht="19.5" x14ac:dyDescent="0.4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12">
        <f t="shared" si="32"/>
        <v>2.3975</v>
      </c>
      <c r="P558" s="13">
        <f t="shared" si="33"/>
        <v>102.18852459016394</v>
      </c>
      <c r="Q558" t="str" cm="1">
        <f t="array" ref="Q558:R558">_xlfn.TEXTSPLIT(N558,"/",,FALSE,,#N/A)</f>
        <v>publishing</v>
      </c>
      <c r="R558" t="str">
        <v>translations</v>
      </c>
      <c r="U558" s="6">
        <f t="shared" si="34"/>
        <v>40792.208333333336</v>
      </c>
      <c r="V558" s="6">
        <f t="shared" si="35"/>
        <v>40799.208333333336</v>
      </c>
    </row>
    <row r="559" spans="1:22" ht="19.5" x14ac:dyDescent="0.4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12">
        <f t="shared" si="32"/>
        <v>1.9933333333333334</v>
      </c>
      <c r="P559" s="13">
        <f t="shared" si="33"/>
        <v>54.117647058823529</v>
      </c>
      <c r="Q559" t="str" cm="1">
        <f t="array" ref="Q559:R559">_xlfn.TEXTSPLIT(N559,"/",,FALSE,,#N/A)</f>
        <v>film &amp; video</v>
      </c>
      <c r="R559" t="str">
        <v>science fiction</v>
      </c>
      <c r="U559" s="6">
        <f t="shared" si="34"/>
        <v>42279.208333333328</v>
      </c>
      <c r="V559" s="6">
        <f t="shared" si="35"/>
        <v>42282.208333333328</v>
      </c>
    </row>
    <row r="560" spans="1:22" ht="19.5" x14ac:dyDescent="0.4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12">
        <f t="shared" si="32"/>
        <v>1.373448275862069</v>
      </c>
      <c r="P560" s="13">
        <f t="shared" si="33"/>
        <v>63.222222222222221</v>
      </c>
      <c r="Q560" t="str" cm="1">
        <f t="array" ref="Q560:R560">_xlfn.TEXTSPLIT(N560,"/",,FALSE,,#N/A)</f>
        <v>theater</v>
      </c>
      <c r="R560" t="str">
        <v>plays</v>
      </c>
      <c r="U560" s="6">
        <f t="shared" si="34"/>
        <v>42424.25</v>
      </c>
      <c r="V560" s="6">
        <f t="shared" si="35"/>
        <v>42467.208333333328</v>
      </c>
    </row>
    <row r="561" spans="1:22" ht="19.5" x14ac:dyDescent="0.4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12">
        <f t="shared" si="32"/>
        <v>1.009696106362773</v>
      </c>
      <c r="P561" s="13">
        <f t="shared" si="33"/>
        <v>104.03228962818004</v>
      </c>
      <c r="Q561" t="str" cm="1">
        <f t="array" ref="Q561:R561">_xlfn.TEXTSPLIT(N561,"/",,FALSE,,#N/A)</f>
        <v>theater</v>
      </c>
      <c r="R561" t="str">
        <v>plays</v>
      </c>
      <c r="U561" s="6">
        <f t="shared" si="34"/>
        <v>42584.208333333328</v>
      </c>
      <c r="V561" s="6">
        <f t="shared" si="35"/>
        <v>42591.208333333328</v>
      </c>
    </row>
    <row r="562" spans="1:22" ht="19.5" x14ac:dyDescent="0.4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12">
        <f t="shared" si="32"/>
        <v>7.9416000000000002</v>
      </c>
      <c r="P562" s="13">
        <f t="shared" si="33"/>
        <v>49.994334277620396</v>
      </c>
      <c r="Q562" t="str" cm="1">
        <f t="array" ref="Q562:R562">_xlfn.TEXTSPLIT(N562,"/",,FALSE,,#N/A)</f>
        <v>film &amp; video</v>
      </c>
      <c r="R562" t="str">
        <v>animation</v>
      </c>
      <c r="U562" s="6">
        <f t="shared" si="34"/>
        <v>40865.25</v>
      </c>
      <c r="V562" s="6">
        <f t="shared" si="35"/>
        <v>40905.25</v>
      </c>
    </row>
    <row r="563" spans="1:22" ht="19.5" x14ac:dyDescent="0.4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12">
        <f t="shared" si="32"/>
        <v>3.6970000000000001</v>
      </c>
      <c r="P563" s="13">
        <f t="shared" si="33"/>
        <v>56.015151515151516</v>
      </c>
      <c r="Q563" t="str" cm="1">
        <f t="array" ref="Q563:R563">_xlfn.TEXTSPLIT(N563,"/",,FALSE,,#N/A)</f>
        <v>theater</v>
      </c>
      <c r="R563" t="str">
        <v>plays</v>
      </c>
      <c r="U563" s="6">
        <f t="shared" si="34"/>
        <v>40833.208333333336</v>
      </c>
      <c r="V563" s="6">
        <f t="shared" si="35"/>
        <v>40835.208333333336</v>
      </c>
    </row>
    <row r="564" spans="1:22" ht="33.75" x14ac:dyDescent="0.4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12">
        <f t="shared" si="32"/>
        <v>0.12818181818181817</v>
      </c>
      <c r="P564" s="13">
        <f t="shared" si="33"/>
        <v>48.807692307692307</v>
      </c>
      <c r="Q564" t="str" cm="1">
        <f t="array" ref="Q564:R564">_xlfn.TEXTSPLIT(N564,"/",,FALSE,,#N/A)</f>
        <v>music</v>
      </c>
      <c r="R564" t="str">
        <v>rock</v>
      </c>
      <c r="U564" s="6">
        <f t="shared" si="34"/>
        <v>43536.208333333328</v>
      </c>
      <c r="V564" s="6">
        <f t="shared" si="35"/>
        <v>43538.208333333328</v>
      </c>
    </row>
    <row r="565" spans="1:22" ht="19.5" x14ac:dyDescent="0.4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12">
        <f t="shared" si="32"/>
        <v>1.3802702702702703</v>
      </c>
      <c r="P565" s="13">
        <f t="shared" si="33"/>
        <v>60.082352941176474</v>
      </c>
      <c r="Q565" t="str" cm="1">
        <f t="array" ref="Q565:R565">_xlfn.TEXTSPLIT(N565,"/",,FALSE,,#N/A)</f>
        <v>film &amp; video</v>
      </c>
      <c r="R565" t="str">
        <v>documentary</v>
      </c>
      <c r="U565" s="6">
        <f t="shared" si="34"/>
        <v>43417.25</v>
      </c>
      <c r="V565" s="6">
        <f t="shared" si="35"/>
        <v>43437.25</v>
      </c>
    </row>
    <row r="566" spans="1:22" ht="19.5" x14ac:dyDescent="0.4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12">
        <f t="shared" si="32"/>
        <v>0.83813278008298753</v>
      </c>
      <c r="P566" s="13">
        <f t="shared" si="33"/>
        <v>78.990502793296088</v>
      </c>
      <c r="Q566" t="str" cm="1">
        <f t="array" ref="Q566:R566">_xlfn.TEXTSPLIT(N566,"/",,FALSE,,#N/A)</f>
        <v>theater</v>
      </c>
      <c r="R566" t="str">
        <v>plays</v>
      </c>
      <c r="U566" s="6">
        <f t="shared" si="34"/>
        <v>42078.208333333328</v>
      </c>
      <c r="V566" s="6">
        <f t="shared" si="35"/>
        <v>42086.208333333328</v>
      </c>
    </row>
    <row r="567" spans="1:22" ht="19.5" x14ac:dyDescent="0.4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12">
        <f t="shared" si="32"/>
        <v>2.0460063224446787</v>
      </c>
      <c r="P567" s="13">
        <f t="shared" si="33"/>
        <v>53.99499443826474</v>
      </c>
      <c r="Q567" t="str" cm="1">
        <f t="array" ref="Q567:R567">_xlfn.TEXTSPLIT(N567,"/",,FALSE,,#N/A)</f>
        <v>theater</v>
      </c>
      <c r="R567" t="str">
        <v>plays</v>
      </c>
      <c r="U567" s="6">
        <f t="shared" si="34"/>
        <v>40862.25</v>
      </c>
      <c r="V567" s="6">
        <f t="shared" si="35"/>
        <v>40882.25</v>
      </c>
    </row>
    <row r="568" spans="1:22" ht="19.5" x14ac:dyDescent="0.4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12">
        <f t="shared" si="32"/>
        <v>0.44344086021505374</v>
      </c>
      <c r="P568" s="13">
        <f t="shared" si="33"/>
        <v>111.45945945945945</v>
      </c>
      <c r="Q568" t="str" cm="1">
        <f t="array" ref="Q568:R568">_xlfn.TEXTSPLIT(N568,"/",,FALSE,,#N/A)</f>
        <v>music</v>
      </c>
      <c r="R568" t="str">
        <v>electric music</v>
      </c>
      <c r="U568" s="6">
        <f t="shared" si="34"/>
        <v>42424.25</v>
      </c>
      <c r="V568" s="6">
        <f t="shared" si="35"/>
        <v>42447.208333333328</v>
      </c>
    </row>
    <row r="569" spans="1:22" ht="33.75" x14ac:dyDescent="0.4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12">
        <f t="shared" si="32"/>
        <v>2.1860294117647059</v>
      </c>
      <c r="P569" s="13">
        <f t="shared" si="33"/>
        <v>60.922131147540981</v>
      </c>
      <c r="Q569" t="str" cm="1">
        <f t="array" ref="Q569:R569">_xlfn.TEXTSPLIT(N569,"/",,FALSE,,#N/A)</f>
        <v>music</v>
      </c>
      <c r="R569" t="str">
        <v>rock</v>
      </c>
      <c r="U569" s="6">
        <f t="shared" si="34"/>
        <v>41830.208333333336</v>
      </c>
      <c r="V569" s="6">
        <f t="shared" si="35"/>
        <v>41832.208333333336</v>
      </c>
    </row>
    <row r="570" spans="1:22" ht="19.5" x14ac:dyDescent="0.4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12">
        <f t="shared" si="32"/>
        <v>1.8603314917127072</v>
      </c>
      <c r="P570" s="13">
        <f t="shared" si="33"/>
        <v>26.0015444015444</v>
      </c>
      <c r="Q570" t="str" cm="1">
        <f t="array" ref="Q570:R570">_xlfn.TEXTSPLIT(N570,"/",,FALSE,,#N/A)</f>
        <v>theater</v>
      </c>
      <c r="R570" t="str">
        <v>plays</v>
      </c>
      <c r="U570" s="6">
        <f t="shared" si="34"/>
        <v>40374.208333333336</v>
      </c>
      <c r="V570" s="6">
        <f t="shared" si="35"/>
        <v>40419.208333333336</v>
      </c>
    </row>
    <row r="571" spans="1:22" ht="19.5" x14ac:dyDescent="0.4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12">
        <f t="shared" si="32"/>
        <v>2.3733830845771142</v>
      </c>
      <c r="P571" s="13">
        <f t="shared" si="33"/>
        <v>80.993208828522924</v>
      </c>
      <c r="Q571" t="str" cm="1">
        <f t="array" ref="Q571:R571">_xlfn.TEXTSPLIT(N571,"/",,FALSE,,#N/A)</f>
        <v>film &amp; video</v>
      </c>
      <c r="R571" t="str">
        <v>animation</v>
      </c>
      <c r="U571" s="6">
        <f t="shared" si="34"/>
        <v>40554.25</v>
      </c>
      <c r="V571" s="6">
        <f t="shared" si="35"/>
        <v>40566.25</v>
      </c>
    </row>
    <row r="572" spans="1:22" ht="19.5" x14ac:dyDescent="0.4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12">
        <f t="shared" si="32"/>
        <v>3.0565384615384614</v>
      </c>
      <c r="P572" s="13">
        <f t="shared" si="33"/>
        <v>34.995963302752294</v>
      </c>
      <c r="Q572" t="str" cm="1">
        <f t="array" ref="Q572:R572">_xlfn.TEXTSPLIT(N572,"/",,FALSE,,#N/A)</f>
        <v>music</v>
      </c>
      <c r="R572" t="str">
        <v>rock</v>
      </c>
      <c r="U572" s="6">
        <f t="shared" si="34"/>
        <v>41993.25</v>
      </c>
      <c r="V572" s="6">
        <f t="shared" si="35"/>
        <v>41999.25</v>
      </c>
    </row>
    <row r="573" spans="1:22" ht="19.5" x14ac:dyDescent="0.4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12">
        <f t="shared" si="32"/>
        <v>0.94142857142857139</v>
      </c>
      <c r="P573" s="13">
        <f t="shared" si="33"/>
        <v>94.142857142857139</v>
      </c>
      <c r="Q573" t="str" cm="1">
        <f t="array" ref="Q573:R573">_xlfn.TEXTSPLIT(N573,"/",,FALSE,,#N/A)</f>
        <v>film &amp; video</v>
      </c>
      <c r="R573" t="str">
        <v>shorts</v>
      </c>
      <c r="U573" s="6">
        <f t="shared" si="34"/>
        <v>42174.208333333328</v>
      </c>
      <c r="V573" s="6">
        <f t="shared" si="35"/>
        <v>42221.208333333328</v>
      </c>
    </row>
    <row r="574" spans="1:22" ht="19.5" x14ac:dyDescent="0.4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12">
        <f t="shared" si="32"/>
        <v>0.54400000000000004</v>
      </c>
      <c r="P574" s="13">
        <f t="shared" si="33"/>
        <v>52.085106382978722</v>
      </c>
      <c r="Q574" t="str" cm="1">
        <f t="array" ref="Q574:R574">_xlfn.TEXTSPLIT(N574,"/",,FALSE,,#N/A)</f>
        <v>music</v>
      </c>
      <c r="R574" t="str">
        <v>rock</v>
      </c>
      <c r="U574" s="6">
        <f t="shared" si="34"/>
        <v>42275.208333333328</v>
      </c>
      <c r="V574" s="6">
        <f t="shared" si="35"/>
        <v>42291.208333333328</v>
      </c>
    </row>
    <row r="575" spans="1:22" ht="19.5" x14ac:dyDescent="0.4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12">
        <f t="shared" si="32"/>
        <v>1.1188059701492536</v>
      </c>
      <c r="P575" s="13">
        <f t="shared" si="33"/>
        <v>24.986666666666668</v>
      </c>
      <c r="Q575" t="str" cm="1">
        <f t="array" ref="Q575:R575">_xlfn.TEXTSPLIT(N575,"/",,FALSE,,#N/A)</f>
        <v>journalism</v>
      </c>
      <c r="R575" t="str">
        <v>audio</v>
      </c>
      <c r="U575" s="6">
        <f t="shared" si="34"/>
        <v>41761.208333333336</v>
      </c>
      <c r="V575" s="6">
        <f t="shared" si="35"/>
        <v>41763.208333333336</v>
      </c>
    </row>
    <row r="576" spans="1:22" ht="19.5" x14ac:dyDescent="0.4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12">
        <f t="shared" si="32"/>
        <v>3.6914814814814814</v>
      </c>
      <c r="P576" s="13">
        <f t="shared" si="33"/>
        <v>69.215277777777771</v>
      </c>
      <c r="Q576" t="str" cm="1">
        <f t="array" ref="Q576:R576">_xlfn.TEXTSPLIT(N576,"/",,FALSE,,#N/A)</f>
        <v>food</v>
      </c>
      <c r="R576" t="str">
        <v>food trucks</v>
      </c>
      <c r="U576" s="6">
        <f t="shared" si="34"/>
        <v>43806.25</v>
      </c>
      <c r="V576" s="6">
        <f t="shared" si="35"/>
        <v>43816.25</v>
      </c>
    </row>
    <row r="577" spans="1:22" ht="19.5" x14ac:dyDescent="0.4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12">
        <f t="shared" si="32"/>
        <v>0.62930372148859548</v>
      </c>
      <c r="P577" s="13">
        <f t="shared" si="33"/>
        <v>93.944444444444443</v>
      </c>
      <c r="Q577" t="str" cm="1">
        <f t="array" ref="Q577:R577">_xlfn.TEXTSPLIT(N577,"/",,FALSE,,#N/A)</f>
        <v>theater</v>
      </c>
      <c r="R577" t="str">
        <v>plays</v>
      </c>
      <c r="U577" s="6">
        <f t="shared" si="34"/>
        <v>41779.208333333336</v>
      </c>
      <c r="V577" s="6">
        <f t="shared" si="35"/>
        <v>41782.208333333336</v>
      </c>
    </row>
    <row r="578" spans="1:22" ht="33.75" x14ac:dyDescent="0.4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12">
        <f t="shared" si="32"/>
        <v>0.6492783505154639</v>
      </c>
      <c r="P578" s="13">
        <f t="shared" si="33"/>
        <v>98.40625</v>
      </c>
      <c r="Q578" t="str" cm="1">
        <f t="array" ref="Q578:R578">_xlfn.TEXTSPLIT(N578,"/",,FALSE,,#N/A)</f>
        <v>theater</v>
      </c>
      <c r="R578" t="str">
        <v>plays</v>
      </c>
      <c r="U578" s="6">
        <f t="shared" si="34"/>
        <v>43040.208333333328</v>
      </c>
      <c r="V578" s="6">
        <f t="shared" si="35"/>
        <v>43057.25</v>
      </c>
    </row>
    <row r="579" spans="1:22" ht="19.5" x14ac:dyDescent="0.4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12">
        <f t="shared" ref="O579:O642" si="36">E579/D579</f>
        <v>0.18853658536585366</v>
      </c>
      <c r="P579" s="13">
        <f t="shared" ref="P579:P642" si="37">E579/G579</f>
        <v>41.783783783783782</v>
      </c>
      <c r="Q579" t="str" cm="1">
        <f t="array" ref="Q579:R579">_xlfn.TEXTSPLIT(N579,"/",,FALSE,,#N/A)</f>
        <v>music</v>
      </c>
      <c r="R579" t="str">
        <v>jazz</v>
      </c>
      <c r="U579" s="6">
        <f t="shared" ref="U579:U642" si="38">(((J579/60)/60)/24)+DATE(1970,1,1)</f>
        <v>40613.25</v>
      </c>
      <c r="V579" s="6">
        <f t="shared" ref="V579:V642" si="39">(((K579/60)/60)/24)+DATE(1970,1,1)</f>
        <v>40639.208333333336</v>
      </c>
    </row>
    <row r="580" spans="1:22" ht="19.5" x14ac:dyDescent="0.4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12">
        <f t="shared" si="36"/>
        <v>0.1675440414507772</v>
      </c>
      <c r="P580" s="13">
        <f t="shared" si="37"/>
        <v>65.991836734693877</v>
      </c>
      <c r="Q580" t="str" cm="1">
        <f t="array" ref="Q580:R580">_xlfn.TEXTSPLIT(N580,"/",,FALSE,,#N/A)</f>
        <v>film &amp; video</v>
      </c>
      <c r="R580" t="str">
        <v>science fiction</v>
      </c>
      <c r="U580" s="6">
        <f t="shared" si="38"/>
        <v>40878.25</v>
      </c>
      <c r="V580" s="6">
        <f t="shared" si="39"/>
        <v>40881.25</v>
      </c>
    </row>
    <row r="581" spans="1:22" ht="19.5" x14ac:dyDescent="0.4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12">
        <f t="shared" si="36"/>
        <v>1.0111290322580646</v>
      </c>
      <c r="P581" s="13">
        <f t="shared" si="37"/>
        <v>72.05747126436782</v>
      </c>
      <c r="Q581" t="str" cm="1">
        <f t="array" ref="Q581:R581">_xlfn.TEXTSPLIT(N581,"/",,FALSE,,#N/A)</f>
        <v>music</v>
      </c>
      <c r="R581" t="str">
        <v>jazz</v>
      </c>
      <c r="U581" s="6">
        <f t="shared" si="38"/>
        <v>40762.208333333336</v>
      </c>
      <c r="V581" s="6">
        <f t="shared" si="39"/>
        <v>40774.208333333336</v>
      </c>
    </row>
    <row r="582" spans="1:22" ht="19.5" x14ac:dyDescent="0.4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12">
        <f t="shared" si="36"/>
        <v>3.4150228310502282</v>
      </c>
      <c r="P582" s="13">
        <f t="shared" si="37"/>
        <v>48.003209242618745</v>
      </c>
      <c r="Q582" t="str" cm="1">
        <f t="array" ref="Q582:R582">_xlfn.TEXTSPLIT(N582,"/",,FALSE,,#N/A)</f>
        <v>theater</v>
      </c>
      <c r="R582" t="str">
        <v>plays</v>
      </c>
      <c r="U582" s="6">
        <f t="shared" si="38"/>
        <v>41696.25</v>
      </c>
      <c r="V582" s="6">
        <f t="shared" si="39"/>
        <v>41704.25</v>
      </c>
    </row>
    <row r="583" spans="1:22" ht="19.5" x14ac:dyDescent="0.4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12">
        <f t="shared" si="36"/>
        <v>0.64016666666666666</v>
      </c>
      <c r="P583" s="13">
        <f t="shared" si="37"/>
        <v>54.098591549295776</v>
      </c>
      <c r="Q583" t="str" cm="1">
        <f t="array" ref="Q583:R583">_xlfn.TEXTSPLIT(N583,"/",,FALSE,,#N/A)</f>
        <v>technology</v>
      </c>
      <c r="R583" t="str">
        <v>web</v>
      </c>
      <c r="U583" s="6">
        <f t="shared" si="38"/>
        <v>40662.208333333336</v>
      </c>
      <c r="V583" s="6">
        <f t="shared" si="39"/>
        <v>40677.208333333336</v>
      </c>
    </row>
    <row r="584" spans="1:22" ht="19.5" x14ac:dyDescent="0.4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12">
        <f t="shared" si="36"/>
        <v>0.5208045977011494</v>
      </c>
      <c r="P584" s="13">
        <f t="shared" si="37"/>
        <v>107.88095238095238</v>
      </c>
      <c r="Q584" t="str" cm="1">
        <f t="array" ref="Q584:R584">_xlfn.TEXTSPLIT(N584,"/",,FALSE,,#N/A)</f>
        <v>games</v>
      </c>
      <c r="R584" t="str">
        <v>video games</v>
      </c>
      <c r="U584" s="6">
        <f t="shared" si="38"/>
        <v>42165.208333333328</v>
      </c>
      <c r="V584" s="6">
        <f t="shared" si="39"/>
        <v>42170.208333333328</v>
      </c>
    </row>
    <row r="585" spans="1:22" ht="33.75" x14ac:dyDescent="0.4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12">
        <f t="shared" si="36"/>
        <v>3.2240211640211642</v>
      </c>
      <c r="P585" s="13">
        <f t="shared" si="37"/>
        <v>67.034103410341032</v>
      </c>
      <c r="Q585" t="str" cm="1">
        <f t="array" ref="Q585:R585">_xlfn.TEXTSPLIT(N585,"/",,FALSE,,#N/A)</f>
        <v>film &amp; video</v>
      </c>
      <c r="R585" t="str">
        <v>documentary</v>
      </c>
      <c r="U585" s="6">
        <f t="shared" si="38"/>
        <v>40959.25</v>
      </c>
      <c r="V585" s="6">
        <f t="shared" si="39"/>
        <v>40976.25</v>
      </c>
    </row>
    <row r="586" spans="1:22" ht="19.5" x14ac:dyDescent="0.4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12">
        <f t="shared" si="36"/>
        <v>1.1950810185185186</v>
      </c>
      <c r="P586" s="13">
        <f t="shared" si="37"/>
        <v>64.01425914445133</v>
      </c>
      <c r="Q586" t="str" cm="1">
        <f t="array" ref="Q586:R586">_xlfn.TEXTSPLIT(N586,"/",,FALSE,,#N/A)</f>
        <v>technology</v>
      </c>
      <c r="R586" t="str">
        <v>web</v>
      </c>
      <c r="U586" s="6">
        <f t="shared" si="38"/>
        <v>41024.208333333336</v>
      </c>
      <c r="V586" s="6">
        <f t="shared" si="39"/>
        <v>41038.208333333336</v>
      </c>
    </row>
    <row r="587" spans="1:22" ht="19.5" x14ac:dyDescent="0.4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12">
        <f t="shared" si="36"/>
        <v>1.4679775280898877</v>
      </c>
      <c r="P587" s="13">
        <f t="shared" si="37"/>
        <v>96.066176470588232</v>
      </c>
      <c r="Q587" t="str" cm="1">
        <f t="array" ref="Q587:R587">_xlfn.TEXTSPLIT(N587,"/",,FALSE,,#N/A)</f>
        <v>publishing</v>
      </c>
      <c r="R587" t="str">
        <v>translations</v>
      </c>
      <c r="U587" s="6">
        <f t="shared" si="38"/>
        <v>40255.208333333336</v>
      </c>
      <c r="V587" s="6">
        <f t="shared" si="39"/>
        <v>40265.208333333336</v>
      </c>
    </row>
    <row r="588" spans="1:22" ht="19.5" x14ac:dyDescent="0.4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12">
        <f t="shared" si="36"/>
        <v>9.5057142857142853</v>
      </c>
      <c r="P588" s="13">
        <f t="shared" si="37"/>
        <v>51.184615384615384</v>
      </c>
      <c r="Q588" t="str" cm="1">
        <f t="array" ref="Q588:R588">_xlfn.TEXTSPLIT(N588,"/",,FALSE,,#N/A)</f>
        <v>music</v>
      </c>
      <c r="R588" t="str">
        <v>rock</v>
      </c>
      <c r="U588" s="6">
        <f t="shared" si="38"/>
        <v>40499.25</v>
      </c>
      <c r="V588" s="6">
        <f t="shared" si="39"/>
        <v>40518.25</v>
      </c>
    </row>
    <row r="589" spans="1:22" ht="19.5" x14ac:dyDescent="0.4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12">
        <f t="shared" si="36"/>
        <v>0.72893617021276591</v>
      </c>
      <c r="P589" s="13">
        <f t="shared" si="37"/>
        <v>43.92307692307692</v>
      </c>
      <c r="Q589" t="str" cm="1">
        <f t="array" ref="Q589:R589">_xlfn.TEXTSPLIT(N589,"/",,FALSE,,#N/A)</f>
        <v>food</v>
      </c>
      <c r="R589" t="str">
        <v>food trucks</v>
      </c>
      <c r="U589" s="6">
        <f t="shared" si="38"/>
        <v>43484.25</v>
      </c>
      <c r="V589" s="6">
        <f t="shared" si="39"/>
        <v>43536.208333333328</v>
      </c>
    </row>
    <row r="590" spans="1:22" ht="19.5" x14ac:dyDescent="0.4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12">
        <f t="shared" si="36"/>
        <v>0.7900824873096447</v>
      </c>
      <c r="P590" s="13">
        <f t="shared" si="37"/>
        <v>91.021198830409361</v>
      </c>
      <c r="Q590" t="str" cm="1">
        <f t="array" ref="Q590:R590">_xlfn.TEXTSPLIT(N590,"/",,FALSE,,#N/A)</f>
        <v>theater</v>
      </c>
      <c r="R590" t="str">
        <v>plays</v>
      </c>
      <c r="U590" s="6">
        <f t="shared" si="38"/>
        <v>40262.208333333336</v>
      </c>
      <c r="V590" s="6">
        <f t="shared" si="39"/>
        <v>40293.208333333336</v>
      </c>
    </row>
    <row r="591" spans="1:22" ht="19.5" x14ac:dyDescent="0.4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12">
        <f t="shared" si="36"/>
        <v>0.64721518987341775</v>
      </c>
      <c r="P591" s="13">
        <f t="shared" si="37"/>
        <v>50.127450980392155</v>
      </c>
      <c r="Q591" t="str" cm="1">
        <f t="array" ref="Q591:R591">_xlfn.TEXTSPLIT(N591,"/",,FALSE,,#N/A)</f>
        <v>film &amp; video</v>
      </c>
      <c r="R591" t="str">
        <v>documentary</v>
      </c>
      <c r="U591" s="6">
        <f t="shared" si="38"/>
        <v>42190.208333333328</v>
      </c>
      <c r="V591" s="6">
        <f t="shared" si="39"/>
        <v>42197.208333333328</v>
      </c>
    </row>
    <row r="592" spans="1:22" ht="33.75" x14ac:dyDescent="0.4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12">
        <f t="shared" si="36"/>
        <v>0.82028169014084507</v>
      </c>
      <c r="P592" s="13">
        <f t="shared" si="37"/>
        <v>67.720930232558146</v>
      </c>
      <c r="Q592" t="str" cm="1">
        <f t="array" ref="Q592:R592">_xlfn.TEXTSPLIT(N592,"/",,FALSE,,#N/A)</f>
        <v>publishing</v>
      </c>
      <c r="R592" t="str">
        <v>radio &amp; podcasts</v>
      </c>
      <c r="U592" s="6">
        <f t="shared" si="38"/>
        <v>41994.25</v>
      </c>
      <c r="V592" s="6">
        <f t="shared" si="39"/>
        <v>42005.25</v>
      </c>
    </row>
    <row r="593" spans="1:22" ht="19.5" x14ac:dyDescent="0.4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12">
        <f t="shared" si="36"/>
        <v>10.376666666666667</v>
      </c>
      <c r="P593" s="13">
        <f t="shared" si="37"/>
        <v>61.03921568627451</v>
      </c>
      <c r="Q593" t="str" cm="1">
        <f t="array" ref="Q593:R593">_xlfn.TEXTSPLIT(N593,"/",,FALSE,,#N/A)</f>
        <v>games</v>
      </c>
      <c r="R593" t="str">
        <v>video games</v>
      </c>
      <c r="U593" s="6">
        <f t="shared" si="38"/>
        <v>40373.208333333336</v>
      </c>
      <c r="V593" s="6">
        <f t="shared" si="39"/>
        <v>40383.208333333336</v>
      </c>
    </row>
    <row r="594" spans="1:22" ht="33.75" x14ac:dyDescent="0.4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12">
        <f t="shared" si="36"/>
        <v>0.12910076530612244</v>
      </c>
      <c r="P594" s="13">
        <f t="shared" si="37"/>
        <v>80.011857707509876</v>
      </c>
      <c r="Q594" t="str" cm="1">
        <f t="array" ref="Q594:R594">_xlfn.TEXTSPLIT(N594,"/",,FALSE,,#N/A)</f>
        <v>theater</v>
      </c>
      <c r="R594" t="str">
        <v>plays</v>
      </c>
      <c r="U594" s="6">
        <f t="shared" si="38"/>
        <v>41789.208333333336</v>
      </c>
      <c r="V594" s="6">
        <f t="shared" si="39"/>
        <v>41798.208333333336</v>
      </c>
    </row>
    <row r="595" spans="1:22" ht="19.5" x14ac:dyDescent="0.4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12">
        <f t="shared" si="36"/>
        <v>1.5484210526315789</v>
      </c>
      <c r="P595" s="13">
        <f t="shared" si="37"/>
        <v>47.001497753369947</v>
      </c>
      <c r="Q595" t="str" cm="1">
        <f t="array" ref="Q595:R595">_xlfn.TEXTSPLIT(N595,"/",,FALSE,,#N/A)</f>
        <v>film &amp; video</v>
      </c>
      <c r="R595" t="str">
        <v>animation</v>
      </c>
      <c r="U595" s="6">
        <f t="shared" si="38"/>
        <v>41724.208333333336</v>
      </c>
      <c r="V595" s="6">
        <f t="shared" si="39"/>
        <v>41737.208333333336</v>
      </c>
    </row>
    <row r="596" spans="1:22" ht="33.75" x14ac:dyDescent="0.4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12">
        <f t="shared" si="36"/>
        <v>7.0991735537190084E-2</v>
      </c>
      <c r="P596" s="13">
        <f t="shared" si="37"/>
        <v>71.127388535031841</v>
      </c>
      <c r="Q596" t="str" cm="1">
        <f t="array" ref="Q596:R596">_xlfn.TEXTSPLIT(N596,"/",,FALSE,,#N/A)</f>
        <v>theater</v>
      </c>
      <c r="R596" t="str">
        <v>plays</v>
      </c>
      <c r="U596" s="6">
        <f t="shared" si="38"/>
        <v>42548.208333333328</v>
      </c>
      <c r="V596" s="6">
        <f t="shared" si="39"/>
        <v>42551.208333333328</v>
      </c>
    </row>
    <row r="597" spans="1:22" ht="33.75" x14ac:dyDescent="0.4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12">
        <f t="shared" si="36"/>
        <v>2.0852773826458035</v>
      </c>
      <c r="P597" s="13">
        <f t="shared" si="37"/>
        <v>89.99079189686924</v>
      </c>
      <c r="Q597" t="str" cm="1">
        <f t="array" ref="Q597:R597">_xlfn.TEXTSPLIT(N597,"/",,FALSE,,#N/A)</f>
        <v>theater</v>
      </c>
      <c r="R597" t="str">
        <v>plays</v>
      </c>
      <c r="U597" s="6">
        <f t="shared" si="38"/>
        <v>40253.208333333336</v>
      </c>
      <c r="V597" s="6">
        <f t="shared" si="39"/>
        <v>40274.208333333336</v>
      </c>
    </row>
    <row r="598" spans="1:22" ht="19.5" x14ac:dyDescent="0.4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12">
        <f t="shared" si="36"/>
        <v>0.99683544303797467</v>
      </c>
      <c r="P598" s="13">
        <f t="shared" si="37"/>
        <v>43.032786885245905</v>
      </c>
      <c r="Q598" t="str" cm="1">
        <f t="array" ref="Q598:R598">_xlfn.TEXTSPLIT(N598,"/",,FALSE,,#N/A)</f>
        <v>film &amp; video</v>
      </c>
      <c r="R598" t="str">
        <v>drama</v>
      </c>
      <c r="U598" s="6">
        <f t="shared" si="38"/>
        <v>42434.25</v>
      </c>
      <c r="V598" s="6">
        <f t="shared" si="39"/>
        <v>42441.25</v>
      </c>
    </row>
    <row r="599" spans="1:22" ht="19.5" x14ac:dyDescent="0.4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12">
        <f t="shared" si="36"/>
        <v>2.0159756097560977</v>
      </c>
      <c r="P599" s="13">
        <f t="shared" si="37"/>
        <v>67.997714808043881</v>
      </c>
      <c r="Q599" t="str" cm="1">
        <f t="array" ref="Q599:R599">_xlfn.TEXTSPLIT(N599,"/",,FALSE,,#N/A)</f>
        <v>theater</v>
      </c>
      <c r="R599" t="str">
        <v>plays</v>
      </c>
      <c r="U599" s="6">
        <f t="shared" si="38"/>
        <v>43786.25</v>
      </c>
      <c r="V599" s="6">
        <f t="shared" si="39"/>
        <v>43804.25</v>
      </c>
    </row>
    <row r="600" spans="1:22" ht="19.5" x14ac:dyDescent="0.4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12">
        <f t="shared" si="36"/>
        <v>1.6209032258064515</v>
      </c>
      <c r="P600" s="13">
        <f t="shared" si="37"/>
        <v>73.004566210045667</v>
      </c>
      <c r="Q600" t="str" cm="1">
        <f t="array" ref="Q600:R600">_xlfn.TEXTSPLIT(N600,"/",,FALSE,,#N/A)</f>
        <v>music</v>
      </c>
      <c r="R600" t="str">
        <v>rock</v>
      </c>
      <c r="U600" s="6">
        <f t="shared" si="38"/>
        <v>40344.208333333336</v>
      </c>
      <c r="V600" s="6">
        <f t="shared" si="39"/>
        <v>40373.208333333336</v>
      </c>
    </row>
    <row r="601" spans="1:22" ht="33.75" x14ac:dyDescent="0.4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12">
        <f t="shared" si="36"/>
        <v>3.6436208125445471E-2</v>
      </c>
      <c r="P601" s="13">
        <f t="shared" si="37"/>
        <v>62.341463414634148</v>
      </c>
      <c r="Q601" t="str" cm="1">
        <f t="array" ref="Q601:R601">_xlfn.TEXTSPLIT(N601,"/",,FALSE,,#N/A)</f>
        <v>film &amp; video</v>
      </c>
      <c r="R601" t="str">
        <v>documentary</v>
      </c>
      <c r="U601" s="6">
        <f t="shared" si="38"/>
        <v>42047.25</v>
      </c>
      <c r="V601" s="6">
        <f t="shared" si="39"/>
        <v>42055.25</v>
      </c>
    </row>
    <row r="602" spans="1:22" ht="19.5" x14ac:dyDescent="0.4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12">
        <f t="shared" si="36"/>
        <v>0.05</v>
      </c>
      <c r="P602" s="13">
        <f t="shared" si="37"/>
        <v>5</v>
      </c>
      <c r="Q602" t="str" cm="1">
        <f t="array" ref="Q602:R602">_xlfn.TEXTSPLIT(N602,"/",,FALSE,,#N/A)</f>
        <v>food</v>
      </c>
      <c r="R602" t="str">
        <v>food trucks</v>
      </c>
      <c r="U602" s="6">
        <f t="shared" si="38"/>
        <v>41485.208333333336</v>
      </c>
      <c r="V602" s="6">
        <f t="shared" si="39"/>
        <v>41497.208333333336</v>
      </c>
    </row>
    <row r="603" spans="1:22" ht="19.5" x14ac:dyDescent="0.4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12">
        <f t="shared" si="36"/>
        <v>2.0663492063492064</v>
      </c>
      <c r="P603" s="13">
        <f t="shared" si="37"/>
        <v>67.103092783505161</v>
      </c>
      <c r="Q603" t="str" cm="1">
        <f t="array" ref="Q603:R603">_xlfn.TEXTSPLIT(N603,"/",,FALSE,,#N/A)</f>
        <v>technology</v>
      </c>
      <c r="R603" t="str">
        <v>wearables</v>
      </c>
      <c r="U603" s="6">
        <f t="shared" si="38"/>
        <v>41789.208333333336</v>
      </c>
      <c r="V603" s="6">
        <f t="shared" si="39"/>
        <v>41806.208333333336</v>
      </c>
    </row>
    <row r="604" spans="1:22" ht="19.5" x14ac:dyDescent="0.4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12">
        <f t="shared" si="36"/>
        <v>1.2823628691983122</v>
      </c>
      <c r="P604" s="13">
        <f t="shared" si="37"/>
        <v>79.978947368421046</v>
      </c>
      <c r="Q604" t="str" cm="1">
        <f t="array" ref="Q604:R604">_xlfn.TEXTSPLIT(N604,"/",,FALSE,,#N/A)</f>
        <v>theater</v>
      </c>
      <c r="R604" t="str">
        <v>plays</v>
      </c>
      <c r="U604" s="6">
        <f t="shared" si="38"/>
        <v>42160.208333333328</v>
      </c>
      <c r="V604" s="6">
        <f t="shared" si="39"/>
        <v>42171.208333333328</v>
      </c>
    </row>
    <row r="605" spans="1:22" ht="19.5" x14ac:dyDescent="0.4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12">
        <f t="shared" si="36"/>
        <v>1.1966037735849056</v>
      </c>
      <c r="P605" s="13">
        <f t="shared" si="37"/>
        <v>62.176470588235297</v>
      </c>
      <c r="Q605" t="str" cm="1">
        <f t="array" ref="Q605:R605">_xlfn.TEXTSPLIT(N605,"/",,FALSE,,#N/A)</f>
        <v>theater</v>
      </c>
      <c r="R605" t="str">
        <v>plays</v>
      </c>
      <c r="U605" s="6">
        <f t="shared" si="38"/>
        <v>43573.208333333328</v>
      </c>
      <c r="V605" s="6">
        <f t="shared" si="39"/>
        <v>43600.208333333328</v>
      </c>
    </row>
    <row r="606" spans="1:22" ht="19.5" x14ac:dyDescent="0.4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12">
        <f t="shared" si="36"/>
        <v>1.7073055242390078</v>
      </c>
      <c r="P606" s="13">
        <f t="shared" si="37"/>
        <v>53.005950297514879</v>
      </c>
      <c r="Q606" t="str" cm="1">
        <f t="array" ref="Q606:R606">_xlfn.TEXTSPLIT(N606,"/",,FALSE,,#N/A)</f>
        <v>theater</v>
      </c>
      <c r="R606" t="str">
        <v>plays</v>
      </c>
      <c r="U606" s="6">
        <f t="shared" si="38"/>
        <v>40565.25</v>
      </c>
      <c r="V606" s="6">
        <f t="shared" si="39"/>
        <v>40586.25</v>
      </c>
    </row>
    <row r="607" spans="1:22" ht="19.5" x14ac:dyDescent="0.4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12">
        <f t="shared" si="36"/>
        <v>1.8721212121212121</v>
      </c>
      <c r="P607" s="13">
        <f t="shared" si="37"/>
        <v>57.738317757009348</v>
      </c>
      <c r="Q607" t="str" cm="1">
        <f t="array" ref="Q607:R607">_xlfn.TEXTSPLIT(N607,"/",,FALSE,,#N/A)</f>
        <v>publishing</v>
      </c>
      <c r="R607" t="str">
        <v>nonfiction</v>
      </c>
      <c r="U607" s="6">
        <f t="shared" si="38"/>
        <v>42280.208333333328</v>
      </c>
      <c r="V607" s="6">
        <f t="shared" si="39"/>
        <v>42321.25</v>
      </c>
    </row>
    <row r="608" spans="1:22" ht="19.5" x14ac:dyDescent="0.4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12">
        <f t="shared" si="36"/>
        <v>1.8838235294117647</v>
      </c>
      <c r="P608" s="13">
        <f t="shared" si="37"/>
        <v>40.03125</v>
      </c>
      <c r="Q608" t="str" cm="1">
        <f t="array" ref="Q608:R608">_xlfn.TEXTSPLIT(N608,"/",,FALSE,,#N/A)</f>
        <v>music</v>
      </c>
      <c r="R608" t="str">
        <v>rock</v>
      </c>
      <c r="U608" s="6">
        <f t="shared" si="38"/>
        <v>42436.25</v>
      </c>
      <c r="V608" s="6">
        <f t="shared" si="39"/>
        <v>42447.208333333328</v>
      </c>
    </row>
    <row r="609" spans="1:22" ht="19.5" x14ac:dyDescent="0.4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12">
        <f t="shared" si="36"/>
        <v>1.3129869186046512</v>
      </c>
      <c r="P609" s="13">
        <f t="shared" si="37"/>
        <v>81.016591928251117</v>
      </c>
      <c r="Q609" t="str" cm="1">
        <f t="array" ref="Q609:R609">_xlfn.TEXTSPLIT(N609,"/",,FALSE,,#N/A)</f>
        <v>food</v>
      </c>
      <c r="R609" t="str">
        <v>food trucks</v>
      </c>
      <c r="U609" s="6">
        <f t="shared" si="38"/>
        <v>41721.208333333336</v>
      </c>
      <c r="V609" s="6">
        <f t="shared" si="39"/>
        <v>41723.208333333336</v>
      </c>
    </row>
    <row r="610" spans="1:22" ht="19.5" x14ac:dyDescent="0.4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12">
        <f t="shared" si="36"/>
        <v>2.8397435897435899</v>
      </c>
      <c r="P610" s="13">
        <f t="shared" si="37"/>
        <v>35.047468354430379</v>
      </c>
      <c r="Q610" t="str" cm="1">
        <f t="array" ref="Q610:R610">_xlfn.TEXTSPLIT(N610,"/",,FALSE,,#N/A)</f>
        <v>music</v>
      </c>
      <c r="R610" t="str">
        <v>jazz</v>
      </c>
      <c r="U610" s="6">
        <f t="shared" si="38"/>
        <v>43530.25</v>
      </c>
      <c r="V610" s="6">
        <f t="shared" si="39"/>
        <v>43534.25</v>
      </c>
    </row>
    <row r="611" spans="1:22" ht="19.5" x14ac:dyDescent="0.4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12">
        <f t="shared" si="36"/>
        <v>1.2041999999999999</v>
      </c>
      <c r="P611" s="13">
        <f t="shared" si="37"/>
        <v>102.92307692307692</v>
      </c>
      <c r="Q611" t="str" cm="1">
        <f t="array" ref="Q611:R611">_xlfn.TEXTSPLIT(N611,"/",,FALSE,,#N/A)</f>
        <v>film &amp; video</v>
      </c>
      <c r="R611" t="str">
        <v>science fiction</v>
      </c>
      <c r="U611" s="6">
        <f t="shared" si="38"/>
        <v>43481.25</v>
      </c>
      <c r="V611" s="6">
        <f t="shared" si="39"/>
        <v>43498.25</v>
      </c>
    </row>
    <row r="612" spans="1:22" ht="33.75" x14ac:dyDescent="0.4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12">
        <f t="shared" si="36"/>
        <v>4.1905607476635511</v>
      </c>
      <c r="P612" s="13">
        <f t="shared" si="37"/>
        <v>27.998126756166094</v>
      </c>
      <c r="Q612" t="str" cm="1">
        <f t="array" ref="Q612:R612">_xlfn.TEXTSPLIT(N612,"/",,FALSE,,#N/A)</f>
        <v>theater</v>
      </c>
      <c r="R612" t="str">
        <v>plays</v>
      </c>
      <c r="U612" s="6">
        <f t="shared" si="38"/>
        <v>41259.25</v>
      </c>
      <c r="V612" s="6">
        <f t="shared" si="39"/>
        <v>41273.25</v>
      </c>
    </row>
    <row r="613" spans="1:22" ht="19.5" x14ac:dyDescent="0.4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12">
        <f t="shared" si="36"/>
        <v>0.13853658536585367</v>
      </c>
      <c r="P613" s="13">
        <f t="shared" si="37"/>
        <v>75.733333333333334</v>
      </c>
      <c r="Q613" t="str" cm="1">
        <f t="array" ref="Q613:R613">_xlfn.TEXTSPLIT(N613,"/",,FALSE,,#N/A)</f>
        <v>theater</v>
      </c>
      <c r="R613" t="str">
        <v>plays</v>
      </c>
      <c r="U613" s="6">
        <f t="shared" si="38"/>
        <v>41480.208333333336</v>
      </c>
      <c r="V613" s="6">
        <f t="shared" si="39"/>
        <v>41492.208333333336</v>
      </c>
    </row>
    <row r="614" spans="1:22" ht="19.5" x14ac:dyDescent="0.4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12">
        <f t="shared" si="36"/>
        <v>1.3943548387096774</v>
      </c>
      <c r="P614" s="13">
        <f t="shared" si="37"/>
        <v>45.026041666666664</v>
      </c>
      <c r="Q614" t="str" cm="1">
        <f t="array" ref="Q614:R614">_xlfn.TEXTSPLIT(N614,"/",,FALSE,,#N/A)</f>
        <v>music</v>
      </c>
      <c r="R614" t="str">
        <v>electric music</v>
      </c>
      <c r="U614" s="6">
        <f t="shared" si="38"/>
        <v>40474.208333333336</v>
      </c>
      <c r="V614" s="6">
        <f t="shared" si="39"/>
        <v>40497.25</v>
      </c>
    </row>
    <row r="615" spans="1:22" ht="19.5" x14ac:dyDescent="0.4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12">
        <f t="shared" si="36"/>
        <v>1.74</v>
      </c>
      <c r="P615" s="13">
        <f t="shared" si="37"/>
        <v>73.615384615384613</v>
      </c>
      <c r="Q615" t="str" cm="1">
        <f t="array" ref="Q615:R615">_xlfn.TEXTSPLIT(N615,"/",,FALSE,,#N/A)</f>
        <v>theater</v>
      </c>
      <c r="R615" t="str">
        <v>plays</v>
      </c>
      <c r="U615" s="6">
        <f t="shared" si="38"/>
        <v>42973.208333333328</v>
      </c>
      <c r="V615" s="6">
        <f t="shared" si="39"/>
        <v>42982.208333333328</v>
      </c>
    </row>
    <row r="616" spans="1:22" ht="33.75" x14ac:dyDescent="0.4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12">
        <f t="shared" si="36"/>
        <v>1.5549056603773586</v>
      </c>
      <c r="P616" s="13">
        <f t="shared" si="37"/>
        <v>56.991701244813278</v>
      </c>
      <c r="Q616" t="str" cm="1">
        <f t="array" ref="Q616:R616">_xlfn.TEXTSPLIT(N616,"/",,FALSE,,#N/A)</f>
        <v>theater</v>
      </c>
      <c r="R616" t="str">
        <v>plays</v>
      </c>
      <c r="U616" s="6">
        <f t="shared" si="38"/>
        <v>42746.25</v>
      </c>
      <c r="V616" s="6">
        <f t="shared" si="39"/>
        <v>42764.25</v>
      </c>
    </row>
    <row r="617" spans="1:22" ht="19.5" x14ac:dyDescent="0.4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12">
        <f t="shared" si="36"/>
        <v>1.7044705882352942</v>
      </c>
      <c r="P617" s="13">
        <f t="shared" si="37"/>
        <v>85.223529411764702</v>
      </c>
      <c r="Q617" t="str" cm="1">
        <f t="array" ref="Q617:R617">_xlfn.TEXTSPLIT(N617,"/",,FALSE,,#N/A)</f>
        <v>theater</v>
      </c>
      <c r="R617" t="str">
        <v>plays</v>
      </c>
      <c r="U617" s="6">
        <f t="shared" si="38"/>
        <v>42489.208333333328</v>
      </c>
      <c r="V617" s="6">
        <f t="shared" si="39"/>
        <v>42499.208333333328</v>
      </c>
    </row>
    <row r="618" spans="1:22" ht="19.5" x14ac:dyDescent="0.4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12">
        <f t="shared" si="36"/>
        <v>1.8951562500000001</v>
      </c>
      <c r="P618" s="13">
        <f t="shared" si="37"/>
        <v>50.962184873949582</v>
      </c>
      <c r="Q618" t="str" cm="1">
        <f t="array" ref="Q618:R618">_xlfn.TEXTSPLIT(N618,"/",,FALSE,,#N/A)</f>
        <v>music</v>
      </c>
      <c r="R618" t="str">
        <v>indie rock</v>
      </c>
      <c r="U618" s="6">
        <f t="shared" si="38"/>
        <v>41537.208333333336</v>
      </c>
      <c r="V618" s="6">
        <f t="shared" si="39"/>
        <v>41538.208333333336</v>
      </c>
    </row>
    <row r="619" spans="1:22" ht="19.5" x14ac:dyDescent="0.4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12">
        <f t="shared" si="36"/>
        <v>2.4971428571428573</v>
      </c>
      <c r="P619" s="13">
        <f t="shared" si="37"/>
        <v>63.563636363636363</v>
      </c>
      <c r="Q619" t="str" cm="1">
        <f t="array" ref="Q619:R619">_xlfn.TEXTSPLIT(N619,"/",,FALSE,,#N/A)</f>
        <v>theater</v>
      </c>
      <c r="R619" t="str">
        <v>plays</v>
      </c>
      <c r="U619" s="6">
        <f t="shared" si="38"/>
        <v>41794.208333333336</v>
      </c>
      <c r="V619" s="6">
        <f t="shared" si="39"/>
        <v>41804.208333333336</v>
      </c>
    </row>
    <row r="620" spans="1:22" ht="19.5" x14ac:dyDescent="0.4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12">
        <f t="shared" si="36"/>
        <v>0.48860523665659616</v>
      </c>
      <c r="P620" s="13">
        <f t="shared" si="37"/>
        <v>80.999165275459092</v>
      </c>
      <c r="Q620" t="str" cm="1">
        <f t="array" ref="Q620:R620">_xlfn.TEXTSPLIT(N620,"/",,FALSE,,#N/A)</f>
        <v>publishing</v>
      </c>
      <c r="R620" t="str">
        <v>nonfiction</v>
      </c>
      <c r="U620" s="6">
        <f t="shared" si="38"/>
        <v>41396.208333333336</v>
      </c>
      <c r="V620" s="6">
        <f t="shared" si="39"/>
        <v>41417.208333333336</v>
      </c>
    </row>
    <row r="621" spans="1:22" ht="19.5" x14ac:dyDescent="0.4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12">
        <f t="shared" si="36"/>
        <v>0.28461970393057684</v>
      </c>
      <c r="P621" s="13">
        <f t="shared" si="37"/>
        <v>86.044753086419746</v>
      </c>
      <c r="Q621" t="str" cm="1">
        <f t="array" ref="Q621:R621">_xlfn.TEXTSPLIT(N621,"/",,FALSE,,#N/A)</f>
        <v>theater</v>
      </c>
      <c r="R621" t="str">
        <v>plays</v>
      </c>
      <c r="U621" s="6">
        <f t="shared" si="38"/>
        <v>40669.208333333336</v>
      </c>
      <c r="V621" s="6">
        <f t="shared" si="39"/>
        <v>40670.208333333336</v>
      </c>
    </row>
    <row r="622" spans="1:22" ht="19.5" x14ac:dyDescent="0.4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12">
        <f t="shared" si="36"/>
        <v>2.6802325581395348</v>
      </c>
      <c r="P622" s="13">
        <f t="shared" si="37"/>
        <v>90.0390625</v>
      </c>
      <c r="Q622" t="str" cm="1">
        <f t="array" ref="Q622:R622">_xlfn.TEXTSPLIT(N622,"/",,FALSE,,#N/A)</f>
        <v>photography</v>
      </c>
      <c r="R622" t="str">
        <v>photography books</v>
      </c>
      <c r="U622" s="6">
        <f t="shared" si="38"/>
        <v>42559.208333333328</v>
      </c>
      <c r="V622" s="6">
        <f t="shared" si="39"/>
        <v>42563.208333333328</v>
      </c>
    </row>
    <row r="623" spans="1:22" ht="19.5" x14ac:dyDescent="0.4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12">
        <f t="shared" si="36"/>
        <v>6.1980078125000002</v>
      </c>
      <c r="P623" s="13">
        <f t="shared" si="37"/>
        <v>74.006063432835816</v>
      </c>
      <c r="Q623" t="str" cm="1">
        <f t="array" ref="Q623:R623">_xlfn.TEXTSPLIT(N623,"/",,FALSE,,#N/A)</f>
        <v>theater</v>
      </c>
      <c r="R623" t="str">
        <v>plays</v>
      </c>
      <c r="U623" s="6">
        <f t="shared" si="38"/>
        <v>42626.208333333328</v>
      </c>
      <c r="V623" s="6">
        <f t="shared" si="39"/>
        <v>42631.208333333328</v>
      </c>
    </row>
    <row r="624" spans="1:22" ht="19.5" x14ac:dyDescent="0.4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12">
        <f t="shared" si="36"/>
        <v>3.1301587301587303E-2</v>
      </c>
      <c r="P624" s="13">
        <f t="shared" si="37"/>
        <v>92.4375</v>
      </c>
      <c r="Q624" t="str" cm="1">
        <f t="array" ref="Q624:R624">_xlfn.TEXTSPLIT(N624,"/",,FALSE,,#N/A)</f>
        <v>music</v>
      </c>
      <c r="R624" t="str">
        <v>indie rock</v>
      </c>
      <c r="U624" s="6">
        <f t="shared" si="38"/>
        <v>43205.208333333328</v>
      </c>
      <c r="V624" s="6">
        <f t="shared" si="39"/>
        <v>43231.208333333328</v>
      </c>
    </row>
    <row r="625" spans="1:22" ht="19.5" x14ac:dyDescent="0.4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12">
        <f t="shared" si="36"/>
        <v>1.5992152704135738</v>
      </c>
      <c r="P625" s="13">
        <f t="shared" si="37"/>
        <v>55.999257333828446</v>
      </c>
      <c r="Q625" t="str" cm="1">
        <f t="array" ref="Q625:R625">_xlfn.TEXTSPLIT(N625,"/",,FALSE,,#N/A)</f>
        <v>theater</v>
      </c>
      <c r="R625" t="str">
        <v>plays</v>
      </c>
      <c r="U625" s="6">
        <f t="shared" si="38"/>
        <v>42201.208333333328</v>
      </c>
      <c r="V625" s="6">
        <f t="shared" si="39"/>
        <v>42206.208333333328</v>
      </c>
    </row>
    <row r="626" spans="1:22" ht="19.5" x14ac:dyDescent="0.4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12">
        <f t="shared" si="36"/>
        <v>2.793921568627451</v>
      </c>
      <c r="P626" s="13">
        <f t="shared" si="37"/>
        <v>32.983796296296298</v>
      </c>
      <c r="Q626" t="str" cm="1">
        <f t="array" ref="Q626:R626">_xlfn.TEXTSPLIT(N626,"/",,FALSE,,#N/A)</f>
        <v>photography</v>
      </c>
      <c r="R626" t="str">
        <v>photography books</v>
      </c>
      <c r="U626" s="6">
        <f t="shared" si="38"/>
        <v>42029.25</v>
      </c>
      <c r="V626" s="6">
        <f t="shared" si="39"/>
        <v>42035.25</v>
      </c>
    </row>
    <row r="627" spans="1:22" ht="33.75" x14ac:dyDescent="0.4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12">
        <f t="shared" si="36"/>
        <v>0.77373333333333338</v>
      </c>
      <c r="P627" s="13">
        <f t="shared" si="37"/>
        <v>93.596774193548384</v>
      </c>
      <c r="Q627" t="str" cm="1">
        <f t="array" ref="Q627:R627">_xlfn.TEXTSPLIT(N627,"/",,FALSE,,#N/A)</f>
        <v>theater</v>
      </c>
      <c r="R627" t="str">
        <v>plays</v>
      </c>
      <c r="U627" s="6">
        <f t="shared" si="38"/>
        <v>43857.25</v>
      </c>
      <c r="V627" s="6">
        <f t="shared" si="39"/>
        <v>43871.25</v>
      </c>
    </row>
    <row r="628" spans="1:22" ht="33.75" x14ac:dyDescent="0.4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12">
        <f t="shared" si="36"/>
        <v>2.0632812500000002</v>
      </c>
      <c r="P628" s="13">
        <f t="shared" si="37"/>
        <v>69.867724867724874</v>
      </c>
      <c r="Q628" t="str" cm="1">
        <f t="array" ref="Q628:R628">_xlfn.TEXTSPLIT(N628,"/",,FALSE,,#N/A)</f>
        <v>theater</v>
      </c>
      <c r="R628" t="str">
        <v>plays</v>
      </c>
      <c r="U628" s="6">
        <f t="shared" si="38"/>
        <v>40449.208333333336</v>
      </c>
      <c r="V628" s="6">
        <f t="shared" si="39"/>
        <v>40458.208333333336</v>
      </c>
    </row>
    <row r="629" spans="1:22" ht="19.5" x14ac:dyDescent="0.4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12">
        <f t="shared" si="36"/>
        <v>6.9424999999999999</v>
      </c>
      <c r="P629" s="13">
        <f t="shared" si="37"/>
        <v>72.129870129870127</v>
      </c>
      <c r="Q629" t="str" cm="1">
        <f t="array" ref="Q629:R629">_xlfn.TEXTSPLIT(N629,"/",,FALSE,,#N/A)</f>
        <v>food</v>
      </c>
      <c r="R629" t="str">
        <v>food trucks</v>
      </c>
      <c r="U629" s="6">
        <f t="shared" si="38"/>
        <v>40345.208333333336</v>
      </c>
      <c r="V629" s="6">
        <f t="shared" si="39"/>
        <v>40369.208333333336</v>
      </c>
    </row>
    <row r="630" spans="1:22" ht="19.5" x14ac:dyDescent="0.4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12">
        <f t="shared" si="36"/>
        <v>1.5178947368421052</v>
      </c>
      <c r="P630" s="13">
        <f t="shared" si="37"/>
        <v>30.041666666666668</v>
      </c>
      <c r="Q630" t="str" cm="1">
        <f t="array" ref="Q630:R630">_xlfn.TEXTSPLIT(N630,"/",,FALSE,,#N/A)</f>
        <v>music</v>
      </c>
      <c r="R630" t="str">
        <v>indie rock</v>
      </c>
      <c r="U630" s="6">
        <f t="shared" si="38"/>
        <v>40455.208333333336</v>
      </c>
      <c r="V630" s="6">
        <f t="shared" si="39"/>
        <v>40458.208333333336</v>
      </c>
    </row>
    <row r="631" spans="1:22" ht="19.5" x14ac:dyDescent="0.4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12">
        <f t="shared" si="36"/>
        <v>0.64582072176949945</v>
      </c>
      <c r="P631" s="13">
        <f t="shared" si="37"/>
        <v>73.968000000000004</v>
      </c>
      <c r="Q631" t="str" cm="1">
        <f t="array" ref="Q631:R631">_xlfn.TEXTSPLIT(N631,"/",,FALSE,,#N/A)</f>
        <v>theater</v>
      </c>
      <c r="R631" t="str">
        <v>plays</v>
      </c>
      <c r="U631" s="6">
        <f t="shared" si="38"/>
        <v>42557.208333333328</v>
      </c>
      <c r="V631" s="6">
        <f t="shared" si="39"/>
        <v>42559.208333333328</v>
      </c>
    </row>
    <row r="632" spans="1:22" ht="19.5" x14ac:dyDescent="0.4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12">
        <f t="shared" si="36"/>
        <v>0.62873684210526315</v>
      </c>
      <c r="P632" s="13">
        <f t="shared" si="37"/>
        <v>68.65517241379311</v>
      </c>
      <c r="Q632" t="str" cm="1">
        <f t="array" ref="Q632:R632">_xlfn.TEXTSPLIT(N632,"/",,FALSE,,#N/A)</f>
        <v>theater</v>
      </c>
      <c r="R632" t="str">
        <v>plays</v>
      </c>
      <c r="U632" s="6">
        <f t="shared" si="38"/>
        <v>43586.208333333328</v>
      </c>
      <c r="V632" s="6">
        <f t="shared" si="39"/>
        <v>43597.208333333328</v>
      </c>
    </row>
    <row r="633" spans="1:22" ht="19.5" x14ac:dyDescent="0.4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12">
        <f t="shared" si="36"/>
        <v>3.1039864864864866</v>
      </c>
      <c r="P633" s="13">
        <f t="shared" si="37"/>
        <v>59.992164544564154</v>
      </c>
      <c r="Q633" t="str" cm="1">
        <f t="array" ref="Q633:R633">_xlfn.TEXTSPLIT(N633,"/",,FALSE,,#N/A)</f>
        <v>theater</v>
      </c>
      <c r="R633" t="str">
        <v>plays</v>
      </c>
      <c r="U633" s="6">
        <f t="shared" si="38"/>
        <v>43550.208333333328</v>
      </c>
      <c r="V633" s="6">
        <f t="shared" si="39"/>
        <v>43554.208333333328</v>
      </c>
    </row>
    <row r="634" spans="1:22" ht="19.5" x14ac:dyDescent="0.4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12">
        <f t="shared" si="36"/>
        <v>0.42859916782246882</v>
      </c>
      <c r="P634" s="13">
        <f t="shared" si="37"/>
        <v>111.15827338129496</v>
      </c>
      <c r="Q634" t="str" cm="1">
        <f t="array" ref="Q634:R634">_xlfn.TEXTSPLIT(N634,"/",,FALSE,,#N/A)</f>
        <v>theater</v>
      </c>
      <c r="R634" t="str">
        <v>plays</v>
      </c>
      <c r="U634" s="6">
        <f t="shared" si="38"/>
        <v>41945.208333333336</v>
      </c>
      <c r="V634" s="6">
        <f t="shared" si="39"/>
        <v>41963.25</v>
      </c>
    </row>
    <row r="635" spans="1:22" ht="19.5" x14ac:dyDescent="0.4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12">
        <f t="shared" si="36"/>
        <v>0.83119402985074631</v>
      </c>
      <c r="P635" s="13">
        <f t="shared" si="37"/>
        <v>53.038095238095238</v>
      </c>
      <c r="Q635" t="str" cm="1">
        <f t="array" ref="Q635:R635">_xlfn.TEXTSPLIT(N635,"/",,FALSE,,#N/A)</f>
        <v>film &amp; video</v>
      </c>
      <c r="R635" t="str">
        <v>animation</v>
      </c>
      <c r="U635" s="6">
        <f t="shared" si="38"/>
        <v>42315.25</v>
      </c>
      <c r="V635" s="6">
        <f t="shared" si="39"/>
        <v>42319.25</v>
      </c>
    </row>
    <row r="636" spans="1:22" ht="19.5" x14ac:dyDescent="0.4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12">
        <f t="shared" si="36"/>
        <v>0.78531302876480547</v>
      </c>
      <c r="P636" s="13">
        <f t="shared" si="37"/>
        <v>55.985524728588658</v>
      </c>
      <c r="Q636" t="str" cm="1">
        <f t="array" ref="Q636:R636">_xlfn.TEXTSPLIT(N636,"/",,FALSE,,#N/A)</f>
        <v>film &amp; video</v>
      </c>
      <c r="R636" t="str">
        <v>television</v>
      </c>
      <c r="U636" s="6">
        <f t="shared" si="38"/>
        <v>42819.208333333328</v>
      </c>
      <c r="V636" s="6">
        <f t="shared" si="39"/>
        <v>42833.208333333328</v>
      </c>
    </row>
    <row r="637" spans="1:22" ht="19.5" x14ac:dyDescent="0.4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12">
        <f t="shared" si="36"/>
        <v>1.1409352517985611</v>
      </c>
      <c r="P637" s="13">
        <f t="shared" si="37"/>
        <v>69.986760812003524</v>
      </c>
      <c r="Q637" t="str" cm="1">
        <f t="array" ref="Q637:R637">_xlfn.TEXTSPLIT(N637,"/",,FALSE,,#N/A)</f>
        <v>film &amp; video</v>
      </c>
      <c r="R637" t="str">
        <v>television</v>
      </c>
      <c r="U637" s="6">
        <f t="shared" si="38"/>
        <v>41314.25</v>
      </c>
      <c r="V637" s="6">
        <f t="shared" si="39"/>
        <v>41346.208333333336</v>
      </c>
    </row>
    <row r="638" spans="1:22" ht="19.5" x14ac:dyDescent="0.4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12">
        <f t="shared" si="36"/>
        <v>0.64537683358624176</v>
      </c>
      <c r="P638" s="13">
        <f t="shared" si="37"/>
        <v>48.998079877112133</v>
      </c>
      <c r="Q638" t="str" cm="1">
        <f t="array" ref="Q638:R638">_xlfn.TEXTSPLIT(N638,"/",,FALSE,,#N/A)</f>
        <v>film &amp; video</v>
      </c>
      <c r="R638" t="str">
        <v>animation</v>
      </c>
      <c r="U638" s="6">
        <f t="shared" si="38"/>
        <v>40926.25</v>
      </c>
      <c r="V638" s="6">
        <f t="shared" si="39"/>
        <v>40971.25</v>
      </c>
    </row>
    <row r="639" spans="1:22" ht="19.5" x14ac:dyDescent="0.4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12">
        <f t="shared" si="36"/>
        <v>0.79411764705882348</v>
      </c>
      <c r="P639" s="13">
        <f t="shared" si="37"/>
        <v>103.84615384615384</v>
      </c>
      <c r="Q639" t="str" cm="1">
        <f t="array" ref="Q639:R639">_xlfn.TEXTSPLIT(N639,"/",,FALSE,,#N/A)</f>
        <v>theater</v>
      </c>
      <c r="R639" t="str">
        <v>plays</v>
      </c>
      <c r="U639" s="6">
        <f t="shared" si="38"/>
        <v>42688.25</v>
      </c>
      <c r="V639" s="6">
        <f t="shared" si="39"/>
        <v>42696.25</v>
      </c>
    </row>
    <row r="640" spans="1:22" ht="19.5" x14ac:dyDescent="0.4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12">
        <f t="shared" si="36"/>
        <v>0.11419117647058824</v>
      </c>
      <c r="P640" s="13">
        <f t="shared" si="37"/>
        <v>99.127659574468083</v>
      </c>
      <c r="Q640" t="str" cm="1">
        <f t="array" ref="Q640:R640">_xlfn.TEXTSPLIT(N640,"/",,FALSE,,#N/A)</f>
        <v>theater</v>
      </c>
      <c r="R640" t="str">
        <v>plays</v>
      </c>
      <c r="U640" s="6">
        <f t="shared" si="38"/>
        <v>40386.208333333336</v>
      </c>
      <c r="V640" s="6">
        <f t="shared" si="39"/>
        <v>40398.208333333336</v>
      </c>
    </row>
    <row r="641" spans="1:22" ht="19.5" x14ac:dyDescent="0.4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12">
        <f t="shared" si="36"/>
        <v>0.56186046511627907</v>
      </c>
      <c r="P641" s="13">
        <f t="shared" si="37"/>
        <v>107.37777777777778</v>
      </c>
      <c r="Q641" t="str" cm="1">
        <f t="array" ref="Q641:R641">_xlfn.TEXTSPLIT(N641,"/",,FALSE,,#N/A)</f>
        <v>film &amp; video</v>
      </c>
      <c r="R641" t="str">
        <v>drama</v>
      </c>
      <c r="U641" s="6">
        <f t="shared" si="38"/>
        <v>43309.208333333328</v>
      </c>
      <c r="V641" s="6">
        <f t="shared" si="39"/>
        <v>43309.208333333328</v>
      </c>
    </row>
    <row r="642" spans="1:22" ht="19.5" x14ac:dyDescent="0.4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12">
        <f t="shared" si="36"/>
        <v>0.16501669449081802</v>
      </c>
      <c r="P642" s="13">
        <f t="shared" si="37"/>
        <v>76.922178988326849</v>
      </c>
      <c r="Q642" t="str" cm="1">
        <f t="array" ref="Q642:R642">_xlfn.TEXTSPLIT(N642,"/",,FALSE,,#N/A)</f>
        <v>theater</v>
      </c>
      <c r="R642" t="str">
        <v>plays</v>
      </c>
      <c r="U642" s="6">
        <f t="shared" si="38"/>
        <v>42387.25</v>
      </c>
      <c r="V642" s="6">
        <f t="shared" si="39"/>
        <v>42390.25</v>
      </c>
    </row>
    <row r="643" spans="1:22" ht="33.75" x14ac:dyDescent="0.4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12">
        <f t="shared" ref="O643:O706" si="40">E643/D643</f>
        <v>1.1996808510638297</v>
      </c>
      <c r="P643" s="13">
        <f t="shared" ref="P643:P706" si="41">E643/G643</f>
        <v>58.128865979381445</v>
      </c>
      <c r="Q643" t="str" cm="1">
        <f t="array" ref="Q643:R643">_xlfn.TEXTSPLIT(N643,"/",,FALSE,,#N/A)</f>
        <v>theater</v>
      </c>
      <c r="R643" t="str">
        <v>plays</v>
      </c>
      <c r="U643" s="6">
        <f t="shared" ref="U643:U706" si="42">(((J643/60)/60)/24)+DATE(1970,1,1)</f>
        <v>42786.25</v>
      </c>
      <c r="V643" s="6">
        <f t="shared" ref="V643:V706" si="43">(((K643/60)/60)/24)+DATE(1970,1,1)</f>
        <v>42814.208333333328</v>
      </c>
    </row>
    <row r="644" spans="1:22" ht="19.5" x14ac:dyDescent="0.4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12">
        <f t="shared" si="40"/>
        <v>1.4545652173913044</v>
      </c>
      <c r="P644" s="13">
        <f t="shared" si="41"/>
        <v>103.73643410852713</v>
      </c>
      <c r="Q644" t="str" cm="1">
        <f t="array" ref="Q644:R644">_xlfn.TEXTSPLIT(N644,"/",,FALSE,,#N/A)</f>
        <v>technology</v>
      </c>
      <c r="R644" t="str">
        <v>wearables</v>
      </c>
      <c r="U644" s="6">
        <f t="shared" si="42"/>
        <v>43451.25</v>
      </c>
      <c r="V644" s="6">
        <f t="shared" si="43"/>
        <v>43460.25</v>
      </c>
    </row>
    <row r="645" spans="1:22" ht="19.5" x14ac:dyDescent="0.4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12">
        <f t="shared" si="40"/>
        <v>2.2138255033557046</v>
      </c>
      <c r="P645" s="13">
        <f t="shared" si="41"/>
        <v>87.962666666666664</v>
      </c>
      <c r="Q645" t="str" cm="1">
        <f t="array" ref="Q645:R645">_xlfn.TEXTSPLIT(N645,"/",,FALSE,,#N/A)</f>
        <v>theater</v>
      </c>
      <c r="R645" t="str">
        <v>plays</v>
      </c>
      <c r="U645" s="6">
        <f t="shared" si="42"/>
        <v>42795.25</v>
      </c>
      <c r="V645" s="6">
        <f t="shared" si="43"/>
        <v>42813.208333333328</v>
      </c>
    </row>
    <row r="646" spans="1:22" ht="19.5" x14ac:dyDescent="0.4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12">
        <f t="shared" si="40"/>
        <v>0.48396694214876035</v>
      </c>
      <c r="P646" s="13">
        <f t="shared" si="41"/>
        <v>28</v>
      </c>
      <c r="Q646" t="str" cm="1">
        <f t="array" ref="Q646:R646">_xlfn.TEXTSPLIT(N646,"/",,FALSE,,#N/A)</f>
        <v>theater</v>
      </c>
      <c r="R646" t="str">
        <v>plays</v>
      </c>
      <c r="U646" s="6">
        <f t="shared" si="42"/>
        <v>43452.25</v>
      </c>
      <c r="V646" s="6">
        <f t="shared" si="43"/>
        <v>43468.25</v>
      </c>
    </row>
    <row r="647" spans="1:22" ht="19.5" x14ac:dyDescent="0.4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12">
        <f t="shared" si="40"/>
        <v>0.92911504424778757</v>
      </c>
      <c r="P647" s="13">
        <f t="shared" si="41"/>
        <v>37.999361294443261</v>
      </c>
      <c r="Q647" t="str" cm="1">
        <f t="array" ref="Q647:R647">_xlfn.TEXTSPLIT(N647,"/",,FALSE,,#N/A)</f>
        <v>music</v>
      </c>
      <c r="R647" t="str">
        <v>rock</v>
      </c>
      <c r="U647" s="6">
        <f t="shared" si="42"/>
        <v>43369.208333333328</v>
      </c>
      <c r="V647" s="6">
        <f t="shared" si="43"/>
        <v>43390.208333333328</v>
      </c>
    </row>
    <row r="648" spans="1:22" ht="19.5" x14ac:dyDescent="0.4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12">
        <f t="shared" si="40"/>
        <v>0.88599797365754818</v>
      </c>
      <c r="P648" s="13">
        <f t="shared" si="41"/>
        <v>29.999313893653515</v>
      </c>
      <c r="Q648" t="str" cm="1">
        <f t="array" ref="Q648:R648">_xlfn.TEXTSPLIT(N648,"/",,FALSE,,#N/A)</f>
        <v>games</v>
      </c>
      <c r="R648" t="str">
        <v>video games</v>
      </c>
      <c r="U648" s="6">
        <f t="shared" si="42"/>
        <v>41346.208333333336</v>
      </c>
      <c r="V648" s="6">
        <f t="shared" si="43"/>
        <v>41357.208333333336</v>
      </c>
    </row>
    <row r="649" spans="1:22" ht="19.5" x14ac:dyDescent="0.4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12">
        <f t="shared" si="40"/>
        <v>0.41399999999999998</v>
      </c>
      <c r="P649" s="13">
        <f t="shared" si="41"/>
        <v>103.5</v>
      </c>
      <c r="Q649" t="str" cm="1">
        <f t="array" ref="Q649:R649">_xlfn.TEXTSPLIT(N649,"/",,FALSE,,#N/A)</f>
        <v>publishing</v>
      </c>
      <c r="R649" t="str">
        <v>translations</v>
      </c>
      <c r="U649" s="6">
        <f t="shared" si="42"/>
        <v>43199.208333333328</v>
      </c>
      <c r="V649" s="6">
        <f t="shared" si="43"/>
        <v>43223.208333333328</v>
      </c>
    </row>
    <row r="650" spans="1:22" ht="19.5" x14ac:dyDescent="0.4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12">
        <f t="shared" si="40"/>
        <v>0.63056795131845844</v>
      </c>
      <c r="P650" s="13">
        <f t="shared" si="41"/>
        <v>85.994467496542185</v>
      </c>
      <c r="Q650" t="str" cm="1">
        <f t="array" ref="Q650:R650">_xlfn.TEXTSPLIT(N650,"/",,FALSE,,#N/A)</f>
        <v>food</v>
      </c>
      <c r="R650" t="str">
        <v>food trucks</v>
      </c>
      <c r="U650" s="6">
        <f t="shared" si="42"/>
        <v>42922.208333333328</v>
      </c>
      <c r="V650" s="6">
        <f t="shared" si="43"/>
        <v>42940.208333333328</v>
      </c>
    </row>
    <row r="651" spans="1:22" ht="19.5" x14ac:dyDescent="0.4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12">
        <f t="shared" si="40"/>
        <v>0.48482333607230893</v>
      </c>
      <c r="P651" s="13">
        <f t="shared" si="41"/>
        <v>98.011627906976742</v>
      </c>
      <c r="Q651" t="str" cm="1">
        <f t="array" ref="Q651:R651">_xlfn.TEXTSPLIT(N651,"/",,FALSE,,#N/A)</f>
        <v>theater</v>
      </c>
      <c r="R651" t="str">
        <v>plays</v>
      </c>
      <c r="U651" s="6">
        <f t="shared" si="42"/>
        <v>40471.208333333336</v>
      </c>
      <c r="V651" s="6">
        <f t="shared" si="43"/>
        <v>40482.208333333336</v>
      </c>
    </row>
    <row r="652" spans="1:22" ht="19.5" x14ac:dyDescent="0.4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12">
        <f t="shared" si="40"/>
        <v>0.02</v>
      </c>
      <c r="P652" s="13">
        <f t="shared" si="41"/>
        <v>2</v>
      </c>
      <c r="Q652" t="str" cm="1">
        <f t="array" ref="Q652:R652">_xlfn.TEXTSPLIT(N652,"/",,FALSE,,#N/A)</f>
        <v>music</v>
      </c>
      <c r="R652" t="str">
        <v>jazz</v>
      </c>
      <c r="U652" s="6">
        <f t="shared" si="42"/>
        <v>41828.208333333336</v>
      </c>
      <c r="V652" s="6">
        <f t="shared" si="43"/>
        <v>41855.208333333336</v>
      </c>
    </row>
    <row r="653" spans="1:22" ht="19.5" x14ac:dyDescent="0.4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12">
        <f t="shared" si="40"/>
        <v>0.88479410269445857</v>
      </c>
      <c r="P653" s="13">
        <f t="shared" si="41"/>
        <v>44.994570837642193</v>
      </c>
      <c r="Q653" t="str" cm="1">
        <f t="array" ref="Q653:R653">_xlfn.TEXTSPLIT(N653,"/",,FALSE,,#N/A)</f>
        <v>film &amp; video</v>
      </c>
      <c r="R653" t="str">
        <v>shorts</v>
      </c>
      <c r="U653" s="6">
        <f t="shared" si="42"/>
        <v>41692.25</v>
      </c>
      <c r="V653" s="6">
        <f t="shared" si="43"/>
        <v>41707.25</v>
      </c>
    </row>
    <row r="654" spans="1:22" ht="19.5" x14ac:dyDescent="0.4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12">
        <f t="shared" si="40"/>
        <v>1.2684</v>
      </c>
      <c r="P654" s="13">
        <f t="shared" si="41"/>
        <v>31.012224938875306</v>
      </c>
      <c r="Q654" t="str" cm="1">
        <f t="array" ref="Q654:R654">_xlfn.TEXTSPLIT(N654,"/",,FALSE,,#N/A)</f>
        <v>technology</v>
      </c>
      <c r="R654" t="str">
        <v>web</v>
      </c>
      <c r="U654" s="6">
        <f t="shared" si="42"/>
        <v>42587.208333333328</v>
      </c>
      <c r="V654" s="6">
        <f t="shared" si="43"/>
        <v>42630.208333333328</v>
      </c>
    </row>
    <row r="655" spans="1:22" ht="19.5" x14ac:dyDescent="0.4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12">
        <f t="shared" si="40"/>
        <v>23.388333333333332</v>
      </c>
      <c r="P655" s="13">
        <f t="shared" si="41"/>
        <v>59.970085470085472</v>
      </c>
      <c r="Q655" t="str" cm="1">
        <f t="array" ref="Q655:R655">_xlfn.TEXTSPLIT(N655,"/",,FALSE,,#N/A)</f>
        <v>technology</v>
      </c>
      <c r="R655" t="str">
        <v>web</v>
      </c>
      <c r="U655" s="6">
        <f t="shared" si="42"/>
        <v>42468.208333333328</v>
      </c>
      <c r="V655" s="6">
        <f t="shared" si="43"/>
        <v>42470.208333333328</v>
      </c>
    </row>
    <row r="656" spans="1:22" ht="19.5" x14ac:dyDescent="0.4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12">
        <f t="shared" si="40"/>
        <v>5.0838857142857146</v>
      </c>
      <c r="P656" s="13">
        <f t="shared" si="41"/>
        <v>58.9973474801061</v>
      </c>
      <c r="Q656" t="str" cm="1">
        <f t="array" ref="Q656:R656">_xlfn.TEXTSPLIT(N656,"/",,FALSE,,#N/A)</f>
        <v>music</v>
      </c>
      <c r="R656" t="str">
        <v>metal</v>
      </c>
      <c r="U656" s="6">
        <f t="shared" si="42"/>
        <v>42240.208333333328</v>
      </c>
      <c r="V656" s="6">
        <f t="shared" si="43"/>
        <v>42245.208333333328</v>
      </c>
    </row>
    <row r="657" spans="1:22" ht="19.5" x14ac:dyDescent="0.4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12">
        <f t="shared" si="40"/>
        <v>1.9147826086956521</v>
      </c>
      <c r="P657" s="13">
        <f t="shared" si="41"/>
        <v>50.045454545454547</v>
      </c>
      <c r="Q657" t="str" cm="1">
        <f t="array" ref="Q657:R657">_xlfn.TEXTSPLIT(N657,"/",,FALSE,,#N/A)</f>
        <v>photography</v>
      </c>
      <c r="R657" t="str">
        <v>photography books</v>
      </c>
      <c r="U657" s="6">
        <f t="shared" si="42"/>
        <v>42796.25</v>
      </c>
      <c r="V657" s="6">
        <f t="shared" si="43"/>
        <v>42809.208333333328</v>
      </c>
    </row>
    <row r="658" spans="1:22" ht="33.75" x14ac:dyDescent="0.4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12">
        <f t="shared" si="40"/>
        <v>0.42127533783783783</v>
      </c>
      <c r="P658" s="13">
        <f t="shared" si="41"/>
        <v>98.966269841269835</v>
      </c>
      <c r="Q658" t="str" cm="1">
        <f t="array" ref="Q658:R658">_xlfn.TEXTSPLIT(N658,"/",,FALSE,,#N/A)</f>
        <v>food</v>
      </c>
      <c r="R658" t="str">
        <v>food trucks</v>
      </c>
      <c r="U658" s="6">
        <f t="shared" si="42"/>
        <v>43097.25</v>
      </c>
      <c r="V658" s="6">
        <f t="shared" si="43"/>
        <v>43102.25</v>
      </c>
    </row>
    <row r="659" spans="1:22" ht="19.5" x14ac:dyDescent="0.4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12">
        <f t="shared" si="40"/>
        <v>8.2400000000000001E-2</v>
      </c>
      <c r="P659" s="13">
        <f t="shared" si="41"/>
        <v>58.857142857142854</v>
      </c>
      <c r="Q659" t="str" cm="1">
        <f t="array" ref="Q659:R659">_xlfn.TEXTSPLIT(N659,"/",,FALSE,,#N/A)</f>
        <v>film &amp; video</v>
      </c>
      <c r="R659" t="str">
        <v>science fiction</v>
      </c>
      <c r="U659" s="6">
        <f t="shared" si="42"/>
        <v>43096.25</v>
      </c>
      <c r="V659" s="6">
        <f t="shared" si="43"/>
        <v>43112.25</v>
      </c>
    </row>
    <row r="660" spans="1:22" ht="19.5" x14ac:dyDescent="0.4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12">
        <f t="shared" si="40"/>
        <v>0.60064638783269964</v>
      </c>
      <c r="P660" s="13">
        <f t="shared" si="41"/>
        <v>81.010256410256417</v>
      </c>
      <c r="Q660" t="str" cm="1">
        <f t="array" ref="Q660:R660">_xlfn.TEXTSPLIT(N660,"/",,FALSE,,#N/A)</f>
        <v>music</v>
      </c>
      <c r="R660" t="str">
        <v>rock</v>
      </c>
      <c r="U660" s="6">
        <f t="shared" si="42"/>
        <v>42246.208333333328</v>
      </c>
      <c r="V660" s="6">
        <f t="shared" si="43"/>
        <v>42269.208333333328</v>
      </c>
    </row>
    <row r="661" spans="1:22" ht="19.5" x14ac:dyDescent="0.4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12">
        <f t="shared" si="40"/>
        <v>0.47232808616404309</v>
      </c>
      <c r="P661" s="13">
        <f t="shared" si="41"/>
        <v>76.013333333333335</v>
      </c>
      <c r="Q661" t="str" cm="1">
        <f t="array" ref="Q661:R661">_xlfn.TEXTSPLIT(N661,"/",,FALSE,,#N/A)</f>
        <v>film &amp; video</v>
      </c>
      <c r="R661" t="str">
        <v>documentary</v>
      </c>
      <c r="U661" s="6">
        <f t="shared" si="42"/>
        <v>40570.25</v>
      </c>
      <c r="V661" s="6">
        <f t="shared" si="43"/>
        <v>40571.25</v>
      </c>
    </row>
    <row r="662" spans="1:22" ht="19.5" x14ac:dyDescent="0.4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12">
        <f t="shared" si="40"/>
        <v>0.81736263736263737</v>
      </c>
      <c r="P662" s="13">
        <f t="shared" si="41"/>
        <v>96.597402597402592</v>
      </c>
      <c r="Q662" t="str" cm="1">
        <f t="array" ref="Q662:R662">_xlfn.TEXTSPLIT(N662,"/",,FALSE,,#N/A)</f>
        <v>theater</v>
      </c>
      <c r="R662" t="str">
        <v>plays</v>
      </c>
      <c r="U662" s="6">
        <f t="shared" si="42"/>
        <v>42237.208333333328</v>
      </c>
      <c r="V662" s="6">
        <f t="shared" si="43"/>
        <v>42246.208333333328</v>
      </c>
    </row>
    <row r="663" spans="1:22" ht="19.5" x14ac:dyDescent="0.4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12">
        <f t="shared" si="40"/>
        <v>0.54187265917603</v>
      </c>
      <c r="P663" s="13">
        <f t="shared" si="41"/>
        <v>76.957446808510639</v>
      </c>
      <c r="Q663" t="str" cm="1">
        <f t="array" ref="Q663:R663">_xlfn.TEXTSPLIT(N663,"/",,FALSE,,#N/A)</f>
        <v>music</v>
      </c>
      <c r="R663" t="str">
        <v>jazz</v>
      </c>
      <c r="U663" s="6">
        <f t="shared" si="42"/>
        <v>40996.208333333336</v>
      </c>
      <c r="V663" s="6">
        <f t="shared" si="43"/>
        <v>41026.208333333336</v>
      </c>
    </row>
    <row r="664" spans="1:22" ht="19.5" x14ac:dyDescent="0.4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12">
        <f t="shared" si="40"/>
        <v>0.97868131868131869</v>
      </c>
      <c r="P664" s="13">
        <f t="shared" si="41"/>
        <v>67.984732824427482</v>
      </c>
      <c r="Q664" t="str" cm="1">
        <f t="array" ref="Q664:R664">_xlfn.TEXTSPLIT(N664,"/",,FALSE,,#N/A)</f>
        <v>theater</v>
      </c>
      <c r="R664" t="str">
        <v>plays</v>
      </c>
      <c r="U664" s="6">
        <f t="shared" si="42"/>
        <v>43443.25</v>
      </c>
      <c r="V664" s="6">
        <f t="shared" si="43"/>
        <v>43447.25</v>
      </c>
    </row>
    <row r="665" spans="1:22" ht="19.5" x14ac:dyDescent="0.4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12">
        <f t="shared" si="40"/>
        <v>0.77239999999999998</v>
      </c>
      <c r="P665" s="13">
        <f t="shared" si="41"/>
        <v>88.781609195402297</v>
      </c>
      <c r="Q665" t="str" cm="1">
        <f t="array" ref="Q665:R665">_xlfn.TEXTSPLIT(N665,"/",,FALSE,,#N/A)</f>
        <v>theater</v>
      </c>
      <c r="R665" t="str">
        <v>plays</v>
      </c>
      <c r="U665" s="6">
        <f t="shared" si="42"/>
        <v>40458.208333333336</v>
      </c>
      <c r="V665" s="6">
        <f t="shared" si="43"/>
        <v>40481.208333333336</v>
      </c>
    </row>
    <row r="666" spans="1:22" ht="19.5" x14ac:dyDescent="0.4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12">
        <f t="shared" si="40"/>
        <v>0.33464735516372796</v>
      </c>
      <c r="P666" s="13">
        <f t="shared" si="41"/>
        <v>24.99623706491063</v>
      </c>
      <c r="Q666" t="str" cm="1">
        <f t="array" ref="Q666:R666">_xlfn.TEXTSPLIT(N666,"/",,FALSE,,#N/A)</f>
        <v>music</v>
      </c>
      <c r="R666" t="str">
        <v>jazz</v>
      </c>
      <c r="U666" s="6">
        <f t="shared" si="42"/>
        <v>40959.25</v>
      </c>
      <c r="V666" s="6">
        <f t="shared" si="43"/>
        <v>40969.25</v>
      </c>
    </row>
    <row r="667" spans="1:22" ht="19.5" x14ac:dyDescent="0.4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12">
        <f t="shared" si="40"/>
        <v>2.3958823529411766</v>
      </c>
      <c r="P667" s="13">
        <f t="shared" si="41"/>
        <v>44.922794117647058</v>
      </c>
      <c r="Q667" t="str" cm="1">
        <f t="array" ref="Q667:R667">_xlfn.TEXTSPLIT(N667,"/",,FALSE,,#N/A)</f>
        <v>film &amp; video</v>
      </c>
      <c r="R667" t="str">
        <v>documentary</v>
      </c>
      <c r="U667" s="6">
        <f t="shared" si="42"/>
        <v>40733.208333333336</v>
      </c>
      <c r="V667" s="6">
        <f t="shared" si="43"/>
        <v>40747.208333333336</v>
      </c>
    </row>
    <row r="668" spans="1:22" ht="19.5" x14ac:dyDescent="0.4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12">
        <f t="shared" si="40"/>
        <v>0.64032258064516134</v>
      </c>
      <c r="P668" s="13">
        <f t="shared" si="41"/>
        <v>79.400000000000006</v>
      </c>
      <c r="Q668" t="str" cm="1">
        <f t="array" ref="Q668:R668">_xlfn.TEXTSPLIT(N668,"/",,FALSE,,#N/A)</f>
        <v>theater</v>
      </c>
      <c r="R668" t="str">
        <v>plays</v>
      </c>
      <c r="U668" s="6">
        <f t="shared" si="42"/>
        <v>41516.208333333336</v>
      </c>
      <c r="V668" s="6">
        <f t="shared" si="43"/>
        <v>41522.208333333336</v>
      </c>
    </row>
    <row r="669" spans="1:22" ht="33.75" x14ac:dyDescent="0.4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12">
        <f t="shared" si="40"/>
        <v>1.7615942028985507</v>
      </c>
      <c r="P669" s="13">
        <f t="shared" si="41"/>
        <v>29.009546539379475</v>
      </c>
      <c r="Q669" t="str" cm="1">
        <f t="array" ref="Q669:R669">_xlfn.TEXTSPLIT(N669,"/",,FALSE,,#N/A)</f>
        <v>journalism</v>
      </c>
      <c r="R669" t="str">
        <v>audio</v>
      </c>
      <c r="U669" s="6">
        <f t="shared" si="42"/>
        <v>41892.208333333336</v>
      </c>
      <c r="V669" s="6">
        <f t="shared" si="43"/>
        <v>41901.208333333336</v>
      </c>
    </row>
    <row r="670" spans="1:22" ht="33.75" x14ac:dyDescent="0.4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12">
        <f t="shared" si="40"/>
        <v>0.20338181818181819</v>
      </c>
      <c r="P670" s="13">
        <f t="shared" si="41"/>
        <v>73.59210526315789</v>
      </c>
      <c r="Q670" t="str" cm="1">
        <f t="array" ref="Q670:R670">_xlfn.TEXTSPLIT(N670,"/",,FALSE,,#N/A)</f>
        <v>theater</v>
      </c>
      <c r="R670" t="str">
        <v>plays</v>
      </c>
      <c r="U670" s="6">
        <f t="shared" si="42"/>
        <v>41122.208333333336</v>
      </c>
      <c r="V670" s="6">
        <f t="shared" si="43"/>
        <v>41134.208333333336</v>
      </c>
    </row>
    <row r="671" spans="1:22" ht="19.5" x14ac:dyDescent="0.4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12">
        <f t="shared" si="40"/>
        <v>3.5864754098360656</v>
      </c>
      <c r="P671" s="13">
        <f t="shared" si="41"/>
        <v>107.97038864898211</v>
      </c>
      <c r="Q671" t="str" cm="1">
        <f t="array" ref="Q671:R671">_xlfn.TEXTSPLIT(N671,"/",,FALSE,,#N/A)</f>
        <v>theater</v>
      </c>
      <c r="R671" t="str">
        <v>plays</v>
      </c>
      <c r="U671" s="6">
        <f t="shared" si="42"/>
        <v>42912.208333333328</v>
      </c>
      <c r="V671" s="6">
        <f t="shared" si="43"/>
        <v>42921.208333333328</v>
      </c>
    </row>
    <row r="672" spans="1:22" ht="33.75" x14ac:dyDescent="0.4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12">
        <f t="shared" si="40"/>
        <v>4.6885802469135802</v>
      </c>
      <c r="P672" s="13">
        <f t="shared" si="41"/>
        <v>68.987284287011803</v>
      </c>
      <c r="Q672" t="str" cm="1">
        <f t="array" ref="Q672:R672">_xlfn.TEXTSPLIT(N672,"/",,FALSE,,#N/A)</f>
        <v>music</v>
      </c>
      <c r="R672" t="str">
        <v>indie rock</v>
      </c>
      <c r="U672" s="6">
        <f t="shared" si="42"/>
        <v>42425.25</v>
      </c>
      <c r="V672" s="6">
        <f t="shared" si="43"/>
        <v>42437.25</v>
      </c>
    </row>
    <row r="673" spans="1:22" ht="33.75" x14ac:dyDescent="0.4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12">
        <f t="shared" si="40"/>
        <v>1.220563524590164</v>
      </c>
      <c r="P673" s="13">
        <f t="shared" si="41"/>
        <v>111.02236719478098</v>
      </c>
      <c r="Q673" t="str" cm="1">
        <f t="array" ref="Q673:R673">_xlfn.TEXTSPLIT(N673,"/",,FALSE,,#N/A)</f>
        <v>theater</v>
      </c>
      <c r="R673" t="str">
        <v>plays</v>
      </c>
      <c r="U673" s="6">
        <f t="shared" si="42"/>
        <v>40390.208333333336</v>
      </c>
      <c r="V673" s="6">
        <f t="shared" si="43"/>
        <v>40394.208333333336</v>
      </c>
    </row>
    <row r="674" spans="1:22" ht="19.5" x14ac:dyDescent="0.4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12">
        <f t="shared" si="40"/>
        <v>0.55931783729156137</v>
      </c>
      <c r="P674" s="13">
        <f t="shared" si="41"/>
        <v>24.997515808491418</v>
      </c>
      <c r="Q674" t="str" cm="1">
        <f t="array" ref="Q674:R674">_xlfn.TEXTSPLIT(N674,"/",,FALSE,,#N/A)</f>
        <v>theater</v>
      </c>
      <c r="R674" t="str">
        <v>plays</v>
      </c>
      <c r="U674" s="6">
        <f t="shared" si="42"/>
        <v>43180.208333333328</v>
      </c>
      <c r="V674" s="6">
        <f t="shared" si="43"/>
        <v>43190.208333333328</v>
      </c>
    </row>
    <row r="675" spans="1:22" ht="19.5" x14ac:dyDescent="0.4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12">
        <f t="shared" si="40"/>
        <v>0.43660714285714286</v>
      </c>
      <c r="P675" s="13">
        <f t="shared" si="41"/>
        <v>42.155172413793103</v>
      </c>
      <c r="Q675" t="str" cm="1">
        <f t="array" ref="Q675:R675">_xlfn.TEXTSPLIT(N675,"/",,FALSE,,#N/A)</f>
        <v>music</v>
      </c>
      <c r="R675" t="str">
        <v>indie rock</v>
      </c>
      <c r="U675" s="6">
        <f t="shared" si="42"/>
        <v>42475.208333333328</v>
      </c>
      <c r="V675" s="6">
        <f t="shared" si="43"/>
        <v>42496.208333333328</v>
      </c>
    </row>
    <row r="676" spans="1:22" ht="19.5" x14ac:dyDescent="0.4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12">
        <f t="shared" si="40"/>
        <v>0.33538371411833628</v>
      </c>
      <c r="P676" s="13">
        <f t="shared" si="41"/>
        <v>47.003284072249592</v>
      </c>
      <c r="Q676" t="str" cm="1">
        <f t="array" ref="Q676:R676">_xlfn.TEXTSPLIT(N676,"/",,FALSE,,#N/A)</f>
        <v>photography</v>
      </c>
      <c r="R676" t="str">
        <v>photography books</v>
      </c>
      <c r="U676" s="6">
        <f t="shared" si="42"/>
        <v>40774.208333333336</v>
      </c>
      <c r="V676" s="6">
        <f t="shared" si="43"/>
        <v>40821.208333333336</v>
      </c>
    </row>
    <row r="677" spans="1:22" ht="19.5" x14ac:dyDescent="0.4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12">
        <f t="shared" si="40"/>
        <v>1.2297938144329896</v>
      </c>
      <c r="P677" s="13">
        <f t="shared" si="41"/>
        <v>36.0392749244713</v>
      </c>
      <c r="Q677" t="str" cm="1">
        <f t="array" ref="Q677:R677">_xlfn.TEXTSPLIT(N677,"/",,FALSE,,#N/A)</f>
        <v>journalism</v>
      </c>
      <c r="R677" t="str">
        <v>audio</v>
      </c>
      <c r="U677" s="6">
        <f t="shared" si="42"/>
        <v>43719.208333333328</v>
      </c>
      <c r="V677" s="6">
        <f t="shared" si="43"/>
        <v>43726.208333333328</v>
      </c>
    </row>
    <row r="678" spans="1:22" ht="19.5" x14ac:dyDescent="0.4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12">
        <f t="shared" si="40"/>
        <v>1.8974959871589085</v>
      </c>
      <c r="P678" s="13">
        <f t="shared" si="41"/>
        <v>101.03760683760684</v>
      </c>
      <c r="Q678" t="str" cm="1">
        <f t="array" ref="Q678:R678">_xlfn.TEXTSPLIT(N678,"/",,FALSE,,#N/A)</f>
        <v>photography</v>
      </c>
      <c r="R678" t="str">
        <v>photography books</v>
      </c>
      <c r="U678" s="6">
        <f t="shared" si="42"/>
        <v>41178.208333333336</v>
      </c>
      <c r="V678" s="6">
        <f t="shared" si="43"/>
        <v>41187.208333333336</v>
      </c>
    </row>
    <row r="679" spans="1:22" ht="19.5" x14ac:dyDescent="0.4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12">
        <f t="shared" si="40"/>
        <v>0.83622641509433959</v>
      </c>
      <c r="P679" s="13">
        <f t="shared" si="41"/>
        <v>39.927927927927925</v>
      </c>
      <c r="Q679" t="str" cm="1">
        <f t="array" ref="Q679:R679">_xlfn.TEXTSPLIT(N679,"/",,FALSE,,#N/A)</f>
        <v>publishing</v>
      </c>
      <c r="R679" t="str">
        <v>fiction</v>
      </c>
      <c r="U679" s="6">
        <f t="shared" si="42"/>
        <v>42561.208333333328</v>
      </c>
      <c r="V679" s="6">
        <f t="shared" si="43"/>
        <v>42611.208333333328</v>
      </c>
    </row>
    <row r="680" spans="1:22" ht="19.5" x14ac:dyDescent="0.4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12">
        <f t="shared" si="40"/>
        <v>0.17968844221105529</v>
      </c>
      <c r="P680" s="13">
        <f t="shared" si="41"/>
        <v>83.158139534883716</v>
      </c>
      <c r="Q680" t="str" cm="1">
        <f t="array" ref="Q680:R680">_xlfn.TEXTSPLIT(N680,"/",,FALSE,,#N/A)</f>
        <v>film &amp; video</v>
      </c>
      <c r="R680" t="str">
        <v>drama</v>
      </c>
      <c r="U680" s="6">
        <f t="shared" si="42"/>
        <v>43484.25</v>
      </c>
      <c r="V680" s="6">
        <f t="shared" si="43"/>
        <v>43486.25</v>
      </c>
    </row>
    <row r="681" spans="1:22" ht="19.5" x14ac:dyDescent="0.4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12">
        <f t="shared" si="40"/>
        <v>10.365</v>
      </c>
      <c r="P681" s="13">
        <f t="shared" si="41"/>
        <v>39.97520661157025</v>
      </c>
      <c r="Q681" t="str" cm="1">
        <f t="array" ref="Q681:R681">_xlfn.TEXTSPLIT(N681,"/",,FALSE,,#N/A)</f>
        <v>food</v>
      </c>
      <c r="R681" t="str">
        <v>food trucks</v>
      </c>
      <c r="U681" s="6">
        <f t="shared" si="42"/>
        <v>43756.208333333328</v>
      </c>
      <c r="V681" s="6">
        <f t="shared" si="43"/>
        <v>43761.208333333328</v>
      </c>
    </row>
    <row r="682" spans="1:22" ht="33.75" x14ac:dyDescent="0.4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12">
        <f t="shared" si="40"/>
        <v>0.97405219780219776</v>
      </c>
      <c r="P682" s="13">
        <f t="shared" si="41"/>
        <v>47.993908629441627</v>
      </c>
      <c r="Q682" t="str" cm="1">
        <f t="array" ref="Q682:R682">_xlfn.TEXTSPLIT(N682,"/",,FALSE,,#N/A)</f>
        <v>games</v>
      </c>
      <c r="R682" t="str">
        <v>mobile games</v>
      </c>
      <c r="U682" s="6">
        <f t="shared" si="42"/>
        <v>43813.25</v>
      </c>
      <c r="V682" s="6">
        <f t="shared" si="43"/>
        <v>43815.25</v>
      </c>
    </row>
    <row r="683" spans="1:22" ht="33.75" x14ac:dyDescent="0.4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12">
        <f t="shared" si="40"/>
        <v>0.86386203150461705</v>
      </c>
      <c r="P683" s="13">
        <f t="shared" si="41"/>
        <v>95.978877489438744</v>
      </c>
      <c r="Q683" t="str" cm="1">
        <f t="array" ref="Q683:R683">_xlfn.TEXTSPLIT(N683,"/",,FALSE,,#N/A)</f>
        <v>theater</v>
      </c>
      <c r="R683" t="str">
        <v>plays</v>
      </c>
      <c r="U683" s="6">
        <f t="shared" si="42"/>
        <v>40898.25</v>
      </c>
      <c r="V683" s="6">
        <f t="shared" si="43"/>
        <v>40904.25</v>
      </c>
    </row>
    <row r="684" spans="1:22" ht="19.5" x14ac:dyDescent="0.4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12">
        <f t="shared" si="40"/>
        <v>1.5016666666666667</v>
      </c>
      <c r="P684" s="13">
        <f t="shared" si="41"/>
        <v>78.728155339805824</v>
      </c>
      <c r="Q684" t="str" cm="1">
        <f t="array" ref="Q684:R684">_xlfn.TEXTSPLIT(N684,"/",,FALSE,,#N/A)</f>
        <v>theater</v>
      </c>
      <c r="R684" t="str">
        <v>plays</v>
      </c>
      <c r="U684" s="6">
        <f t="shared" si="42"/>
        <v>41619.25</v>
      </c>
      <c r="V684" s="6">
        <f t="shared" si="43"/>
        <v>41628.25</v>
      </c>
    </row>
    <row r="685" spans="1:22" ht="19.5" x14ac:dyDescent="0.4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12">
        <f t="shared" si="40"/>
        <v>3.5843478260869563</v>
      </c>
      <c r="P685" s="13">
        <f t="shared" si="41"/>
        <v>56.081632653061227</v>
      </c>
      <c r="Q685" t="str" cm="1">
        <f t="array" ref="Q685:R685">_xlfn.TEXTSPLIT(N685,"/",,FALSE,,#N/A)</f>
        <v>theater</v>
      </c>
      <c r="R685" t="str">
        <v>plays</v>
      </c>
      <c r="U685" s="6">
        <f t="shared" si="42"/>
        <v>43359.208333333328</v>
      </c>
      <c r="V685" s="6">
        <f t="shared" si="43"/>
        <v>43361.208333333328</v>
      </c>
    </row>
    <row r="686" spans="1:22" ht="19.5" x14ac:dyDescent="0.4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12">
        <f t="shared" si="40"/>
        <v>5.4285714285714288</v>
      </c>
      <c r="P686" s="13">
        <f t="shared" si="41"/>
        <v>69.090909090909093</v>
      </c>
      <c r="Q686" t="str" cm="1">
        <f t="array" ref="Q686:R686">_xlfn.TEXTSPLIT(N686,"/",,FALSE,,#N/A)</f>
        <v>publishing</v>
      </c>
      <c r="R686" t="str">
        <v>nonfiction</v>
      </c>
      <c r="U686" s="6">
        <f t="shared" si="42"/>
        <v>40358.208333333336</v>
      </c>
      <c r="V686" s="6">
        <f t="shared" si="43"/>
        <v>40378.208333333336</v>
      </c>
    </row>
    <row r="687" spans="1:22" ht="19.5" x14ac:dyDescent="0.4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12">
        <f t="shared" si="40"/>
        <v>0.67500714285714281</v>
      </c>
      <c r="P687" s="13">
        <f t="shared" si="41"/>
        <v>102.05291576673866</v>
      </c>
      <c r="Q687" t="str" cm="1">
        <f t="array" ref="Q687:R687">_xlfn.TEXTSPLIT(N687,"/",,FALSE,,#N/A)</f>
        <v>theater</v>
      </c>
      <c r="R687" t="str">
        <v>plays</v>
      </c>
      <c r="U687" s="6">
        <f t="shared" si="42"/>
        <v>42239.208333333328</v>
      </c>
      <c r="V687" s="6">
        <f t="shared" si="43"/>
        <v>42263.208333333328</v>
      </c>
    </row>
    <row r="688" spans="1:22" ht="19.5" x14ac:dyDescent="0.4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12">
        <f t="shared" si="40"/>
        <v>1.9174666666666667</v>
      </c>
      <c r="P688" s="13">
        <f t="shared" si="41"/>
        <v>107.32089552238806</v>
      </c>
      <c r="Q688" t="str" cm="1">
        <f t="array" ref="Q688:R688">_xlfn.TEXTSPLIT(N688,"/",,FALSE,,#N/A)</f>
        <v>technology</v>
      </c>
      <c r="R688" t="str">
        <v>wearables</v>
      </c>
      <c r="U688" s="6">
        <f t="shared" si="42"/>
        <v>43186.208333333328</v>
      </c>
      <c r="V688" s="6">
        <f t="shared" si="43"/>
        <v>43197.208333333328</v>
      </c>
    </row>
    <row r="689" spans="1:22" ht="19.5" x14ac:dyDescent="0.4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12">
        <f t="shared" si="40"/>
        <v>9.32</v>
      </c>
      <c r="P689" s="13">
        <f t="shared" si="41"/>
        <v>51.970260223048328</v>
      </c>
      <c r="Q689" t="str" cm="1">
        <f t="array" ref="Q689:R689">_xlfn.TEXTSPLIT(N689,"/",,FALSE,,#N/A)</f>
        <v>theater</v>
      </c>
      <c r="R689" t="str">
        <v>plays</v>
      </c>
      <c r="U689" s="6">
        <f t="shared" si="42"/>
        <v>42806.25</v>
      </c>
      <c r="V689" s="6">
        <f t="shared" si="43"/>
        <v>42809.208333333328</v>
      </c>
    </row>
    <row r="690" spans="1:22" ht="19.5" x14ac:dyDescent="0.4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12">
        <f t="shared" si="40"/>
        <v>4.2927586206896553</v>
      </c>
      <c r="P690" s="13">
        <f t="shared" si="41"/>
        <v>71.137142857142862</v>
      </c>
      <c r="Q690" t="str" cm="1">
        <f t="array" ref="Q690:R690">_xlfn.TEXTSPLIT(N690,"/",,FALSE,,#N/A)</f>
        <v>film &amp; video</v>
      </c>
      <c r="R690" t="str">
        <v>television</v>
      </c>
      <c r="U690" s="6">
        <f t="shared" si="42"/>
        <v>43475.25</v>
      </c>
      <c r="V690" s="6">
        <f t="shared" si="43"/>
        <v>43491.25</v>
      </c>
    </row>
    <row r="691" spans="1:22" ht="19.5" x14ac:dyDescent="0.4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12">
        <f t="shared" si="40"/>
        <v>1.0065753424657535</v>
      </c>
      <c r="P691" s="13">
        <f t="shared" si="41"/>
        <v>106.49275362318841</v>
      </c>
      <c r="Q691" t="str" cm="1">
        <f t="array" ref="Q691:R691">_xlfn.TEXTSPLIT(N691,"/",,FALSE,,#N/A)</f>
        <v>technology</v>
      </c>
      <c r="R691" t="str">
        <v>web</v>
      </c>
      <c r="U691" s="6">
        <f t="shared" si="42"/>
        <v>41576.208333333336</v>
      </c>
      <c r="V691" s="6">
        <f t="shared" si="43"/>
        <v>41588.25</v>
      </c>
    </row>
    <row r="692" spans="1:22" ht="19.5" x14ac:dyDescent="0.4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12">
        <f t="shared" si="40"/>
        <v>2.266111111111111</v>
      </c>
      <c r="P692" s="13">
        <f t="shared" si="41"/>
        <v>42.93684210526316</v>
      </c>
      <c r="Q692" t="str" cm="1">
        <f t="array" ref="Q692:R692">_xlfn.TEXTSPLIT(N692,"/",,FALSE,,#N/A)</f>
        <v>film &amp; video</v>
      </c>
      <c r="R692" t="str">
        <v>documentary</v>
      </c>
      <c r="U692" s="6">
        <f t="shared" si="42"/>
        <v>40874.25</v>
      </c>
      <c r="V692" s="6">
        <f t="shared" si="43"/>
        <v>40880.25</v>
      </c>
    </row>
    <row r="693" spans="1:22" ht="19.5" x14ac:dyDescent="0.4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12">
        <f t="shared" si="40"/>
        <v>1.4238</v>
      </c>
      <c r="P693" s="13">
        <f t="shared" si="41"/>
        <v>30.037974683544302</v>
      </c>
      <c r="Q693" t="str" cm="1">
        <f t="array" ref="Q693:R693">_xlfn.TEXTSPLIT(N693,"/",,FALSE,,#N/A)</f>
        <v>film &amp; video</v>
      </c>
      <c r="R693" t="str">
        <v>documentary</v>
      </c>
      <c r="U693" s="6">
        <f t="shared" si="42"/>
        <v>41185.208333333336</v>
      </c>
      <c r="V693" s="6">
        <f t="shared" si="43"/>
        <v>41202.208333333336</v>
      </c>
    </row>
    <row r="694" spans="1:22" ht="19.5" x14ac:dyDescent="0.4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12">
        <f t="shared" si="40"/>
        <v>0.90633333333333332</v>
      </c>
      <c r="P694" s="13">
        <f t="shared" si="41"/>
        <v>70.623376623376629</v>
      </c>
      <c r="Q694" t="str" cm="1">
        <f t="array" ref="Q694:R694">_xlfn.TEXTSPLIT(N694,"/",,FALSE,,#N/A)</f>
        <v>music</v>
      </c>
      <c r="R694" t="str">
        <v>rock</v>
      </c>
      <c r="U694" s="6">
        <f t="shared" si="42"/>
        <v>43655.208333333328</v>
      </c>
      <c r="V694" s="6">
        <f t="shared" si="43"/>
        <v>43673.208333333328</v>
      </c>
    </row>
    <row r="695" spans="1:22" ht="33.75" x14ac:dyDescent="0.4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12">
        <f t="shared" si="40"/>
        <v>0.63966740576496672</v>
      </c>
      <c r="P695" s="13">
        <f t="shared" si="41"/>
        <v>66.016018306636155</v>
      </c>
      <c r="Q695" t="str" cm="1">
        <f t="array" ref="Q695:R695">_xlfn.TEXTSPLIT(N695,"/",,FALSE,,#N/A)</f>
        <v>theater</v>
      </c>
      <c r="R695" t="str">
        <v>plays</v>
      </c>
      <c r="U695" s="6">
        <f t="shared" si="42"/>
        <v>43025.208333333328</v>
      </c>
      <c r="V695" s="6">
        <f t="shared" si="43"/>
        <v>43042.208333333328</v>
      </c>
    </row>
    <row r="696" spans="1:22" ht="19.5" x14ac:dyDescent="0.4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12">
        <f t="shared" si="40"/>
        <v>0.84131868131868137</v>
      </c>
      <c r="P696" s="13">
        <f t="shared" si="41"/>
        <v>96.911392405063296</v>
      </c>
      <c r="Q696" t="str" cm="1">
        <f t="array" ref="Q696:R696">_xlfn.TEXTSPLIT(N696,"/",,FALSE,,#N/A)</f>
        <v>theater</v>
      </c>
      <c r="R696" t="str">
        <v>plays</v>
      </c>
      <c r="U696" s="6">
        <f t="shared" si="42"/>
        <v>43066.25</v>
      </c>
      <c r="V696" s="6">
        <f t="shared" si="43"/>
        <v>43103.25</v>
      </c>
    </row>
    <row r="697" spans="1:22" ht="19.5" x14ac:dyDescent="0.4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12">
        <f t="shared" si="40"/>
        <v>1.3393478260869565</v>
      </c>
      <c r="P697" s="13">
        <f t="shared" si="41"/>
        <v>62.867346938775512</v>
      </c>
      <c r="Q697" t="str" cm="1">
        <f t="array" ref="Q697:R697">_xlfn.TEXTSPLIT(N697,"/",,FALSE,,#N/A)</f>
        <v>music</v>
      </c>
      <c r="R697" t="str">
        <v>rock</v>
      </c>
      <c r="U697" s="6">
        <f t="shared" si="42"/>
        <v>42322.25</v>
      </c>
      <c r="V697" s="6">
        <f t="shared" si="43"/>
        <v>42338.25</v>
      </c>
    </row>
    <row r="698" spans="1:22" ht="19.5" x14ac:dyDescent="0.4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12">
        <f t="shared" si="40"/>
        <v>0.59042047531992692</v>
      </c>
      <c r="P698" s="13">
        <f t="shared" si="41"/>
        <v>108.98537682789652</v>
      </c>
      <c r="Q698" t="str" cm="1">
        <f t="array" ref="Q698:R698">_xlfn.TEXTSPLIT(N698,"/",,FALSE,,#N/A)</f>
        <v>theater</v>
      </c>
      <c r="R698" t="str">
        <v>plays</v>
      </c>
      <c r="U698" s="6">
        <f t="shared" si="42"/>
        <v>42114.208333333328</v>
      </c>
      <c r="V698" s="6">
        <f t="shared" si="43"/>
        <v>42115.208333333328</v>
      </c>
    </row>
    <row r="699" spans="1:22" ht="19.5" x14ac:dyDescent="0.4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12">
        <f t="shared" si="40"/>
        <v>1.5280062063615205</v>
      </c>
      <c r="P699" s="13">
        <f t="shared" si="41"/>
        <v>26.999314599040439</v>
      </c>
      <c r="Q699" t="str" cm="1">
        <f t="array" ref="Q699:R699">_xlfn.TEXTSPLIT(N699,"/",,FALSE,,#N/A)</f>
        <v>music</v>
      </c>
      <c r="R699" t="str">
        <v>electric music</v>
      </c>
      <c r="U699" s="6">
        <f t="shared" si="42"/>
        <v>43190.208333333328</v>
      </c>
      <c r="V699" s="6">
        <f t="shared" si="43"/>
        <v>43192.208333333328</v>
      </c>
    </row>
    <row r="700" spans="1:22" ht="19.5" x14ac:dyDescent="0.4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12">
        <f t="shared" si="40"/>
        <v>4.466912114014252</v>
      </c>
      <c r="P700" s="13">
        <f t="shared" si="41"/>
        <v>65.004147943311438</v>
      </c>
      <c r="Q700" t="str" cm="1">
        <f t="array" ref="Q700:R700">_xlfn.TEXTSPLIT(N700,"/",,FALSE,,#N/A)</f>
        <v>technology</v>
      </c>
      <c r="R700" t="str">
        <v>wearables</v>
      </c>
      <c r="U700" s="6">
        <f t="shared" si="42"/>
        <v>40871.25</v>
      </c>
      <c r="V700" s="6">
        <f t="shared" si="43"/>
        <v>40885.25</v>
      </c>
    </row>
    <row r="701" spans="1:22" ht="19.5" x14ac:dyDescent="0.4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12">
        <f t="shared" si="40"/>
        <v>0.8439189189189189</v>
      </c>
      <c r="P701" s="13">
        <f t="shared" si="41"/>
        <v>111.51785714285714</v>
      </c>
      <c r="Q701" t="str" cm="1">
        <f t="array" ref="Q701:R701">_xlfn.TEXTSPLIT(N701,"/",,FALSE,,#N/A)</f>
        <v>film &amp; video</v>
      </c>
      <c r="R701" t="str">
        <v>drama</v>
      </c>
      <c r="U701" s="6">
        <f t="shared" si="42"/>
        <v>43641.208333333328</v>
      </c>
      <c r="V701" s="6">
        <f t="shared" si="43"/>
        <v>43642.208333333328</v>
      </c>
    </row>
    <row r="702" spans="1:22" ht="33.75" x14ac:dyDescent="0.4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12">
        <f t="shared" si="40"/>
        <v>0.03</v>
      </c>
      <c r="P702" s="13">
        <f t="shared" si="41"/>
        <v>3</v>
      </c>
      <c r="Q702" t="str" cm="1">
        <f t="array" ref="Q702:R702">_xlfn.TEXTSPLIT(N702,"/",,FALSE,,#N/A)</f>
        <v>technology</v>
      </c>
      <c r="R702" t="str">
        <v>wearables</v>
      </c>
      <c r="U702" s="6">
        <f t="shared" si="42"/>
        <v>40203.25</v>
      </c>
      <c r="V702" s="6">
        <f t="shared" si="43"/>
        <v>40218.25</v>
      </c>
    </row>
    <row r="703" spans="1:22" ht="33.75" x14ac:dyDescent="0.4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12">
        <f t="shared" si="40"/>
        <v>1.7502692307692307</v>
      </c>
      <c r="P703" s="13">
        <f t="shared" si="41"/>
        <v>110.99268292682927</v>
      </c>
      <c r="Q703" t="str" cm="1">
        <f t="array" ref="Q703:R703">_xlfn.TEXTSPLIT(N703,"/",,FALSE,,#N/A)</f>
        <v>theater</v>
      </c>
      <c r="R703" t="str">
        <v>plays</v>
      </c>
      <c r="U703" s="6">
        <f t="shared" si="42"/>
        <v>40629.208333333336</v>
      </c>
      <c r="V703" s="6">
        <f t="shared" si="43"/>
        <v>40636.208333333336</v>
      </c>
    </row>
    <row r="704" spans="1:22" ht="33.75" x14ac:dyDescent="0.4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12">
        <f t="shared" si="40"/>
        <v>0.54137931034482756</v>
      </c>
      <c r="P704" s="13">
        <f t="shared" si="41"/>
        <v>56.746987951807228</v>
      </c>
      <c r="Q704" t="str" cm="1">
        <f t="array" ref="Q704:R704">_xlfn.TEXTSPLIT(N704,"/",,FALSE,,#N/A)</f>
        <v>technology</v>
      </c>
      <c r="R704" t="str">
        <v>wearables</v>
      </c>
      <c r="U704" s="6">
        <f t="shared" si="42"/>
        <v>41477.208333333336</v>
      </c>
      <c r="V704" s="6">
        <f t="shared" si="43"/>
        <v>41482.208333333336</v>
      </c>
    </row>
    <row r="705" spans="1:22" ht="19.5" x14ac:dyDescent="0.4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12">
        <f t="shared" si="40"/>
        <v>3.1187381703470032</v>
      </c>
      <c r="P705" s="13">
        <f t="shared" si="41"/>
        <v>97.020608439646708</v>
      </c>
      <c r="Q705" t="str" cm="1">
        <f t="array" ref="Q705:R705">_xlfn.TEXTSPLIT(N705,"/",,FALSE,,#N/A)</f>
        <v>publishing</v>
      </c>
      <c r="R705" t="str">
        <v>translations</v>
      </c>
      <c r="U705" s="6">
        <f t="shared" si="42"/>
        <v>41020.208333333336</v>
      </c>
      <c r="V705" s="6">
        <f t="shared" si="43"/>
        <v>41037.208333333336</v>
      </c>
    </row>
    <row r="706" spans="1:22" ht="33.75" x14ac:dyDescent="0.4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12">
        <f t="shared" si="40"/>
        <v>1.2278160919540231</v>
      </c>
      <c r="P706" s="13">
        <f t="shared" si="41"/>
        <v>92.08620689655173</v>
      </c>
      <c r="Q706" t="str" cm="1">
        <f t="array" ref="Q706:R706">_xlfn.TEXTSPLIT(N706,"/",,FALSE,,#N/A)</f>
        <v>film &amp; video</v>
      </c>
      <c r="R706" t="str">
        <v>animation</v>
      </c>
      <c r="U706" s="6">
        <f t="shared" si="42"/>
        <v>42555.208333333328</v>
      </c>
      <c r="V706" s="6">
        <f t="shared" si="43"/>
        <v>42570.208333333328</v>
      </c>
    </row>
    <row r="707" spans="1:22" ht="19.5" x14ac:dyDescent="0.4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12">
        <f t="shared" ref="O707:O770" si="44">E707/D707</f>
        <v>0.99026517383618151</v>
      </c>
      <c r="P707" s="13">
        <f t="shared" ref="P707:P770" si="45">E707/G707</f>
        <v>82.986666666666665</v>
      </c>
      <c r="Q707" t="str" cm="1">
        <f t="array" ref="Q707:R707">_xlfn.TEXTSPLIT(N707,"/",,FALSE,,#N/A)</f>
        <v>publishing</v>
      </c>
      <c r="R707" t="str">
        <v>nonfiction</v>
      </c>
      <c r="U707" s="6">
        <f t="shared" ref="U707:U770" si="46">(((J707/60)/60)/24)+DATE(1970,1,1)</f>
        <v>41619.25</v>
      </c>
      <c r="V707" s="6">
        <f t="shared" ref="V707:V770" si="47">(((K707/60)/60)/24)+DATE(1970,1,1)</f>
        <v>41623.25</v>
      </c>
    </row>
    <row r="708" spans="1:22" ht="33.75" x14ac:dyDescent="0.4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12">
        <f t="shared" si="44"/>
        <v>1.278468634686347</v>
      </c>
      <c r="P708" s="13">
        <f t="shared" si="45"/>
        <v>103.03791821561339</v>
      </c>
      <c r="Q708" t="str" cm="1">
        <f t="array" ref="Q708:R708">_xlfn.TEXTSPLIT(N708,"/",,FALSE,,#N/A)</f>
        <v>technology</v>
      </c>
      <c r="R708" t="str">
        <v>web</v>
      </c>
      <c r="U708" s="6">
        <f t="shared" si="46"/>
        <v>43471.25</v>
      </c>
      <c r="V708" s="6">
        <f t="shared" si="47"/>
        <v>43479.25</v>
      </c>
    </row>
    <row r="709" spans="1:22" ht="33.75" x14ac:dyDescent="0.4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12">
        <f t="shared" si="44"/>
        <v>1.5861643835616439</v>
      </c>
      <c r="P709" s="13">
        <f t="shared" si="45"/>
        <v>68.922619047619051</v>
      </c>
      <c r="Q709" t="str" cm="1">
        <f t="array" ref="Q709:R709">_xlfn.TEXTSPLIT(N709,"/",,FALSE,,#N/A)</f>
        <v>film &amp; video</v>
      </c>
      <c r="R709" t="str">
        <v>drama</v>
      </c>
      <c r="U709" s="6">
        <f t="shared" si="46"/>
        <v>43442.25</v>
      </c>
      <c r="V709" s="6">
        <f t="shared" si="47"/>
        <v>43478.25</v>
      </c>
    </row>
    <row r="710" spans="1:22" ht="19.5" x14ac:dyDescent="0.4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12">
        <f t="shared" si="44"/>
        <v>7.0705882352941174</v>
      </c>
      <c r="P710" s="13">
        <f t="shared" si="45"/>
        <v>87.737226277372258</v>
      </c>
      <c r="Q710" t="str" cm="1">
        <f t="array" ref="Q710:R710">_xlfn.TEXTSPLIT(N710,"/",,FALSE,,#N/A)</f>
        <v>theater</v>
      </c>
      <c r="R710" t="str">
        <v>plays</v>
      </c>
      <c r="U710" s="6">
        <f t="shared" si="46"/>
        <v>42877.208333333328</v>
      </c>
      <c r="V710" s="6">
        <f t="shared" si="47"/>
        <v>42887.208333333328</v>
      </c>
    </row>
    <row r="711" spans="1:22" ht="19.5" x14ac:dyDescent="0.4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12">
        <f t="shared" si="44"/>
        <v>1.4238775510204082</v>
      </c>
      <c r="P711" s="13">
        <f t="shared" si="45"/>
        <v>75.021505376344081</v>
      </c>
      <c r="Q711" t="str" cm="1">
        <f t="array" ref="Q711:R711">_xlfn.TEXTSPLIT(N711,"/",,FALSE,,#N/A)</f>
        <v>theater</v>
      </c>
      <c r="R711" t="str">
        <v>plays</v>
      </c>
      <c r="U711" s="6">
        <f t="shared" si="46"/>
        <v>41018.208333333336</v>
      </c>
      <c r="V711" s="6">
        <f t="shared" si="47"/>
        <v>41025.208333333336</v>
      </c>
    </row>
    <row r="712" spans="1:22" ht="33.75" x14ac:dyDescent="0.4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12">
        <f t="shared" si="44"/>
        <v>1.4786046511627906</v>
      </c>
      <c r="P712" s="13">
        <f t="shared" si="45"/>
        <v>50.863999999999997</v>
      </c>
      <c r="Q712" t="str" cm="1">
        <f t="array" ref="Q712:R712">_xlfn.TEXTSPLIT(N712,"/",,FALSE,,#N/A)</f>
        <v>theater</v>
      </c>
      <c r="R712" t="str">
        <v>plays</v>
      </c>
      <c r="U712" s="6">
        <f t="shared" si="46"/>
        <v>43295.208333333328</v>
      </c>
      <c r="V712" s="6">
        <f t="shared" si="47"/>
        <v>43302.208333333328</v>
      </c>
    </row>
    <row r="713" spans="1:22" ht="33.75" x14ac:dyDescent="0.4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12">
        <f t="shared" si="44"/>
        <v>0.20322580645161289</v>
      </c>
      <c r="P713" s="13">
        <f t="shared" si="45"/>
        <v>90</v>
      </c>
      <c r="Q713" t="str" cm="1">
        <f t="array" ref="Q713:R713">_xlfn.TEXTSPLIT(N713,"/",,FALSE,,#N/A)</f>
        <v>theater</v>
      </c>
      <c r="R713" t="str">
        <v>plays</v>
      </c>
      <c r="U713" s="6">
        <f t="shared" si="46"/>
        <v>42393.25</v>
      </c>
      <c r="V713" s="6">
        <f t="shared" si="47"/>
        <v>42395.25</v>
      </c>
    </row>
    <row r="714" spans="1:22" ht="33.75" x14ac:dyDescent="0.4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12">
        <f t="shared" si="44"/>
        <v>18.40625</v>
      </c>
      <c r="P714" s="13">
        <f t="shared" si="45"/>
        <v>72.896039603960389</v>
      </c>
      <c r="Q714" t="str" cm="1">
        <f t="array" ref="Q714:R714">_xlfn.TEXTSPLIT(N714,"/",,FALSE,,#N/A)</f>
        <v>theater</v>
      </c>
      <c r="R714" t="str">
        <v>plays</v>
      </c>
      <c r="U714" s="6">
        <f t="shared" si="46"/>
        <v>42559.208333333328</v>
      </c>
      <c r="V714" s="6">
        <f t="shared" si="47"/>
        <v>42600.208333333328</v>
      </c>
    </row>
    <row r="715" spans="1:22" ht="19.5" x14ac:dyDescent="0.4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12">
        <f t="shared" si="44"/>
        <v>1.6194202898550725</v>
      </c>
      <c r="P715" s="13">
        <f t="shared" si="45"/>
        <v>108.48543689320388</v>
      </c>
      <c r="Q715" t="str" cm="1">
        <f t="array" ref="Q715:R715">_xlfn.TEXTSPLIT(N715,"/",,FALSE,,#N/A)</f>
        <v>publishing</v>
      </c>
      <c r="R715" t="str">
        <v>radio &amp; podcasts</v>
      </c>
      <c r="U715" s="6">
        <f t="shared" si="46"/>
        <v>42604.208333333328</v>
      </c>
      <c r="V715" s="6">
        <f t="shared" si="47"/>
        <v>42616.208333333328</v>
      </c>
    </row>
    <row r="716" spans="1:22" ht="19.5" x14ac:dyDescent="0.4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12">
        <f t="shared" si="44"/>
        <v>4.7282077922077921</v>
      </c>
      <c r="P716" s="13">
        <f t="shared" si="45"/>
        <v>101.98095238095237</v>
      </c>
      <c r="Q716" t="str" cm="1">
        <f t="array" ref="Q716:R716">_xlfn.TEXTSPLIT(N716,"/",,FALSE,,#N/A)</f>
        <v>music</v>
      </c>
      <c r="R716" t="str">
        <v>rock</v>
      </c>
      <c r="U716" s="6">
        <f t="shared" si="46"/>
        <v>41870.208333333336</v>
      </c>
      <c r="V716" s="6">
        <f t="shared" si="47"/>
        <v>41871.208333333336</v>
      </c>
    </row>
    <row r="717" spans="1:22" ht="19.5" x14ac:dyDescent="0.4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12">
        <f t="shared" si="44"/>
        <v>0.24466101694915254</v>
      </c>
      <c r="P717" s="13">
        <f t="shared" si="45"/>
        <v>44.009146341463413</v>
      </c>
      <c r="Q717" t="str" cm="1">
        <f t="array" ref="Q717:R717">_xlfn.TEXTSPLIT(N717,"/",,FALSE,,#N/A)</f>
        <v>games</v>
      </c>
      <c r="R717" t="str">
        <v>mobile games</v>
      </c>
      <c r="U717" s="6">
        <f t="shared" si="46"/>
        <v>40397.208333333336</v>
      </c>
      <c r="V717" s="6">
        <f t="shared" si="47"/>
        <v>40402.208333333336</v>
      </c>
    </row>
    <row r="718" spans="1:22" ht="19.5" x14ac:dyDescent="0.4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12">
        <f t="shared" si="44"/>
        <v>5.1764999999999999</v>
      </c>
      <c r="P718" s="13">
        <f t="shared" si="45"/>
        <v>65.942675159235662</v>
      </c>
      <c r="Q718" t="str" cm="1">
        <f t="array" ref="Q718:R718">_xlfn.TEXTSPLIT(N718,"/",,FALSE,,#N/A)</f>
        <v>theater</v>
      </c>
      <c r="R718" t="str">
        <v>plays</v>
      </c>
      <c r="U718" s="6">
        <f t="shared" si="46"/>
        <v>41465.208333333336</v>
      </c>
      <c r="V718" s="6">
        <f t="shared" si="47"/>
        <v>41493.208333333336</v>
      </c>
    </row>
    <row r="719" spans="1:22" ht="33.75" x14ac:dyDescent="0.4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12">
        <f t="shared" si="44"/>
        <v>2.4764285714285714</v>
      </c>
      <c r="P719" s="13">
        <f t="shared" si="45"/>
        <v>24.987387387387386</v>
      </c>
      <c r="Q719" t="str" cm="1">
        <f t="array" ref="Q719:R719">_xlfn.TEXTSPLIT(N719,"/",,FALSE,,#N/A)</f>
        <v>film &amp; video</v>
      </c>
      <c r="R719" t="str">
        <v>documentary</v>
      </c>
      <c r="U719" s="6">
        <f t="shared" si="46"/>
        <v>40777.208333333336</v>
      </c>
      <c r="V719" s="6">
        <f t="shared" si="47"/>
        <v>40798.208333333336</v>
      </c>
    </row>
    <row r="720" spans="1:22" ht="19.5" x14ac:dyDescent="0.4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12">
        <f t="shared" si="44"/>
        <v>1.0020481927710843</v>
      </c>
      <c r="P720" s="13">
        <f t="shared" si="45"/>
        <v>28.003367003367003</v>
      </c>
      <c r="Q720" t="str" cm="1">
        <f t="array" ref="Q720:R720">_xlfn.TEXTSPLIT(N720,"/",,FALSE,,#N/A)</f>
        <v>technology</v>
      </c>
      <c r="R720" t="str">
        <v>wearables</v>
      </c>
      <c r="U720" s="6">
        <f t="shared" si="46"/>
        <v>41442.208333333336</v>
      </c>
      <c r="V720" s="6">
        <f t="shared" si="47"/>
        <v>41468.208333333336</v>
      </c>
    </row>
    <row r="721" spans="1:22" ht="19.5" x14ac:dyDescent="0.4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12">
        <f t="shared" si="44"/>
        <v>1.53</v>
      </c>
      <c r="P721" s="13">
        <f t="shared" si="45"/>
        <v>85.829268292682926</v>
      </c>
      <c r="Q721" t="str" cm="1">
        <f t="array" ref="Q721:R721">_xlfn.TEXTSPLIT(N721,"/",,FALSE,,#N/A)</f>
        <v>publishing</v>
      </c>
      <c r="R721" t="str">
        <v>fiction</v>
      </c>
      <c r="U721" s="6">
        <f t="shared" si="46"/>
        <v>41058.208333333336</v>
      </c>
      <c r="V721" s="6">
        <f t="shared" si="47"/>
        <v>41069.208333333336</v>
      </c>
    </row>
    <row r="722" spans="1:22" ht="33.75" x14ac:dyDescent="0.4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12">
        <f t="shared" si="44"/>
        <v>0.37091954022988505</v>
      </c>
      <c r="P722" s="13">
        <f t="shared" si="45"/>
        <v>84.921052631578945</v>
      </c>
      <c r="Q722" t="str" cm="1">
        <f t="array" ref="Q722:R722">_xlfn.TEXTSPLIT(N722,"/",,FALSE,,#N/A)</f>
        <v>theater</v>
      </c>
      <c r="R722" t="str">
        <v>plays</v>
      </c>
      <c r="U722" s="6">
        <f t="shared" si="46"/>
        <v>43152.25</v>
      </c>
      <c r="V722" s="6">
        <f t="shared" si="47"/>
        <v>43166.25</v>
      </c>
    </row>
    <row r="723" spans="1:22" ht="19.5" x14ac:dyDescent="0.4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12">
        <f t="shared" si="44"/>
        <v>4.3923948220064728E-2</v>
      </c>
      <c r="P723" s="13">
        <f t="shared" si="45"/>
        <v>90.483333333333334</v>
      </c>
      <c r="Q723" t="str" cm="1">
        <f t="array" ref="Q723:R723">_xlfn.TEXTSPLIT(N723,"/",,FALSE,,#N/A)</f>
        <v>music</v>
      </c>
      <c r="R723" t="str">
        <v>rock</v>
      </c>
      <c r="U723" s="6">
        <f t="shared" si="46"/>
        <v>43194.208333333328</v>
      </c>
      <c r="V723" s="6">
        <f t="shared" si="47"/>
        <v>43200.208333333328</v>
      </c>
    </row>
    <row r="724" spans="1:22" ht="19.5" x14ac:dyDescent="0.4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12">
        <f t="shared" si="44"/>
        <v>1.5650721649484536</v>
      </c>
      <c r="P724" s="13">
        <f t="shared" si="45"/>
        <v>25.00197628458498</v>
      </c>
      <c r="Q724" t="str" cm="1">
        <f t="array" ref="Q724:R724">_xlfn.TEXTSPLIT(N724,"/",,FALSE,,#N/A)</f>
        <v>film &amp; video</v>
      </c>
      <c r="R724" t="str">
        <v>documentary</v>
      </c>
      <c r="U724" s="6">
        <f t="shared" si="46"/>
        <v>43045.25</v>
      </c>
      <c r="V724" s="6">
        <f t="shared" si="47"/>
        <v>43072.25</v>
      </c>
    </row>
    <row r="725" spans="1:22" ht="19.5" x14ac:dyDescent="0.4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12">
        <f t="shared" si="44"/>
        <v>2.704081632653061</v>
      </c>
      <c r="P725" s="13">
        <f t="shared" si="45"/>
        <v>92.013888888888886</v>
      </c>
      <c r="Q725" t="str" cm="1">
        <f t="array" ref="Q725:R725">_xlfn.TEXTSPLIT(N725,"/",,FALSE,,#N/A)</f>
        <v>theater</v>
      </c>
      <c r="R725" t="str">
        <v>plays</v>
      </c>
      <c r="U725" s="6">
        <f t="shared" si="46"/>
        <v>42431.25</v>
      </c>
      <c r="V725" s="6">
        <f t="shared" si="47"/>
        <v>42452.208333333328</v>
      </c>
    </row>
    <row r="726" spans="1:22" ht="33.75" x14ac:dyDescent="0.4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12">
        <f t="shared" si="44"/>
        <v>1.3405952380952382</v>
      </c>
      <c r="P726" s="13">
        <f t="shared" si="45"/>
        <v>93.066115702479337</v>
      </c>
      <c r="Q726" t="str" cm="1">
        <f t="array" ref="Q726:R726">_xlfn.TEXTSPLIT(N726,"/",,FALSE,,#N/A)</f>
        <v>theater</v>
      </c>
      <c r="R726" t="str">
        <v>plays</v>
      </c>
      <c r="U726" s="6">
        <f t="shared" si="46"/>
        <v>41934.208333333336</v>
      </c>
      <c r="V726" s="6">
        <f t="shared" si="47"/>
        <v>41936.208333333336</v>
      </c>
    </row>
    <row r="727" spans="1:22" ht="19.5" x14ac:dyDescent="0.4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12">
        <f t="shared" si="44"/>
        <v>0.50398033126293995</v>
      </c>
      <c r="P727" s="13">
        <f t="shared" si="45"/>
        <v>61.008145363408524</v>
      </c>
      <c r="Q727" t="str" cm="1">
        <f t="array" ref="Q727:R727">_xlfn.TEXTSPLIT(N727,"/",,FALSE,,#N/A)</f>
        <v>games</v>
      </c>
      <c r="R727" t="str">
        <v>mobile games</v>
      </c>
      <c r="U727" s="6">
        <f t="shared" si="46"/>
        <v>41958.25</v>
      </c>
      <c r="V727" s="6">
        <f t="shared" si="47"/>
        <v>41960.25</v>
      </c>
    </row>
    <row r="728" spans="1:22" ht="19.5" x14ac:dyDescent="0.4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12">
        <f t="shared" si="44"/>
        <v>0.88815837937384901</v>
      </c>
      <c r="P728" s="13">
        <f t="shared" si="45"/>
        <v>92.036259541984734</v>
      </c>
      <c r="Q728" t="str" cm="1">
        <f t="array" ref="Q728:R728">_xlfn.TEXTSPLIT(N728,"/",,FALSE,,#N/A)</f>
        <v>theater</v>
      </c>
      <c r="R728" t="str">
        <v>plays</v>
      </c>
      <c r="U728" s="6">
        <f t="shared" si="46"/>
        <v>40476.208333333336</v>
      </c>
      <c r="V728" s="6">
        <f t="shared" si="47"/>
        <v>40482.208333333336</v>
      </c>
    </row>
    <row r="729" spans="1:22" ht="19.5" x14ac:dyDescent="0.4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12">
        <f t="shared" si="44"/>
        <v>1.65</v>
      </c>
      <c r="P729" s="13">
        <f t="shared" si="45"/>
        <v>81.132596685082873</v>
      </c>
      <c r="Q729" t="str" cm="1">
        <f t="array" ref="Q729:R729">_xlfn.TEXTSPLIT(N729,"/",,FALSE,,#N/A)</f>
        <v>technology</v>
      </c>
      <c r="R729" t="str">
        <v>web</v>
      </c>
      <c r="U729" s="6">
        <f t="shared" si="46"/>
        <v>43485.25</v>
      </c>
      <c r="V729" s="6">
        <f t="shared" si="47"/>
        <v>43543.208333333328</v>
      </c>
    </row>
    <row r="730" spans="1:22" ht="33.75" x14ac:dyDescent="0.4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12">
        <f t="shared" si="44"/>
        <v>0.17499999999999999</v>
      </c>
      <c r="P730" s="13">
        <f t="shared" si="45"/>
        <v>73.5</v>
      </c>
      <c r="Q730" t="str" cm="1">
        <f t="array" ref="Q730:R730">_xlfn.TEXTSPLIT(N730,"/",,FALSE,,#N/A)</f>
        <v>theater</v>
      </c>
      <c r="R730" t="str">
        <v>plays</v>
      </c>
      <c r="U730" s="6">
        <f t="shared" si="46"/>
        <v>42515.208333333328</v>
      </c>
      <c r="V730" s="6">
        <f t="shared" si="47"/>
        <v>42526.208333333328</v>
      </c>
    </row>
    <row r="731" spans="1:22" ht="33.75" x14ac:dyDescent="0.4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12">
        <f t="shared" si="44"/>
        <v>1.8566071428571429</v>
      </c>
      <c r="P731" s="13">
        <f t="shared" si="45"/>
        <v>85.221311475409834</v>
      </c>
      <c r="Q731" t="str" cm="1">
        <f t="array" ref="Q731:R731">_xlfn.TEXTSPLIT(N731,"/",,FALSE,,#N/A)</f>
        <v>film &amp; video</v>
      </c>
      <c r="R731" t="str">
        <v>drama</v>
      </c>
      <c r="U731" s="6">
        <f t="shared" si="46"/>
        <v>41309.25</v>
      </c>
      <c r="V731" s="6">
        <f t="shared" si="47"/>
        <v>41311.25</v>
      </c>
    </row>
    <row r="732" spans="1:22" ht="19.5" x14ac:dyDescent="0.4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12">
        <f t="shared" si="44"/>
        <v>4.1266319444444441</v>
      </c>
      <c r="P732" s="13">
        <f t="shared" si="45"/>
        <v>110.96825396825396</v>
      </c>
      <c r="Q732" t="str" cm="1">
        <f t="array" ref="Q732:R732">_xlfn.TEXTSPLIT(N732,"/",,FALSE,,#N/A)</f>
        <v>technology</v>
      </c>
      <c r="R732" t="str">
        <v>wearables</v>
      </c>
      <c r="U732" s="6">
        <f t="shared" si="46"/>
        <v>42147.208333333328</v>
      </c>
      <c r="V732" s="6">
        <f t="shared" si="47"/>
        <v>42153.208333333328</v>
      </c>
    </row>
    <row r="733" spans="1:22" ht="19.5" x14ac:dyDescent="0.4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12">
        <f t="shared" si="44"/>
        <v>0.90249999999999997</v>
      </c>
      <c r="P733" s="13">
        <f t="shared" si="45"/>
        <v>32.968036529680369</v>
      </c>
      <c r="Q733" t="str" cm="1">
        <f t="array" ref="Q733:R733">_xlfn.TEXTSPLIT(N733,"/",,FALSE,,#N/A)</f>
        <v>technology</v>
      </c>
      <c r="R733" t="str">
        <v>web</v>
      </c>
      <c r="U733" s="6">
        <f t="shared" si="46"/>
        <v>42939.208333333328</v>
      </c>
      <c r="V733" s="6">
        <f t="shared" si="47"/>
        <v>42940.208333333328</v>
      </c>
    </row>
    <row r="734" spans="1:22" ht="19.5" x14ac:dyDescent="0.4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12">
        <f t="shared" si="44"/>
        <v>0.91984615384615387</v>
      </c>
      <c r="P734" s="13">
        <f t="shared" si="45"/>
        <v>96.005352363960753</v>
      </c>
      <c r="Q734" t="str" cm="1">
        <f t="array" ref="Q734:R734">_xlfn.TEXTSPLIT(N734,"/",,FALSE,,#N/A)</f>
        <v>music</v>
      </c>
      <c r="R734" t="str">
        <v>rock</v>
      </c>
      <c r="U734" s="6">
        <f t="shared" si="46"/>
        <v>42816.208333333328</v>
      </c>
      <c r="V734" s="6">
        <f t="shared" si="47"/>
        <v>42839.208333333328</v>
      </c>
    </row>
    <row r="735" spans="1:22" ht="19.5" x14ac:dyDescent="0.4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12">
        <f t="shared" si="44"/>
        <v>5.2700632911392402</v>
      </c>
      <c r="P735" s="13">
        <f t="shared" si="45"/>
        <v>84.96632653061225</v>
      </c>
      <c r="Q735" t="str" cm="1">
        <f t="array" ref="Q735:R735">_xlfn.TEXTSPLIT(N735,"/",,FALSE,,#N/A)</f>
        <v>music</v>
      </c>
      <c r="R735" t="str">
        <v>metal</v>
      </c>
      <c r="U735" s="6">
        <f t="shared" si="46"/>
        <v>41844.208333333336</v>
      </c>
      <c r="V735" s="6">
        <f t="shared" si="47"/>
        <v>41857.208333333336</v>
      </c>
    </row>
    <row r="736" spans="1:22" ht="19.5" x14ac:dyDescent="0.4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12">
        <f t="shared" si="44"/>
        <v>3.1914285714285713</v>
      </c>
      <c r="P736" s="13">
        <f t="shared" si="45"/>
        <v>25.007462686567163</v>
      </c>
      <c r="Q736" t="str" cm="1">
        <f t="array" ref="Q736:R736">_xlfn.TEXTSPLIT(N736,"/",,FALSE,,#N/A)</f>
        <v>theater</v>
      </c>
      <c r="R736" t="str">
        <v>plays</v>
      </c>
      <c r="U736" s="6">
        <f t="shared" si="46"/>
        <v>42763.25</v>
      </c>
      <c r="V736" s="6">
        <f t="shared" si="47"/>
        <v>42775.25</v>
      </c>
    </row>
    <row r="737" spans="1:22" ht="33.75" x14ac:dyDescent="0.4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12">
        <f t="shared" si="44"/>
        <v>3.5418867924528303</v>
      </c>
      <c r="P737" s="13">
        <f t="shared" si="45"/>
        <v>65.998995479658461</v>
      </c>
      <c r="Q737" t="str" cm="1">
        <f t="array" ref="Q737:R737">_xlfn.TEXTSPLIT(N737,"/",,FALSE,,#N/A)</f>
        <v>photography</v>
      </c>
      <c r="R737" t="str">
        <v>photography books</v>
      </c>
      <c r="U737" s="6">
        <f t="shared" si="46"/>
        <v>42459.208333333328</v>
      </c>
      <c r="V737" s="6">
        <f t="shared" si="47"/>
        <v>42466.208333333328</v>
      </c>
    </row>
    <row r="738" spans="1:22" ht="19.5" x14ac:dyDescent="0.4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12">
        <f t="shared" si="44"/>
        <v>0.32896103896103895</v>
      </c>
      <c r="P738" s="13">
        <f t="shared" si="45"/>
        <v>87.34482758620689</v>
      </c>
      <c r="Q738" t="str" cm="1">
        <f t="array" ref="Q738:R738">_xlfn.TEXTSPLIT(N738,"/",,FALSE,,#N/A)</f>
        <v>publishing</v>
      </c>
      <c r="R738" t="str">
        <v>nonfiction</v>
      </c>
      <c r="U738" s="6">
        <f t="shared" si="46"/>
        <v>42055.25</v>
      </c>
      <c r="V738" s="6">
        <f t="shared" si="47"/>
        <v>42059.25</v>
      </c>
    </row>
    <row r="739" spans="1:22" ht="33.75" x14ac:dyDescent="0.4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12">
        <f t="shared" si="44"/>
        <v>1.358918918918919</v>
      </c>
      <c r="P739" s="13">
        <f t="shared" si="45"/>
        <v>27.933333333333334</v>
      </c>
      <c r="Q739" t="str" cm="1">
        <f t="array" ref="Q739:R739">_xlfn.TEXTSPLIT(N739,"/",,FALSE,,#N/A)</f>
        <v>music</v>
      </c>
      <c r="R739" t="str">
        <v>indie rock</v>
      </c>
      <c r="U739" s="6">
        <f t="shared" si="46"/>
        <v>42685.25</v>
      </c>
      <c r="V739" s="6">
        <f t="shared" si="47"/>
        <v>42697.25</v>
      </c>
    </row>
    <row r="740" spans="1:22" ht="19.5" x14ac:dyDescent="0.4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12">
        <f t="shared" si="44"/>
        <v>2.0843373493975904E-2</v>
      </c>
      <c r="P740" s="13">
        <f t="shared" si="45"/>
        <v>103.8</v>
      </c>
      <c r="Q740" t="str" cm="1">
        <f t="array" ref="Q740:R740">_xlfn.TEXTSPLIT(N740,"/",,FALSE,,#N/A)</f>
        <v>theater</v>
      </c>
      <c r="R740" t="str">
        <v>plays</v>
      </c>
      <c r="U740" s="6">
        <f t="shared" si="46"/>
        <v>41959.25</v>
      </c>
      <c r="V740" s="6">
        <f t="shared" si="47"/>
        <v>41981.25</v>
      </c>
    </row>
    <row r="741" spans="1:22" ht="19.5" x14ac:dyDescent="0.4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12">
        <f t="shared" si="44"/>
        <v>0.61</v>
      </c>
      <c r="P741" s="13">
        <f t="shared" si="45"/>
        <v>31.937172774869111</v>
      </c>
      <c r="Q741" t="str" cm="1">
        <f t="array" ref="Q741:R741">_xlfn.TEXTSPLIT(N741,"/",,FALSE,,#N/A)</f>
        <v>music</v>
      </c>
      <c r="R741" t="str">
        <v>indie rock</v>
      </c>
      <c r="U741" s="6">
        <f t="shared" si="46"/>
        <v>41089.208333333336</v>
      </c>
      <c r="V741" s="6">
        <f t="shared" si="47"/>
        <v>41090.208333333336</v>
      </c>
    </row>
    <row r="742" spans="1:22" ht="19.5" x14ac:dyDescent="0.4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12">
        <f t="shared" si="44"/>
        <v>0.30037735849056602</v>
      </c>
      <c r="P742" s="13">
        <f t="shared" si="45"/>
        <v>99.5</v>
      </c>
      <c r="Q742" t="str" cm="1">
        <f t="array" ref="Q742:R742">_xlfn.TEXTSPLIT(N742,"/",,FALSE,,#N/A)</f>
        <v>theater</v>
      </c>
      <c r="R742" t="str">
        <v>plays</v>
      </c>
      <c r="U742" s="6">
        <f t="shared" si="46"/>
        <v>42769.25</v>
      </c>
      <c r="V742" s="6">
        <f t="shared" si="47"/>
        <v>42772.25</v>
      </c>
    </row>
    <row r="743" spans="1:22" ht="19.5" x14ac:dyDescent="0.4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12">
        <f t="shared" si="44"/>
        <v>11.791666666666666</v>
      </c>
      <c r="P743" s="13">
        <f t="shared" si="45"/>
        <v>108.84615384615384</v>
      </c>
      <c r="Q743" t="str" cm="1">
        <f t="array" ref="Q743:R743">_xlfn.TEXTSPLIT(N743,"/",,FALSE,,#N/A)</f>
        <v>theater</v>
      </c>
      <c r="R743" t="str">
        <v>plays</v>
      </c>
      <c r="U743" s="6">
        <f t="shared" si="46"/>
        <v>40321.208333333336</v>
      </c>
      <c r="V743" s="6">
        <f t="shared" si="47"/>
        <v>40322.208333333336</v>
      </c>
    </row>
    <row r="744" spans="1:22" ht="19.5" x14ac:dyDescent="0.4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12">
        <f t="shared" si="44"/>
        <v>11.260833333333334</v>
      </c>
      <c r="P744" s="13">
        <f t="shared" si="45"/>
        <v>110.76229508196721</v>
      </c>
      <c r="Q744" t="str" cm="1">
        <f t="array" ref="Q744:R744">_xlfn.TEXTSPLIT(N744,"/",,FALSE,,#N/A)</f>
        <v>music</v>
      </c>
      <c r="R744" t="str">
        <v>electric music</v>
      </c>
      <c r="U744" s="6">
        <f t="shared" si="46"/>
        <v>40197.25</v>
      </c>
      <c r="V744" s="6">
        <f t="shared" si="47"/>
        <v>40239.25</v>
      </c>
    </row>
    <row r="745" spans="1:22" ht="33.75" x14ac:dyDescent="0.4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12">
        <f t="shared" si="44"/>
        <v>0.12923076923076923</v>
      </c>
      <c r="P745" s="13">
        <f t="shared" si="45"/>
        <v>29.647058823529413</v>
      </c>
      <c r="Q745" t="str" cm="1">
        <f t="array" ref="Q745:R745">_xlfn.TEXTSPLIT(N745,"/",,FALSE,,#N/A)</f>
        <v>theater</v>
      </c>
      <c r="R745" t="str">
        <v>plays</v>
      </c>
      <c r="U745" s="6">
        <f t="shared" si="46"/>
        <v>42298.208333333328</v>
      </c>
      <c r="V745" s="6">
        <f t="shared" si="47"/>
        <v>42304.208333333328</v>
      </c>
    </row>
    <row r="746" spans="1:22" ht="19.5" x14ac:dyDescent="0.4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12">
        <f t="shared" si="44"/>
        <v>7.12</v>
      </c>
      <c r="P746" s="13">
        <f t="shared" si="45"/>
        <v>101.71428571428571</v>
      </c>
      <c r="Q746" t="str" cm="1">
        <f t="array" ref="Q746:R746">_xlfn.TEXTSPLIT(N746,"/",,FALSE,,#N/A)</f>
        <v>theater</v>
      </c>
      <c r="R746" t="str">
        <v>plays</v>
      </c>
      <c r="U746" s="6">
        <f t="shared" si="46"/>
        <v>43322.208333333328</v>
      </c>
      <c r="V746" s="6">
        <f t="shared" si="47"/>
        <v>43324.208333333328</v>
      </c>
    </row>
    <row r="747" spans="1:22" ht="33.75" x14ac:dyDescent="0.4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12">
        <f t="shared" si="44"/>
        <v>0.30304347826086958</v>
      </c>
      <c r="P747" s="13">
        <f t="shared" si="45"/>
        <v>61.5</v>
      </c>
      <c r="Q747" t="str" cm="1">
        <f t="array" ref="Q747:R747">_xlfn.TEXTSPLIT(N747,"/",,FALSE,,#N/A)</f>
        <v>technology</v>
      </c>
      <c r="R747" t="str">
        <v>wearables</v>
      </c>
      <c r="U747" s="6">
        <f t="shared" si="46"/>
        <v>40328.208333333336</v>
      </c>
      <c r="V747" s="6">
        <f t="shared" si="47"/>
        <v>40355.208333333336</v>
      </c>
    </row>
    <row r="748" spans="1:22" ht="19.5" x14ac:dyDescent="0.4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12">
        <f t="shared" si="44"/>
        <v>2.1250896057347672</v>
      </c>
      <c r="P748" s="13">
        <f t="shared" si="45"/>
        <v>35</v>
      </c>
      <c r="Q748" t="str" cm="1">
        <f t="array" ref="Q748:R748">_xlfn.TEXTSPLIT(N748,"/",,FALSE,,#N/A)</f>
        <v>technology</v>
      </c>
      <c r="R748" t="str">
        <v>web</v>
      </c>
      <c r="U748" s="6">
        <f t="shared" si="46"/>
        <v>40825.208333333336</v>
      </c>
      <c r="V748" s="6">
        <f t="shared" si="47"/>
        <v>40830.208333333336</v>
      </c>
    </row>
    <row r="749" spans="1:22" ht="19.5" x14ac:dyDescent="0.4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12">
        <f t="shared" si="44"/>
        <v>2.2885714285714287</v>
      </c>
      <c r="P749" s="13">
        <f t="shared" si="45"/>
        <v>40.049999999999997</v>
      </c>
      <c r="Q749" t="str" cm="1">
        <f t="array" ref="Q749:R749">_xlfn.TEXTSPLIT(N749,"/",,FALSE,,#N/A)</f>
        <v>theater</v>
      </c>
      <c r="R749" t="str">
        <v>plays</v>
      </c>
      <c r="U749" s="6">
        <f t="shared" si="46"/>
        <v>40423.208333333336</v>
      </c>
      <c r="V749" s="6">
        <f t="shared" si="47"/>
        <v>40434.208333333336</v>
      </c>
    </row>
    <row r="750" spans="1:22" ht="19.5" x14ac:dyDescent="0.4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12">
        <f t="shared" si="44"/>
        <v>0.34959979476654696</v>
      </c>
      <c r="P750" s="13">
        <f t="shared" si="45"/>
        <v>110.97231270358306</v>
      </c>
      <c r="Q750" t="str" cm="1">
        <f t="array" ref="Q750:R750">_xlfn.TEXTSPLIT(N750,"/",,FALSE,,#N/A)</f>
        <v>film &amp; video</v>
      </c>
      <c r="R750" t="str">
        <v>animation</v>
      </c>
      <c r="U750" s="6">
        <f t="shared" si="46"/>
        <v>40238.25</v>
      </c>
      <c r="V750" s="6">
        <f t="shared" si="47"/>
        <v>40263.208333333336</v>
      </c>
    </row>
    <row r="751" spans="1:22" ht="19.5" x14ac:dyDescent="0.4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12">
        <f t="shared" si="44"/>
        <v>1.5729069767441861</v>
      </c>
      <c r="P751" s="13">
        <f t="shared" si="45"/>
        <v>36.959016393442624</v>
      </c>
      <c r="Q751" t="str" cm="1">
        <f t="array" ref="Q751:R751">_xlfn.TEXTSPLIT(N751,"/",,FALSE,,#N/A)</f>
        <v>technology</v>
      </c>
      <c r="R751" t="str">
        <v>wearables</v>
      </c>
      <c r="U751" s="6">
        <f t="shared" si="46"/>
        <v>41920.208333333336</v>
      </c>
      <c r="V751" s="6">
        <f t="shared" si="47"/>
        <v>41932.208333333336</v>
      </c>
    </row>
    <row r="752" spans="1:22" ht="19.5" x14ac:dyDescent="0.4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12">
        <f t="shared" si="44"/>
        <v>0.01</v>
      </c>
      <c r="P752" s="13">
        <f t="shared" si="45"/>
        <v>1</v>
      </c>
      <c r="Q752" t="str" cm="1">
        <f t="array" ref="Q752:R752">_xlfn.TEXTSPLIT(N752,"/",,FALSE,,#N/A)</f>
        <v>music</v>
      </c>
      <c r="R752" t="str">
        <v>electric music</v>
      </c>
      <c r="U752" s="6">
        <f t="shared" si="46"/>
        <v>40360.208333333336</v>
      </c>
      <c r="V752" s="6">
        <f t="shared" si="47"/>
        <v>40385.208333333336</v>
      </c>
    </row>
    <row r="753" spans="1:22" ht="19.5" x14ac:dyDescent="0.4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12">
        <f t="shared" si="44"/>
        <v>2.3230555555555554</v>
      </c>
      <c r="P753" s="13">
        <f t="shared" si="45"/>
        <v>30.974074074074075</v>
      </c>
      <c r="Q753" t="str" cm="1">
        <f t="array" ref="Q753:R753">_xlfn.TEXTSPLIT(N753,"/",,FALSE,,#N/A)</f>
        <v>publishing</v>
      </c>
      <c r="R753" t="str">
        <v>nonfiction</v>
      </c>
      <c r="U753" s="6">
        <f t="shared" si="46"/>
        <v>42446.208333333328</v>
      </c>
      <c r="V753" s="6">
        <f t="shared" si="47"/>
        <v>42461.208333333328</v>
      </c>
    </row>
    <row r="754" spans="1:22" ht="19.5" x14ac:dyDescent="0.4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12">
        <f t="shared" si="44"/>
        <v>0.92448275862068963</v>
      </c>
      <c r="P754" s="13">
        <f t="shared" si="45"/>
        <v>47.035087719298247</v>
      </c>
      <c r="Q754" t="str" cm="1">
        <f t="array" ref="Q754:R754">_xlfn.TEXTSPLIT(N754,"/",,FALSE,,#N/A)</f>
        <v>theater</v>
      </c>
      <c r="R754" t="str">
        <v>plays</v>
      </c>
      <c r="U754" s="6">
        <f t="shared" si="46"/>
        <v>40395.208333333336</v>
      </c>
      <c r="V754" s="6">
        <f t="shared" si="47"/>
        <v>40413.208333333336</v>
      </c>
    </row>
    <row r="755" spans="1:22" ht="19.5" x14ac:dyDescent="0.4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12">
        <f t="shared" si="44"/>
        <v>2.5670212765957445</v>
      </c>
      <c r="P755" s="13">
        <f t="shared" si="45"/>
        <v>88.065693430656935</v>
      </c>
      <c r="Q755" t="str" cm="1">
        <f t="array" ref="Q755:R755">_xlfn.TEXTSPLIT(N755,"/",,FALSE,,#N/A)</f>
        <v>photography</v>
      </c>
      <c r="R755" t="str">
        <v>photography books</v>
      </c>
      <c r="U755" s="6">
        <f t="shared" si="46"/>
        <v>40321.208333333336</v>
      </c>
      <c r="V755" s="6">
        <f t="shared" si="47"/>
        <v>40336.208333333336</v>
      </c>
    </row>
    <row r="756" spans="1:22" ht="19.5" x14ac:dyDescent="0.4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12">
        <f t="shared" si="44"/>
        <v>1.6847017045454546</v>
      </c>
      <c r="P756" s="13">
        <f t="shared" si="45"/>
        <v>37.005616224648989</v>
      </c>
      <c r="Q756" t="str" cm="1">
        <f t="array" ref="Q756:R756">_xlfn.TEXTSPLIT(N756,"/",,FALSE,,#N/A)</f>
        <v>theater</v>
      </c>
      <c r="R756" t="str">
        <v>plays</v>
      </c>
      <c r="U756" s="6">
        <f t="shared" si="46"/>
        <v>41210.208333333336</v>
      </c>
      <c r="V756" s="6">
        <f t="shared" si="47"/>
        <v>41263.25</v>
      </c>
    </row>
    <row r="757" spans="1:22" ht="19.5" x14ac:dyDescent="0.4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12">
        <f t="shared" si="44"/>
        <v>1.6657777777777778</v>
      </c>
      <c r="P757" s="13">
        <f t="shared" si="45"/>
        <v>26.027777777777779</v>
      </c>
      <c r="Q757" t="str" cm="1">
        <f t="array" ref="Q757:R757">_xlfn.TEXTSPLIT(N757,"/",,FALSE,,#N/A)</f>
        <v>theater</v>
      </c>
      <c r="R757" t="str">
        <v>plays</v>
      </c>
      <c r="U757" s="6">
        <f t="shared" si="46"/>
        <v>43096.25</v>
      </c>
      <c r="V757" s="6">
        <f t="shared" si="47"/>
        <v>43108.25</v>
      </c>
    </row>
    <row r="758" spans="1:22" ht="19.5" x14ac:dyDescent="0.4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12">
        <f t="shared" si="44"/>
        <v>7.7207692307692311</v>
      </c>
      <c r="P758" s="13">
        <f t="shared" si="45"/>
        <v>67.817567567567565</v>
      </c>
      <c r="Q758" t="str" cm="1">
        <f t="array" ref="Q758:R758">_xlfn.TEXTSPLIT(N758,"/",,FALSE,,#N/A)</f>
        <v>theater</v>
      </c>
      <c r="R758" t="str">
        <v>plays</v>
      </c>
      <c r="U758" s="6">
        <f t="shared" si="46"/>
        <v>42024.25</v>
      </c>
      <c r="V758" s="6">
        <f t="shared" si="47"/>
        <v>42030.25</v>
      </c>
    </row>
    <row r="759" spans="1:22" ht="19.5" x14ac:dyDescent="0.4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12">
        <f t="shared" si="44"/>
        <v>4.0685714285714285</v>
      </c>
      <c r="P759" s="13">
        <f t="shared" si="45"/>
        <v>49.964912280701753</v>
      </c>
      <c r="Q759" t="str" cm="1">
        <f t="array" ref="Q759:R759">_xlfn.TEXTSPLIT(N759,"/",,FALSE,,#N/A)</f>
        <v>film &amp; video</v>
      </c>
      <c r="R759" t="str">
        <v>drama</v>
      </c>
      <c r="U759" s="6">
        <f t="shared" si="46"/>
        <v>40675.208333333336</v>
      </c>
      <c r="V759" s="6">
        <f t="shared" si="47"/>
        <v>40679.208333333336</v>
      </c>
    </row>
    <row r="760" spans="1:22" ht="19.5" x14ac:dyDescent="0.4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12">
        <f t="shared" si="44"/>
        <v>5.6420608108108112</v>
      </c>
      <c r="P760" s="13">
        <f t="shared" si="45"/>
        <v>110.01646903820817</v>
      </c>
      <c r="Q760" t="str" cm="1">
        <f t="array" ref="Q760:R760">_xlfn.TEXTSPLIT(N760,"/",,FALSE,,#N/A)</f>
        <v>music</v>
      </c>
      <c r="R760" t="str">
        <v>rock</v>
      </c>
      <c r="U760" s="6">
        <f t="shared" si="46"/>
        <v>41936.208333333336</v>
      </c>
      <c r="V760" s="6">
        <f t="shared" si="47"/>
        <v>41945.208333333336</v>
      </c>
    </row>
    <row r="761" spans="1:22" ht="33.75" x14ac:dyDescent="0.4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12">
        <f t="shared" si="44"/>
        <v>0.6842686567164179</v>
      </c>
      <c r="P761" s="13">
        <f t="shared" si="45"/>
        <v>89.964678178963894</v>
      </c>
      <c r="Q761" t="str" cm="1">
        <f t="array" ref="Q761:R761">_xlfn.TEXTSPLIT(N761,"/",,FALSE,,#N/A)</f>
        <v>music</v>
      </c>
      <c r="R761" t="str">
        <v>electric music</v>
      </c>
      <c r="U761" s="6">
        <f t="shared" si="46"/>
        <v>43136.25</v>
      </c>
      <c r="V761" s="6">
        <f t="shared" si="47"/>
        <v>43166.25</v>
      </c>
    </row>
    <row r="762" spans="1:22" ht="19.5" x14ac:dyDescent="0.4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12">
        <f t="shared" si="44"/>
        <v>0.34351966873706002</v>
      </c>
      <c r="P762" s="13">
        <f t="shared" si="45"/>
        <v>79.009523809523813</v>
      </c>
      <c r="Q762" t="str" cm="1">
        <f t="array" ref="Q762:R762">_xlfn.TEXTSPLIT(N762,"/",,FALSE,,#N/A)</f>
        <v>games</v>
      </c>
      <c r="R762" t="str">
        <v>video games</v>
      </c>
      <c r="U762" s="6">
        <f t="shared" si="46"/>
        <v>43678.208333333328</v>
      </c>
      <c r="V762" s="6">
        <f t="shared" si="47"/>
        <v>43707.208333333328</v>
      </c>
    </row>
    <row r="763" spans="1:22" ht="19.5" x14ac:dyDescent="0.4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12">
        <f t="shared" si="44"/>
        <v>6.5545454545454547</v>
      </c>
      <c r="P763" s="13">
        <f t="shared" si="45"/>
        <v>86.867469879518069</v>
      </c>
      <c r="Q763" t="str" cm="1">
        <f t="array" ref="Q763:R763">_xlfn.TEXTSPLIT(N763,"/",,FALSE,,#N/A)</f>
        <v>music</v>
      </c>
      <c r="R763" t="str">
        <v>rock</v>
      </c>
      <c r="U763" s="6">
        <f t="shared" si="46"/>
        <v>42938.208333333328</v>
      </c>
      <c r="V763" s="6">
        <f t="shared" si="47"/>
        <v>42943.208333333328</v>
      </c>
    </row>
    <row r="764" spans="1:22" ht="19.5" x14ac:dyDescent="0.4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12">
        <f t="shared" si="44"/>
        <v>1.7725714285714285</v>
      </c>
      <c r="P764" s="13">
        <f t="shared" si="45"/>
        <v>62.04</v>
      </c>
      <c r="Q764" t="str" cm="1">
        <f t="array" ref="Q764:R764">_xlfn.TEXTSPLIT(N764,"/",,FALSE,,#N/A)</f>
        <v>music</v>
      </c>
      <c r="R764" t="str">
        <v>jazz</v>
      </c>
      <c r="U764" s="6">
        <f t="shared" si="46"/>
        <v>41241.25</v>
      </c>
      <c r="V764" s="6">
        <f t="shared" si="47"/>
        <v>41252.25</v>
      </c>
    </row>
    <row r="765" spans="1:22" ht="19.5" x14ac:dyDescent="0.4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12">
        <f t="shared" si="44"/>
        <v>1.1317857142857144</v>
      </c>
      <c r="P765" s="13">
        <f t="shared" si="45"/>
        <v>26.970212765957445</v>
      </c>
      <c r="Q765" t="str" cm="1">
        <f t="array" ref="Q765:R765">_xlfn.TEXTSPLIT(N765,"/",,FALSE,,#N/A)</f>
        <v>theater</v>
      </c>
      <c r="R765" t="str">
        <v>plays</v>
      </c>
      <c r="U765" s="6">
        <f t="shared" si="46"/>
        <v>41037.208333333336</v>
      </c>
      <c r="V765" s="6">
        <f t="shared" si="47"/>
        <v>41072.208333333336</v>
      </c>
    </row>
    <row r="766" spans="1:22" ht="33.75" x14ac:dyDescent="0.4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12">
        <f t="shared" si="44"/>
        <v>7.2818181818181822</v>
      </c>
      <c r="P766" s="13">
        <f t="shared" si="45"/>
        <v>54.121621621621621</v>
      </c>
      <c r="Q766" t="str" cm="1">
        <f t="array" ref="Q766:R766">_xlfn.TEXTSPLIT(N766,"/",,FALSE,,#N/A)</f>
        <v>music</v>
      </c>
      <c r="R766" t="str">
        <v>rock</v>
      </c>
      <c r="U766" s="6">
        <f t="shared" si="46"/>
        <v>40676.208333333336</v>
      </c>
      <c r="V766" s="6">
        <f t="shared" si="47"/>
        <v>40684.208333333336</v>
      </c>
    </row>
    <row r="767" spans="1:22" ht="19.5" x14ac:dyDescent="0.4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12">
        <f t="shared" si="44"/>
        <v>2.0833333333333335</v>
      </c>
      <c r="P767" s="13">
        <f t="shared" si="45"/>
        <v>41.035353535353536</v>
      </c>
      <c r="Q767" t="str" cm="1">
        <f t="array" ref="Q767:R767">_xlfn.TEXTSPLIT(N767,"/",,FALSE,,#N/A)</f>
        <v>music</v>
      </c>
      <c r="R767" t="str">
        <v>indie rock</v>
      </c>
      <c r="U767" s="6">
        <f t="shared" si="46"/>
        <v>42840.208333333328</v>
      </c>
      <c r="V767" s="6">
        <f t="shared" si="47"/>
        <v>42865.208333333328</v>
      </c>
    </row>
    <row r="768" spans="1:22" ht="33.75" x14ac:dyDescent="0.4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12">
        <f t="shared" si="44"/>
        <v>0.31171232876712329</v>
      </c>
      <c r="P768" s="13">
        <f t="shared" si="45"/>
        <v>55.052419354838712</v>
      </c>
      <c r="Q768" t="str" cm="1">
        <f t="array" ref="Q768:R768">_xlfn.TEXTSPLIT(N768,"/",,FALSE,,#N/A)</f>
        <v>film &amp; video</v>
      </c>
      <c r="R768" t="str">
        <v>science fiction</v>
      </c>
      <c r="U768" s="6">
        <f t="shared" si="46"/>
        <v>43362.208333333328</v>
      </c>
      <c r="V768" s="6">
        <f t="shared" si="47"/>
        <v>43363.208333333328</v>
      </c>
    </row>
    <row r="769" spans="1:22" ht="19.5" x14ac:dyDescent="0.4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12">
        <f t="shared" si="44"/>
        <v>0.56967078189300413</v>
      </c>
      <c r="P769" s="13">
        <f t="shared" si="45"/>
        <v>107.93762183235867</v>
      </c>
      <c r="Q769" t="str" cm="1">
        <f t="array" ref="Q769:R769">_xlfn.TEXTSPLIT(N769,"/",,FALSE,,#N/A)</f>
        <v>publishing</v>
      </c>
      <c r="R769" t="str">
        <v>translations</v>
      </c>
      <c r="U769" s="6">
        <f t="shared" si="46"/>
        <v>42283.208333333328</v>
      </c>
      <c r="V769" s="6">
        <f t="shared" si="47"/>
        <v>42328.25</v>
      </c>
    </row>
    <row r="770" spans="1:22" ht="19.5" x14ac:dyDescent="0.4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12">
        <f t="shared" si="44"/>
        <v>2.31</v>
      </c>
      <c r="P770" s="13">
        <f t="shared" si="45"/>
        <v>73.92</v>
      </c>
      <c r="Q770" t="str" cm="1">
        <f t="array" ref="Q770:R770">_xlfn.TEXTSPLIT(N770,"/",,FALSE,,#N/A)</f>
        <v>theater</v>
      </c>
      <c r="R770" t="str">
        <v>plays</v>
      </c>
      <c r="U770" s="6">
        <f t="shared" si="46"/>
        <v>41619.25</v>
      </c>
      <c r="V770" s="6">
        <f t="shared" si="47"/>
        <v>41634.25</v>
      </c>
    </row>
    <row r="771" spans="1:22" ht="19.5" x14ac:dyDescent="0.4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12">
        <f t="shared" ref="O771:O834" si="48">E771/D771</f>
        <v>0.86867834394904464</v>
      </c>
      <c r="P771" s="13">
        <f t="shared" ref="P771:P834" si="49">E771/G771</f>
        <v>31.995894428152493</v>
      </c>
      <c r="Q771" t="str" cm="1">
        <f t="array" ref="Q771:R771">_xlfn.TEXTSPLIT(N771,"/",,FALSE,,#N/A)</f>
        <v>games</v>
      </c>
      <c r="R771" t="str">
        <v>video games</v>
      </c>
      <c r="U771" s="6">
        <f t="shared" ref="U771:U834" si="50">(((J771/60)/60)/24)+DATE(1970,1,1)</f>
        <v>41501.208333333336</v>
      </c>
      <c r="V771" s="6">
        <f t="shared" ref="V771:V834" si="51">(((K771/60)/60)/24)+DATE(1970,1,1)</f>
        <v>41527.208333333336</v>
      </c>
    </row>
    <row r="772" spans="1:22" ht="19.5" x14ac:dyDescent="0.4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12">
        <f t="shared" si="48"/>
        <v>2.7074418604651163</v>
      </c>
      <c r="P772" s="13">
        <f t="shared" si="49"/>
        <v>53.898148148148145</v>
      </c>
      <c r="Q772" t="str" cm="1">
        <f t="array" ref="Q772:R772">_xlfn.TEXTSPLIT(N772,"/",,FALSE,,#N/A)</f>
        <v>theater</v>
      </c>
      <c r="R772" t="str">
        <v>plays</v>
      </c>
      <c r="U772" s="6">
        <f t="shared" si="50"/>
        <v>41743.208333333336</v>
      </c>
      <c r="V772" s="6">
        <f t="shared" si="51"/>
        <v>41750.208333333336</v>
      </c>
    </row>
    <row r="773" spans="1:22" ht="19.5" x14ac:dyDescent="0.4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12">
        <f t="shared" si="48"/>
        <v>0.49446428571428569</v>
      </c>
      <c r="P773" s="13">
        <f t="shared" si="49"/>
        <v>106.5</v>
      </c>
      <c r="Q773" t="str" cm="1">
        <f t="array" ref="Q773:R773">_xlfn.TEXTSPLIT(N773,"/",,FALSE,,#N/A)</f>
        <v>theater</v>
      </c>
      <c r="R773" t="str">
        <v>plays</v>
      </c>
      <c r="U773" s="6">
        <f t="shared" si="50"/>
        <v>43491.25</v>
      </c>
      <c r="V773" s="6">
        <f t="shared" si="51"/>
        <v>43518.25</v>
      </c>
    </row>
    <row r="774" spans="1:22" ht="19.5" x14ac:dyDescent="0.4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12">
        <f t="shared" si="48"/>
        <v>1.1335962566844919</v>
      </c>
      <c r="P774" s="13">
        <f t="shared" si="49"/>
        <v>32.999805409612762</v>
      </c>
      <c r="Q774" t="str" cm="1">
        <f t="array" ref="Q774:R774">_xlfn.TEXTSPLIT(N774,"/",,FALSE,,#N/A)</f>
        <v>music</v>
      </c>
      <c r="R774" t="str">
        <v>indie rock</v>
      </c>
      <c r="U774" s="6">
        <f t="shared" si="50"/>
        <v>43505.25</v>
      </c>
      <c r="V774" s="6">
        <f t="shared" si="51"/>
        <v>43509.25</v>
      </c>
    </row>
    <row r="775" spans="1:22" ht="19.5" x14ac:dyDescent="0.4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12">
        <f t="shared" si="48"/>
        <v>1.9055555555555554</v>
      </c>
      <c r="P775" s="13">
        <f t="shared" si="49"/>
        <v>43.00254993625159</v>
      </c>
      <c r="Q775" t="str" cm="1">
        <f t="array" ref="Q775:R775">_xlfn.TEXTSPLIT(N775,"/",,FALSE,,#N/A)</f>
        <v>theater</v>
      </c>
      <c r="R775" t="str">
        <v>plays</v>
      </c>
      <c r="U775" s="6">
        <f t="shared" si="50"/>
        <v>42838.208333333328</v>
      </c>
      <c r="V775" s="6">
        <f t="shared" si="51"/>
        <v>42848.208333333328</v>
      </c>
    </row>
    <row r="776" spans="1:22" ht="19.5" x14ac:dyDescent="0.4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12">
        <f t="shared" si="48"/>
        <v>1.355</v>
      </c>
      <c r="P776" s="13">
        <f t="shared" si="49"/>
        <v>86.858974358974365</v>
      </c>
      <c r="Q776" t="str" cm="1">
        <f t="array" ref="Q776:R776">_xlfn.TEXTSPLIT(N776,"/",,FALSE,,#N/A)</f>
        <v>technology</v>
      </c>
      <c r="R776" t="str">
        <v>web</v>
      </c>
      <c r="U776" s="6">
        <f t="shared" si="50"/>
        <v>42513.208333333328</v>
      </c>
      <c r="V776" s="6">
        <f t="shared" si="51"/>
        <v>42554.208333333328</v>
      </c>
    </row>
    <row r="777" spans="1:22" ht="33.75" x14ac:dyDescent="0.4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12">
        <f t="shared" si="48"/>
        <v>0.10297872340425532</v>
      </c>
      <c r="P777" s="13">
        <f t="shared" si="49"/>
        <v>96.8</v>
      </c>
      <c r="Q777" t="str" cm="1">
        <f t="array" ref="Q777:R777">_xlfn.TEXTSPLIT(N777,"/",,FALSE,,#N/A)</f>
        <v>music</v>
      </c>
      <c r="R777" t="str">
        <v>rock</v>
      </c>
      <c r="U777" s="6">
        <f t="shared" si="50"/>
        <v>41949.25</v>
      </c>
      <c r="V777" s="6">
        <f t="shared" si="51"/>
        <v>41959.25</v>
      </c>
    </row>
    <row r="778" spans="1:22" ht="19.5" x14ac:dyDescent="0.4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12">
        <f t="shared" si="48"/>
        <v>0.65544223826714798</v>
      </c>
      <c r="P778" s="13">
        <f t="shared" si="49"/>
        <v>32.995456610631528</v>
      </c>
      <c r="Q778" t="str" cm="1">
        <f t="array" ref="Q778:R778">_xlfn.TEXTSPLIT(N778,"/",,FALSE,,#N/A)</f>
        <v>theater</v>
      </c>
      <c r="R778" t="str">
        <v>plays</v>
      </c>
      <c r="U778" s="6">
        <f t="shared" si="50"/>
        <v>43650.208333333328</v>
      </c>
      <c r="V778" s="6">
        <f t="shared" si="51"/>
        <v>43668.208333333328</v>
      </c>
    </row>
    <row r="779" spans="1:22" ht="19.5" x14ac:dyDescent="0.4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12">
        <f t="shared" si="48"/>
        <v>0.49026652452025588</v>
      </c>
      <c r="P779" s="13">
        <f t="shared" si="49"/>
        <v>68.028106508875737</v>
      </c>
      <c r="Q779" t="str" cm="1">
        <f t="array" ref="Q779:R779">_xlfn.TEXTSPLIT(N779,"/",,FALSE,,#N/A)</f>
        <v>theater</v>
      </c>
      <c r="R779" t="str">
        <v>plays</v>
      </c>
      <c r="U779" s="6">
        <f t="shared" si="50"/>
        <v>40809.208333333336</v>
      </c>
      <c r="V779" s="6">
        <f t="shared" si="51"/>
        <v>40838.208333333336</v>
      </c>
    </row>
    <row r="780" spans="1:22" ht="19.5" x14ac:dyDescent="0.4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12">
        <f t="shared" si="48"/>
        <v>7.8792307692307695</v>
      </c>
      <c r="P780" s="13">
        <f t="shared" si="49"/>
        <v>58.867816091954026</v>
      </c>
      <c r="Q780" t="str" cm="1">
        <f t="array" ref="Q780:R780">_xlfn.TEXTSPLIT(N780,"/",,FALSE,,#N/A)</f>
        <v>film &amp; video</v>
      </c>
      <c r="R780" t="str">
        <v>animation</v>
      </c>
      <c r="U780" s="6">
        <f t="shared" si="50"/>
        <v>40768.208333333336</v>
      </c>
      <c r="V780" s="6">
        <f t="shared" si="51"/>
        <v>40773.208333333336</v>
      </c>
    </row>
    <row r="781" spans="1:22" ht="19.5" x14ac:dyDescent="0.4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12">
        <f t="shared" si="48"/>
        <v>0.80306347746090156</v>
      </c>
      <c r="P781" s="13">
        <f t="shared" si="49"/>
        <v>105.04572803850782</v>
      </c>
      <c r="Q781" t="str" cm="1">
        <f t="array" ref="Q781:R781">_xlfn.TEXTSPLIT(N781,"/",,FALSE,,#N/A)</f>
        <v>theater</v>
      </c>
      <c r="R781" t="str">
        <v>plays</v>
      </c>
      <c r="U781" s="6">
        <f t="shared" si="50"/>
        <v>42230.208333333328</v>
      </c>
      <c r="V781" s="6">
        <f t="shared" si="51"/>
        <v>42239.208333333328</v>
      </c>
    </row>
    <row r="782" spans="1:22" ht="19.5" x14ac:dyDescent="0.4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12">
        <f t="shared" si="48"/>
        <v>1.0629411764705883</v>
      </c>
      <c r="P782" s="13">
        <f t="shared" si="49"/>
        <v>33.054878048780488</v>
      </c>
      <c r="Q782" t="str" cm="1">
        <f t="array" ref="Q782:R782">_xlfn.TEXTSPLIT(N782,"/",,FALSE,,#N/A)</f>
        <v>film &amp; video</v>
      </c>
      <c r="R782" t="str">
        <v>drama</v>
      </c>
      <c r="U782" s="6">
        <f t="shared" si="50"/>
        <v>42573.208333333328</v>
      </c>
      <c r="V782" s="6">
        <f t="shared" si="51"/>
        <v>42592.208333333328</v>
      </c>
    </row>
    <row r="783" spans="1:22" ht="19.5" x14ac:dyDescent="0.4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12">
        <f t="shared" si="48"/>
        <v>0.50735632183908042</v>
      </c>
      <c r="P783" s="13">
        <f t="shared" si="49"/>
        <v>78.821428571428569</v>
      </c>
      <c r="Q783" t="str" cm="1">
        <f t="array" ref="Q783:R783">_xlfn.TEXTSPLIT(N783,"/",,FALSE,,#N/A)</f>
        <v>theater</v>
      </c>
      <c r="R783" t="str">
        <v>plays</v>
      </c>
      <c r="U783" s="6">
        <f t="shared" si="50"/>
        <v>40482.208333333336</v>
      </c>
      <c r="V783" s="6">
        <f t="shared" si="51"/>
        <v>40533.25</v>
      </c>
    </row>
    <row r="784" spans="1:22" ht="19.5" x14ac:dyDescent="0.4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12">
        <f t="shared" si="48"/>
        <v>2.153137254901961</v>
      </c>
      <c r="P784" s="13">
        <f t="shared" si="49"/>
        <v>68.204968944099377</v>
      </c>
      <c r="Q784" t="str" cm="1">
        <f t="array" ref="Q784:R784">_xlfn.TEXTSPLIT(N784,"/",,FALSE,,#N/A)</f>
        <v>film &amp; video</v>
      </c>
      <c r="R784" t="str">
        <v>animation</v>
      </c>
      <c r="U784" s="6">
        <f t="shared" si="50"/>
        <v>40603.25</v>
      </c>
      <c r="V784" s="6">
        <f t="shared" si="51"/>
        <v>40631.208333333336</v>
      </c>
    </row>
    <row r="785" spans="1:22" ht="19.5" x14ac:dyDescent="0.4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12">
        <f t="shared" si="48"/>
        <v>1.4122972972972974</v>
      </c>
      <c r="P785" s="13">
        <f t="shared" si="49"/>
        <v>75.731884057971016</v>
      </c>
      <c r="Q785" t="str" cm="1">
        <f t="array" ref="Q785:R785">_xlfn.TEXTSPLIT(N785,"/",,FALSE,,#N/A)</f>
        <v>music</v>
      </c>
      <c r="R785" t="str">
        <v>rock</v>
      </c>
      <c r="U785" s="6">
        <f t="shared" si="50"/>
        <v>41625.25</v>
      </c>
      <c r="V785" s="6">
        <f t="shared" si="51"/>
        <v>41632.25</v>
      </c>
    </row>
    <row r="786" spans="1:22" ht="19.5" x14ac:dyDescent="0.4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12">
        <f t="shared" si="48"/>
        <v>1.1533745781777278</v>
      </c>
      <c r="P786" s="13">
        <f t="shared" si="49"/>
        <v>30.996070133010882</v>
      </c>
      <c r="Q786" t="str" cm="1">
        <f t="array" ref="Q786:R786">_xlfn.TEXTSPLIT(N786,"/",,FALSE,,#N/A)</f>
        <v>technology</v>
      </c>
      <c r="R786" t="str">
        <v>web</v>
      </c>
      <c r="U786" s="6">
        <f t="shared" si="50"/>
        <v>42435.25</v>
      </c>
      <c r="V786" s="6">
        <f t="shared" si="51"/>
        <v>42446.208333333328</v>
      </c>
    </row>
    <row r="787" spans="1:22" ht="33.75" x14ac:dyDescent="0.4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12">
        <f t="shared" si="48"/>
        <v>1.9311940298507462</v>
      </c>
      <c r="P787" s="13">
        <f t="shared" si="49"/>
        <v>101.88188976377953</v>
      </c>
      <c r="Q787" t="str" cm="1">
        <f t="array" ref="Q787:R787">_xlfn.TEXTSPLIT(N787,"/",,FALSE,,#N/A)</f>
        <v>film &amp; video</v>
      </c>
      <c r="R787" t="str">
        <v>animation</v>
      </c>
      <c r="U787" s="6">
        <f t="shared" si="50"/>
        <v>43582.208333333328</v>
      </c>
      <c r="V787" s="6">
        <f t="shared" si="51"/>
        <v>43616.208333333328</v>
      </c>
    </row>
    <row r="788" spans="1:22" ht="19.5" x14ac:dyDescent="0.4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12">
        <f t="shared" si="48"/>
        <v>7.2973333333333334</v>
      </c>
      <c r="P788" s="13">
        <f t="shared" si="49"/>
        <v>52.879227053140099</v>
      </c>
      <c r="Q788" t="str" cm="1">
        <f t="array" ref="Q788:R788">_xlfn.TEXTSPLIT(N788,"/",,FALSE,,#N/A)</f>
        <v>music</v>
      </c>
      <c r="R788" t="str">
        <v>jazz</v>
      </c>
      <c r="U788" s="6">
        <f t="shared" si="50"/>
        <v>43186.208333333328</v>
      </c>
      <c r="V788" s="6">
        <f t="shared" si="51"/>
        <v>43193.208333333328</v>
      </c>
    </row>
    <row r="789" spans="1:22" ht="19.5" x14ac:dyDescent="0.4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12">
        <f t="shared" si="48"/>
        <v>0.99663398692810456</v>
      </c>
      <c r="P789" s="13">
        <f t="shared" si="49"/>
        <v>71.005820721769496</v>
      </c>
      <c r="Q789" t="str" cm="1">
        <f t="array" ref="Q789:R789">_xlfn.TEXTSPLIT(N789,"/",,FALSE,,#N/A)</f>
        <v>music</v>
      </c>
      <c r="R789" t="str">
        <v>rock</v>
      </c>
      <c r="U789" s="6">
        <f t="shared" si="50"/>
        <v>40684.208333333336</v>
      </c>
      <c r="V789" s="6">
        <f t="shared" si="51"/>
        <v>40693.208333333336</v>
      </c>
    </row>
    <row r="790" spans="1:22" ht="19.5" x14ac:dyDescent="0.4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12">
        <f t="shared" si="48"/>
        <v>0.88166666666666671</v>
      </c>
      <c r="P790" s="13">
        <f t="shared" si="49"/>
        <v>102.38709677419355</v>
      </c>
      <c r="Q790" t="str" cm="1">
        <f t="array" ref="Q790:R790">_xlfn.TEXTSPLIT(N790,"/",,FALSE,,#N/A)</f>
        <v>film &amp; video</v>
      </c>
      <c r="R790" t="str">
        <v>animation</v>
      </c>
      <c r="U790" s="6">
        <f t="shared" si="50"/>
        <v>41202.208333333336</v>
      </c>
      <c r="V790" s="6">
        <f t="shared" si="51"/>
        <v>41223.25</v>
      </c>
    </row>
    <row r="791" spans="1:22" ht="19.5" x14ac:dyDescent="0.4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12">
        <f t="shared" si="48"/>
        <v>0.37233333333333335</v>
      </c>
      <c r="P791" s="13">
        <f t="shared" si="49"/>
        <v>74.466666666666669</v>
      </c>
      <c r="Q791" t="str" cm="1">
        <f t="array" ref="Q791:R791">_xlfn.TEXTSPLIT(N791,"/",,FALSE,,#N/A)</f>
        <v>theater</v>
      </c>
      <c r="R791" t="str">
        <v>plays</v>
      </c>
      <c r="U791" s="6">
        <f t="shared" si="50"/>
        <v>41786.208333333336</v>
      </c>
      <c r="V791" s="6">
        <f t="shared" si="51"/>
        <v>41823.208333333336</v>
      </c>
    </row>
    <row r="792" spans="1:22" ht="19.5" x14ac:dyDescent="0.4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12">
        <f t="shared" si="48"/>
        <v>0.30540075309306081</v>
      </c>
      <c r="P792" s="13">
        <f t="shared" si="49"/>
        <v>51.009883198562441</v>
      </c>
      <c r="Q792" t="str" cm="1">
        <f t="array" ref="Q792:R792">_xlfn.TEXTSPLIT(N792,"/",,FALSE,,#N/A)</f>
        <v>theater</v>
      </c>
      <c r="R792" t="str">
        <v>plays</v>
      </c>
      <c r="U792" s="6">
        <f t="shared" si="50"/>
        <v>40223.25</v>
      </c>
      <c r="V792" s="6">
        <f t="shared" si="51"/>
        <v>40229.25</v>
      </c>
    </row>
    <row r="793" spans="1:22" ht="19.5" x14ac:dyDescent="0.4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12">
        <f t="shared" si="48"/>
        <v>0.25714285714285712</v>
      </c>
      <c r="P793" s="13">
        <f t="shared" si="49"/>
        <v>90</v>
      </c>
      <c r="Q793" t="str" cm="1">
        <f t="array" ref="Q793:R793">_xlfn.TEXTSPLIT(N793,"/",,FALSE,,#N/A)</f>
        <v>food</v>
      </c>
      <c r="R793" t="str">
        <v>food trucks</v>
      </c>
      <c r="U793" s="6">
        <f t="shared" si="50"/>
        <v>42715.25</v>
      </c>
      <c r="V793" s="6">
        <f t="shared" si="51"/>
        <v>42731.25</v>
      </c>
    </row>
    <row r="794" spans="1:22" ht="19.5" x14ac:dyDescent="0.4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12">
        <f t="shared" si="48"/>
        <v>0.34</v>
      </c>
      <c r="P794" s="13">
        <f t="shared" si="49"/>
        <v>97.142857142857139</v>
      </c>
      <c r="Q794" t="str" cm="1">
        <f t="array" ref="Q794:R794">_xlfn.TEXTSPLIT(N794,"/",,FALSE,,#N/A)</f>
        <v>theater</v>
      </c>
      <c r="R794" t="str">
        <v>plays</v>
      </c>
      <c r="U794" s="6">
        <f t="shared" si="50"/>
        <v>41451.208333333336</v>
      </c>
      <c r="V794" s="6">
        <f t="shared" si="51"/>
        <v>41479.208333333336</v>
      </c>
    </row>
    <row r="795" spans="1:22" ht="19.5" x14ac:dyDescent="0.4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12">
        <f t="shared" si="48"/>
        <v>11.859090909090909</v>
      </c>
      <c r="P795" s="13">
        <f t="shared" si="49"/>
        <v>72.071823204419886</v>
      </c>
      <c r="Q795" t="str" cm="1">
        <f t="array" ref="Q795:R795">_xlfn.TEXTSPLIT(N795,"/",,FALSE,,#N/A)</f>
        <v>publishing</v>
      </c>
      <c r="R795" t="str">
        <v>nonfiction</v>
      </c>
      <c r="U795" s="6">
        <f t="shared" si="50"/>
        <v>41450.208333333336</v>
      </c>
      <c r="V795" s="6">
        <f t="shared" si="51"/>
        <v>41454.208333333336</v>
      </c>
    </row>
    <row r="796" spans="1:22" ht="19.5" x14ac:dyDescent="0.4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12">
        <f t="shared" si="48"/>
        <v>1.2539393939393939</v>
      </c>
      <c r="P796" s="13">
        <f t="shared" si="49"/>
        <v>75.236363636363635</v>
      </c>
      <c r="Q796" t="str" cm="1">
        <f t="array" ref="Q796:R796">_xlfn.TEXTSPLIT(N796,"/",,FALSE,,#N/A)</f>
        <v>music</v>
      </c>
      <c r="R796" t="str">
        <v>rock</v>
      </c>
      <c r="U796" s="6">
        <f t="shared" si="50"/>
        <v>43091.25</v>
      </c>
      <c r="V796" s="6">
        <f t="shared" si="51"/>
        <v>43103.25</v>
      </c>
    </row>
    <row r="797" spans="1:22" ht="33.75" x14ac:dyDescent="0.4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12">
        <f t="shared" si="48"/>
        <v>0.14394366197183098</v>
      </c>
      <c r="P797" s="13">
        <f t="shared" si="49"/>
        <v>32.967741935483872</v>
      </c>
      <c r="Q797" t="str" cm="1">
        <f t="array" ref="Q797:R797">_xlfn.TEXTSPLIT(N797,"/",,FALSE,,#N/A)</f>
        <v>film &amp; video</v>
      </c>
      <c r="R797" t="str">
        <v>drama</v>
      </c>
      <c r="U797" s="6">
        <f t="shared" si="50"/>
        <v>42675.208333333328</v>
      </c>
      <c r="V797" s="6">
        <f t="shared" si="51"/>
        <v>42678.208333333328</v>
      </c>
    </row>
    <row r="798" spans="1:22" ht="19.5" x14ac:dyDescent="0.4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12">
        <f t="shared" si="48"/>
        <v>0.54807692307692313</v>
      </c>
      <c r="P798" s="13">
        <f t="shared" si="49"/>
        <v>54.807692307692307</v>
      </c>
      <c r="Q798" t="str" cm="1">
        <f t="array" ref="Q798:R798">_xlfn.TEXTSPLIT(N798,"/",,FALSE,,#N/A)</f>
        <v>games</v>
      </c>
      <c r="R798" t="str">
        <v>mobile games</v>
      </c>
      <c r="U798" s="6">
        <f t="shared" si="50"/>
        <v>41859.208333333336</v>
      </c>
      <c r="V798" s="6">
        <f t="shared" si="51"/>
        <v>41866.208333333336</v>
      </c>
    </row>
    <row r="799" spans="1:22" ht="19.5" x14ac:dyDescent="0.4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12">
        <f t="shared" si="48"/>
        <v>1.0963157894736841</v>
      </c>
      <c r="P799" s="13">
        <f t="shared" si="49"/>
        <v>45.037837837837834</v>
      </c>
      <c r="Q799" t="str" cm="1">
        <f t="array" ref="Q799:R799">_xlfn.TEXTSPLIT(N799,"/",,FALSE,,#N/A)</f>
        <v>technology</v>
      </c>
      <c r="R799" t="str">
        <v>web</v>
      </c>
      <c r="U799" s="6">
        <f t="shared" si="50"/>
        <v>43464.25</v>
      </c>
      <c r="V799" s="6">
        <f t="shared" si="51"/>
        <v>43487.25</v>
      </c>
    </row>
    <row r="800" spans="1:22" ht="19.5" x14ac:dyDescent="0.4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12">
        <f t="shared" si="48"/>
        <v>1.8847058823529412</v>
      </c>
      <c r="P800" s="13">
        <f t="shared" si="49"/>
        <v>52.958677685950413</v>
      </c>
      <c r="Q800" t="str" cm="1">
        <f t="array" ref="Q800:R800">_xlfn.TEXTSPLIT(N800,"/",,FALSE,,#N/A)</f>
        <v>theater</v>
      </c>
      <c r="R800" t="str">
        <v>plays</v>
      </c>
      <c r="U800" s="6">
        <f t="shared" si="50"/>
        <v>41060.208333333336</v>
      </c>
      <c r="V800" s="6">
        <f t="shared" si="51"/>
        <v>41088.208333333336</v>
      </c>
    </row>
    <row r="801" spans="1:22" ht="19.5" x14ac:dyDescent="0.4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12">
        <f t="shared" si="48"/>
        <v>0.87008284023668636</v>
      </c>
      <c r="P801" s="13">
        <f t="shared" si="49"/>
        <v>60.017959183673469</v>
      </c>
      <c r="Q801" t="str" cm="1">
        <f t="array" ref="Q801:R801">_xlfn.TEXTSPLIT(N801,"/",,FALSE,,#N/A)</f>
        <v>theater</v>
      </c>
      <c r="R801" t="str">
        <v>plays</v>
      </c>
      <c r="U801" s="6">
        <f t="shared" si="50"/>
        <v>42399.25</v>
      </c>
      <c r="V801" s="6">
        <f t="shared" si="51"/>
        <v>42403.25</v>
      </c>
    </row>
    <row r="802" spans="1:22" ht="19.5" x14ac:dyDescent="0.4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12">
        <f t="shared" si="48"/>
        <v>0.01</v>
      </c>
      <c r="P802" s="13">
        <f t="shared" si="49"/>
        <v>1</v>
      </c>
      <c r="Q802" t="str" cm="1">
        <f t="array" ref="Q802:R802">_xlfn.TEXTSPLIT(N802,"/",,FALSE,,#N/A)</f>
        <v>music</v>
      </c>
      <c r="R802" t="str">
        <v>rock</v>
      </c>
      <c r="U802" s="6">
        <f t="shared" si="50"/>
        <v>42167.208333333328</v>
      </c>
      <c r="V802" s="6">
        <f t="shared" si="51"/>
        <v>42171.208333333328</v>
      </c>
    </row>
    <row r="803" spans="1:22" ht="19.5" x14ac:dyDescent="0.4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12">
        <f t="shared" si="48"/>
        <v>2.0291304347826089</v>
      </c>
      <c r="P803" s="13">
        <f t="shared" si="49"/>
        <v>44.028301886792455</v>
      </c>
      <c r="Q803" t="str" cm="1">
        <f t="array" ref="Q803:R803">_xlfn.TEXTSPLIT(N803,"/",,FALSE,,#N/A)</f>
        <v>photography</v>
      </c>
      <c r="R803" t="str">
        <v>photography books</v>
      </c>
      <c r="U803" s="6">
        <f t="shared" si="50"/>
        <v>43830.25</v>
      </c>
      <c r="V803" s="6">
        <f t="shared" si="51"/>
        <v>43852.25</v>
      </c>
    </row>
    <row r="804" spans="1:22" ht="33.75" x14ac:dyDescent="0.4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12">
        <f t="shared" si="48"/>
        <v>1.9703225806451612</v>
      </c>
      <c r="P804" s="13">
        <f t="shared" si="49"/>
        <v>86.028169014084511</v>
      </c>
      <c r="Q804" t="str" cm="1">
        <f t="array" ref="Q804:R804">_xlfn.TEXTSPLIT(N804,"/",,FALSE,,#N/A)</f>
        <v>photography</v>
      </c>
      <c r="R804" t="str">
        <v>photography books</v>
      </c>
      <c r="U804" s="6">
        <f t="shared" si="50"/>
        <v>43650.208333333328</v>
      </c>
      <c r="V804" s="6">
        <f t="shared" si="51"/>
        <v>43652.208333333328</v>
      </c>
    </row>
    <row r="805" spans="1:22" ht="33.75" x14ac:dyDescent="0.4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12">
        <f t="shared" si="48"/>
        <v>1.07</v>
      </c>
      <c r="P805" s="13">
        <f t="shared" si="49"/>
        <v>28.012875536480685</v>
      </c>
      <c r="Q805" t="str" cm="1">
        <f t="array" ref="Q805:R805">_xlfn.TEXTSPLIT(N805,"/",,FALSE,,#N/A)</f>
        <v>theater</v>
      </c>
      <c r="R805" t="str">
        <v>plays</v>
      </c>
      <c r="U805" s="6">
        <f t="shared" si="50"/>
        <v>43492.25</v>
      </c>
      <c r="V805" s="6">
        <f t="shared" si="51"/>
        <v>43526.25</v>
      </c>
    </row>
    <row r="806" spans="1:22" ht="19.5" x14ac:dyDescent="0.4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12">
        <f t="shared" si="48"/>
        <v>2.6873076923076922</v>
      </c>
      <c r="P806" s="13">
        <f t="shared" si="49"/>
        <v>32.050458715596328</v>
      </c>
      <c r="Q806" t="str" cm="1">
        <f t="array" ref="Q806:R806">_xlfn.TEXTSPLIT(N806,"/",,FALSE,,#N/A)</f>
        <v>music</v>
      </c>
      <c r="R806" t="str">
        <v>rock</v>
      </c>
      <c r="U806" s="6">
        <f t="shared" si="50"/>
        <v>43102.25</v>
      </c>
      <c r="V806" s="6">
        <f t="shared" si="51"/>
        <v>43122.25</v>
      </c>
    </row>
    <row r="807" spans="1:22" ht="33.75" x14ac:dyDescent="0.4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12">
        <f t="shared" si="48"/>
        <v>0.50845360824742269</v>
      </c>
      <c r="P807" s="13">
        <f t="shared" si="49"/>
        <v>73.611940298507463</v>
      </c>
      <c r="Q807" t="str" cm="1">
        <f t="array" ref="Q807:R807">_xlfn.TEXTSPLIT(N807,"/",,FALSE,,#N/A)</f>
        <v>film &amp; video</v>
      </c>
      <c r="R807" t="str">
        <v>documentary</v>
      </c>
      <c r="U807" s="6">
        <f t="shared" si="50"/>
        <v>41958.25</v>
      </c>
      <c r="V807" s="6">
        <f t="shared" si="51"/>
        <v>42009.25</v>
      </c>
    </row>
    <row r="808" spans="1:22" ht="19.5" x14ac:dyDescent="0.4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12">
        <f t="shared" si="48"/>
        <v>11.802857142857142</v>
      </c>
      <c r="P808" s="13">
        <f t="shared" si="49"/>
        <v>108.71052631578948</v>
      </c>
      <c r="Q808" t="str" cm="1">
        <f t="array" ref="Q808:R808">_xlfn.TEXTSPLIT(N808,"/",,FALSE,,#N/A)</f>
        <v>film &amp; video</v>
      </c>
      <c r="R808" t="str">
        <v>drama</v>
      </c>
      <c r="U808" s="6">
        <f t="shared" si="50"/>
        <v>40973.25</v>
      </c>
      <c r="V808" s="6">
        <f t="shared" si="51"/>
        <v>40997.208333333336</v>
      </c>
    </row>
    <row r="809" spans="1:22" ht="19.5" x14ac:dyDescent="0.4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12">
        <f t="shared" si="48"/>
        <v>2.64</v>
      </c>
      <c r="P809" s="13">
        <f t="shared" si="49"/>
        <v>42.97674418604651</v>
      </c>
      <c r="Q809" t="str" cm="1">
        <f t="array" ref="Q809:R809">_xlfn.TEXTSPLIT(N809,"/",,FALSE,,#N/A)</f>
        <v>theater</v>
      </c>
      <c r="R809" t="str">
        <v>plays</v>
      </c>
      <c r="U809" s="6">
        <f t="shared" si="50"/>
        <v>43753.208333333328</v>
      </c>
      <c r="V809" s="6">
        <f t="shared" si="51"/>
        <v>43797.25</v>
      </c>
    </row>
    <row r="810" spans="1:22" ht="19.5" x14ac:dyDescent="0.4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12">
        <f t="shared" si="48"/>
        <v>0.30442307692307691</v>
      </c>
      <c r="P810" s="13">
        <f t="shared" si="49"/>
        <v>83.315789473684205</v>
      </c>
      <c r="Q810" t="str" cm="1">
        <f t="array" ref="Q810:R810">_xlfn.TEXTSPLIT(N810,"/",,FALSE,,#N/A)</f>
        <v>food</v>
      </c>
      <c r="R810" t="str">
        <v>food trucks</v>
      </c>
      <c r="U810" s="6">
        <f t="shared" si="50"/>
        <v>42507.208333333328</v>
      </c>
      <c r="V810" s="6">
        <f t="shared" si="51"/>
        <v>42524.208333333328</v>
      </c>
    </row>
    <row r="811" spans="1:22" ht="19.5" x14ac:dyDescent="0.4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12">
        <f t="shared" si="48"/>
        <v>0.62880681818181816</v>
      </c>
      <c r="P811" s="13">
        <f t="shared" si="49"/>
        <v>42</v>
      </c>
      <c r="Q811" t="str" cm="1">
        <f t="array" ref="Q811:R811">_xlfn.TEXTSPLIT(N811,"/",,FALSE,,#N/A)</f>
        <v>film &amp; video</v>
      </c>
      <c r="R811" t="str">
        <v>documentary</v>
      </c>
      <c r="U811" s="6">
        <f t="shared" si="50"/>
        <v>41135.208333333336</v>
      </c>
      <c r="V811" s="6">
        <f t="shared" si="51"/>
        <v>41136.208333333336</v>
      </c>
    </row>
    <row r="812" spans="1:22" ht="19.5" x14ac:dyDescent="0.4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12">
        <f t="shared" si="48"/>
        <v>1.9312499999999999</v>
      </c>
      <c r="P812" s="13">
        <f t="shared" si="49"/>
        <v>55.927601809954751</v>
      </c>
      <c r="Q812" t="str" cm="1">
        <f t="array" ref="Q812:R812">_xlfn.TEXTSPLIT(N812,"/",,FALSE,,#N/A)</f>
        <v>theater</v>
      </c>
      <c r="R812" t="str">
        <v>plays</v>
      </c>
      <c r="U812" s="6">
        <f t="shared" si="50"/>
        <v>43067.25</v>
      </c>
      <c r="V812" s="6">
        <f t="shared" si="51"/>
        <v>43077.25</v>
      </c>
    </row>
    <row r="813" spans="1:22" ht="19.5" x14ac:dyDescent="0.4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12">
        <f t="shared" si="48"/>
        <v>0.77102702702702708</v>
      </c>
      <c r="P813" s="13">
        <f t="shared" si="49"/>
        <v>105.03681885125184</v>
      </c>
      <c r="Q813" t="str" cm="1">
        <f t="array" ref="Q813:R813">_xlfn.TEXTSPLIT(N813,"/",,FALSE,,#N/A)</f>
        <v>games</v>
      </c>
      <c r="R813" t="str">
        <v>video games</v>
      </c>
      <c r="U813" s="6">
        <f t="shared" si="50"/>
        <v>42378.25</v>
      </c>
      <c r="V813" s="6">
        <f t="shared" si="51"/>
        <v>42380.25</v>
      </c>
    </row>
    <row r="814" spans="1:22" ht="19.5" x14ac:dyDescent="0.4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12">
        <f t="shared" si="48"/>
        <v>2.2552763819095478</v>
      </c>
      <c r="P814" s="13">
        <f t="shared" si="49"/>
        <v>48</v>
      </c>
      <c r="Q814" t="str" cm="1">
        <f t="array" ref="Q814:R814">_xlfn.TEXTSPLIT(N814,"/",,FALSE,,#N/A)</f>
        <v>publishing</v>
      </c>
      <c r="R814" t="str">
        <v>nonfiction</v>
      </c>
      <c r="U814" s="6">
        <f t="shared" si="50"/>
        <v>43206.208333333328</v>
      </c>
      <c r="V814" s="6">
        <f t="shared" si="51"/>
        <v>43211.208333333328</v>
      </c>
    </row>
    <row r="815" spans="1:22" ht="19.5" x14ac:dyDescent="0.4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12">
        <f t="shared" si="48"/>
        <v>2.3940625</v>
      </c>
      <c r="P815" s="13">
        <f t="shared" si="49"/>
        <v>112.66176470588235</v>
      </c>
      <c r="Q815" t="str" cm="1">
        <f t="array" ref="Q815:R815">_xlfn.TEXTSPLIT(N815,"/",,FALSE,,#N/A)</f>
        <v>games</v>
      </c>
      <c r="R815" t="str">
        <v>video games</v>
      </c>
      <c r="U815" s="6">
        <f t="shared" si="50"/>
        <v>41148.208333333336</v>
      </c>
      <c r="V815" s="6">
        <f t="shared" si="51"/>
        <v>41158.208333333336</v>
      </c>
    </row>
    <row r="816" spans="1:22" ht="19.5" x14ac:dyDescent="0.4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12">
        <f t="shared" si="48"/>
        <v>0.921875</v>
      </c>
      <c r="P816" s="13">
        <f t="shared" si="49"/>
        <v>81.944444444444443</v>
      </c>
      <c r="Q816" t="str" cm="1">
        <f t="array" ref="Q816:R816">_xlfn.TEXTSPLIT(N816,"/",,FALSE,,#N/A)</f>
        <v>music</v>
      </c>
      <c r="R816" t="str">
        <v>rock</v>
      </c>
      <c r="U816" s="6">
        <f t="shared" si="50"/>
        <v>42517.208333333328</v>
      </c>
      <c r="V816" s="6">
        <f t="shared" si="51"/>
        <v>42519.208333333328</v>
      </c>
    </row>
    <row r="817" spans="1:22" ht="33.75" x14ac:dyDescent="0.4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12">
        <f t="shared" si="48"/>
        <v>1.3023333333333333</v>
      </c>
      <c r="P817" s="13">
        <f t="shared" si="49"/>
        <v>64.049180327868854</v>
      </c>
      <c r="Q817" t="str" cm="1">
        <f t="array" ref="Q817:R817">_xlfn.TEXTSPLIT(N817,"/",,FALSE,,#N/A)</f>
        <v>music</v>
      </c>
      <c r="R817" t="str">
        <v>rock</v>
      </c>
      <c r="U817" s="6">
        <f t="shared" si="50"/>
        <v>43068.25</v>
      </c>
      <c r="V817" s="6">
        <f t="shared" si="51"/>
        <v>43094.25</v>
      </c>
    </row>
    <row r="818" spans="1:22" ht="19.5" x14ac:dyDescent="0.4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12">
        <f t="shared" si="48"/>
        <v>6.1521739130434785</v>
      </c>
      <c r="P818" s="13">
        <f t="shared" si="49"/>
        <v>106.39097744360902</v>
      </c>
      <c r="Q818" t="str" cm="1">
        <f t="array" ref="Q818:R818">_xlfn.TEXTSPLIT(N818,"/",,FALSE,,#N/A)</f>
        <v>theater</v>
      </c>
      <c r="R818" t="str">
        <v>plays</v>
      </c>
      <c r="U818" s="6">
        <f t="shared" si="50"/>
        <v>41680.25</v>
      </c>
      <c r="V818" s="6">
        <f t="shared" si="51"/>
        <v>41682.25</v>
      </c>
    </row>
    <row r="819" spans="1:22" ht="19.5" x14ac:dyDescent="0.4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12">
        <f t="shared" si="48"/>
        <v>3.687953216374269</v>
      </c>
      <c r="P819" s="13">
        <f t="shared" si="49"/>
        <v>76.011249497790274</v>
      </c>
      <c r="Q819" t="str" cm="1">
        <f t="array" ref="Q819:R819">_xlfn.TEXTSPLIT(N819,"/",,FALSE,,#N/A)</f>
        <v>publishing</v>
      </c>
      <c r="R819" t="str">
        <v>nonfiction</v>
      </c>
      <c r="U819" s="6">
        <f t="shared" si="50"/>
        <v>43589.208333333328</v>
      </c>
      <c r="V819" s="6">
        <f t="shared" si="51"/>
        <v>43617.208333333328</v>
      </c>
    </row>
    <row r="820" spans="1:22" ht="19.5" x14ac:dyDescent="0.4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12">
        <f t="shared" si="48"/>
        <v>10.948571428571428</v>
      </c>
      <c r="P820" s="13">
        <f t="shared" si="49"/>
        <v>111.07246376811594</v>
      </c>
      <c r="Q820" t="str" cm="1">
        <f t="array" ref="Q820:R820">_xlfn.TEXTSPLIT(N820,"/",,FALSE,,#N/A)</f>
        <v>theater</v>
      </c>
      <c r="R820" t="str">
        <v>plays</v>
      </c>
      <c r="U820" s="6">
        <f t="shared" si="50"/>
        <v>43486.25</v>
      </c>
      <c r="V820" s="6">
        <f t="shared" si="51"/>
        <v>43499.25</v>
      </c>
    </row>
    <row r="821" spans="1:22" ht="33.75" x14ac:dyDescent="0.4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12">
        <f t="shared" si="48"/>
        <v>0.50662921348314605</v>
      </c>
      <c r="P821" s="13">
        <f t="shared" si="49"/>
        <v>95.936170212765958</v>
      </c>
      <c r="Q821" t="str" cm="1">
        <f t="array" ref="Q821:R821">_xlfn.TEXTSPLIT(N821,"/",,FALSE,,#N/A)</f>
        <v>games</v>
      </c>
      <c r="R821" t="str">
        <v>video games</v>
      </c>
      <c r="U821" s="6">
        <f t="shared" si="50"/>
        <v>41237.25</v>
      </c>
      <c r="V821" s="6">
        <f t="shared" si="51"/>
        <v>41252.25</v>
      </c>
    </row>
    <row r="822" spans="1:22" ht="19.5" x14ac:dyDescent="0.4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12">
        <f t="shared" si="48"/>
        <v>8.0060000000000002</v>
      </c>
      <c r="P822" s="13">
        <f t="shared" si="49"/>
        <v>43.043010752688176</v>
      </c>
      <c r="Q822" t="str" cm="1">
        <f t="array" ref="Q822:R822">_xlfn.TEXTSPLIT(N822,"/",,FALSE,,#N/A)</f>
        <v>music</v>
      </c>
      <c r="R822" t="str">
        <v>rock</v>
      </c>
      <c r="U822" s="6">
        <f t="shared" si="50"/>
        <v>43310.208333333328</v>
      </c>
      <c r="V822" s="6">
        <f t="shared" si="51"/>
        <v>43323.208333333328</v>
      </c>
    </row>
    <row r="823" spans="1:22" ht="19.5" x14ac:dyDescent="0.4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12">
        <f t="shared" si="48"/>
        <v>2.9128571428571428</v>
      </c>
      <c r="P823" s="13">
        <f t="shared" si="49"/>
        <v>67.966666666666669</v>
      </c>
      <c r="Q823" t="str" cm="1">
        <f t="array" ref="Q823:R823">_xlfn.TEXTSPLIT(N823,"/",,FALSE,,#N/A)</f>
        <v>film &amp; video</v>
      </c>
      <c r="R823" t="str">
        <v>documentary</v>
      </c>
      <c r="U823" s="6">
        <f t="shared" si="50"/>
        <v>42794.25</v>
      </c>
      <c r="V823" s="6">
        <f t="shared" si="51"/>
        <v>42807.208333333328</v>
      </c>
    </row>
    <row r="824" spans="1:22" ht="19.5" x14ac:dyDescent="0.4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12">
        <f t="shared" si="48"/>
        <v>3.4996666666666667</v>
      </c>
      <c r="P824" s="13">
        <f t="shared" si="49"/>
        <v>89.991428571428571</v>
      </c>
      <c r="Q824" t="str" cm="1">
        <f t="array" ref="Q824:R824">_xlfn.TEXTSPLIT(N824,"/",,FALSE,,#N/A)</f>
        <v>music</v>
      </c>
      <c r="R824" t="str">
        <v>rock</v>
      </c>
      <c r="U824" s="6">
        <f t="shared" si="50"/>
        <v>41698.25</v>
      </c>
      <c r="V824" s="6">
        <f t="shared" si="51"/>
        <v>41715.208333333336</v>
      </c>
    </row>
    <row r="825" spans="1:22" ht="19.5" x14ac:dyDescent="0.4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12">
        <f t="shared" si="48"/>
        <v>3.5707317073170732</v>
      </c>
      <c r="P825" s="13">
        <f t="shared" si="49"/>
        <v>58.095238095238095</v>
      </c>
      <c r="Q825" t="str" cm="1">
        <f t="array" ref="Q825:R825">_xlfn.TEXTSPLIT(N825,"/",,FALSE,,#N/A)</f>
        <v>music</v>
      </c>
      <c r="R825" t="str">
        <v>rock</v>
      </c>
      <c r="U825" s="6">
        <f t="shared" si="50"/>
        <v>41892.208333333336</v>
      </c>
      <c r="V825" s="6">
        <f t="shared" si="51"/>
        <v>41917.208333333336</v>
      </c>
    </row>
    <row r="826" spans="1:22" ht="19.5" x14ac:dyDescent="0.4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12">
        <f t="shared" si="48"/>
        <v>1.2648941176470587</v>
      </c>
      <c r="P826" s="13">
        <f t="shared" si="49"/>
        <v>83.996875000000003</v>
      </c>
      <c r="Q826" t="str" cm="1">
        <f t="array" ref="Q826:R826">_xlfn.TEXTSPLIT(N826,"/",,FALSE,,#N/A)</f>
        <v>publishing</v>
      </c>
      <c r="R826" t="str">
        <v>nonfiction</v>
      </c>
      <c r="U826" s="6">
        <f t="shared" si="50"/>
        <v>40348.208333333336</v>
      </c>
      <c r="V826" s="6">
        <f t="shared" si="51"/>
        <v>40380.208333333336</v>
      </c>
    </row>
    <row r="827" spans="1:22" ht="19.5" x14ac:dyDescent="0.4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12">
        <f t="shared" si="48"/>
        <v>3.875</v>
      </c>
      <c r="P827" s="13">
        <f t="shared" si="49"/>
        <v>88.853503184713375</v>
      </c>
      <c r="Q827" t="str" cm="1">
        <f t="array" ref="Q827:R827">_xlfn.TEXTSPLIT(N827,"/",,FALSE,,#N/A)</f>
        <v>film &amp; video</v>
      </c>
      <c r="R827" t="str">
        <v>shorts</v>
      </c>
      <c r="U827" s="6">
        <f t="shared" si="50"/>
        <v>42941.208333333328</v>
      </c>
      <c r="V827" s="6">
        <f t="shared" si="51"/>
        <v>42953.208333333328</v>
      </c>
    </row>
    <row r="828" spans="1:22" ht="33.75" x14ac:dyDescent="0.4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12">
        <f t="shared" si="48"/>
        <v>4.5703571428571426</v>
      </c>
      <c r="P828" s="13">
        <f t="shared" si="49"/>
        <v>65.963917525773198</v>
      </c>
      <c r="Q828" t="str" cm="1">
        <f t="array" ref="Q828:R828">_xlfn.TEXTSPLIT(N828,"/",,FALSE,,#N/A)</f>
        <v>theater</v>
      </c>
      <c r="R828" t="str">
        <v>plays</v>
      </c>
      <c r="U828" s="6">
        <f t="shared" si="50"/>
        <v>40525.25</v>
      </c>
      <c r="V828" s="6">
        <f t="shared" si="51"/>
        <v>40553.25</v>
      </c>
    </row>
    <row r="829" spans="1:22" ht="33.75" x14ac:dyDescent="0.4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12">
        <f t="shared" si="48"/>
        <v>2.6669565217391304</v>
      </c>
      <c r="P829" s="13">
        <f t="shared" si="49"/>
        <v>74.804878048780495</v>
      </c>
      <c r="Q829" t="str" cm="1">
        <f t="array" ref="Q829:R829">_xlfn.TEXTSPLIT(N829,"/",,FALSE,,#N/A)</f>
        <v>film &amp; video</v>
      </c>
      <c r="R829" t="str">
        <v>drama</v>
      </c>
      <c r="U829" s="6">
        <f t="shared" si="50"/>
        <v>40666.208333333336</v>
      </c>
      <c r="V829" s="6">
        <f t="shared" si="51"/>
        <v>40678.208333333336</v>
      </c>
    </row>
    <row r="830" spans="1:22" ht="33.75" x14ac:dyDescent="0.4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12">
        <f t="shared" si="48"/>
        <v>0.69</v>
      </c>
      <c r="P830" s="13">
        <f t="shared" si="49"/>
        <v>69.98571428571428</v>
      </c>
      <c r="Q830" t="str" cm="1">
        <f t="array" ref="Q830:R830">_xlfn.TEXTSPLIT(N830,"/",,FALSE,,#N/A)</f>
        <v>theater</v>
      </c>
      <c r="R830" t="str">
        <v>plays</v>
      </c>
      <c r="U830" s="6">
        <f t="shared" si="50"/>
        <v>43340.208333333328</v>
      </c>
      <c r="V830" s="6">
        <f t="shared" si="51"/>
        <v>43365.208333333328</v>
      </c>
    </row>
    <row r="831" spans="1:22" ht="19.5" x14ac:dyDescent="0.4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12">
        <f t="shared" si="48"/>
        <v>0.51343749999999999</v>
      </c>
      <c r="P831" s="13">
        <f t="shared" si="49"/>
        <v>32.006493506493506</v>
      </c>
      <c r="Q831" t="str" cm="1">
        <f t="array" ref="Q831:R831">_xlfn.TEXTSPLIT(N831,"/",,FALSE,,#N/A)</f>
        <v>theater</v>
      </c>
      <c r="R831" t="str">
        <v>plays</v>
      </c>
      <c r="U831" s="6">
        <f t="shared" si="50"/>
        <v>42164.208333333328</v>
      </c>
      <c r="V831" s="6">
        <f t="shared" si="51"/>
        <v>42179.208333333328</v>
      </c>
    </row>
    <row r="832" spans="1:22" ht="33.75" x14ac:dyDescent="0.4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12">
        <f t="shared" si="48"/>
        <v>1.1710526315789473E-2</v>
      </c>
      <c r="P832" s="13">
        <f t="shared" si="49"/>
        <v>64.727272727272734</v>
      </c>
      <c r="Q832" t="str" cm="1">
        <f t="array" ref="Q832:R832">_xlfn.TEXTSPLIT(N832,"/",,FALSE,,#N/A)</f>
        <v>theater</v>
      </c>
      <c r="R832" t="str">
        <v>plays</v>
      </c>
      <c r="U832" s="6">
        <f t="shared" si="50"/>
        <v>43103.25</v>
      </c>
      <c r="V832" s="6">
        <f t="shared" si="51"/>
        <v>43162.25</v>
      </c>
    </row>
    <row r="833" spans="1:22" ht="33.75" x14ac:dyDescent="0.4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12">
        <f t="shared" si="48"/>
        <v>1.089773429454171</v>
      </c>
      <c r="P833" s="13">
        <f t="shared" si="49"/>
        <v>24.998110087408456</v>
      </c>
      <c r="Q833" t="str" cm="1">
        <f t="array" ref="Q833:R833">_xlfn.TEXTSPLIT(N833,"/",,FALSE,,#N/A)</f>
        <v>photography</v>
      </c>
      <c r="R833" t="str">
        <v>photography books</v>
      </c>
      <c r="U833" s="6">
        <f t="shared" si="50"/>
        <v>40994.208333333336</v>
      </c>
      <c r="V833" s="6">
        <f t="shared" si="51"/>
        <v>41028.208333333336</v>
      </c>
    </row>
    <row r="834" spans="1:22" ht="19.5" x14ac:dyDescent="0.4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12">
        <f t="shared" si="48"/>
        <v>3.1517592592592591</v>
      </c>
      <c r="P834" s="13">
        <f t="shared" si="49"/>
        <v>104.97764070932922</v>
      </c>
      <c r="Q834" t="str" cm="1">
        <f t="array" ref="Q834:R834">_xlfn.TEXTSPLIT(N834,"/",,FALSE,,#N/A)</f>
        <v>publishing</v>
      </c>
      <c r="R834" t="str">
        <v>translations</v>
      </c>
      <c r="U834" s="6">
        <f t="shared" si="50"/>
        <v>42299.208333333328</v>
      </c>
      <c r="V834" s="6">
        <f t="shared" si="51"/>
        <v>42333.25</v>
      </c>
    </row>
    <row r="835" spans="1:22" ht="19.5" x14ac:dyDescent="0.4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12">
        <f t="shared" ref="O835:O898" si="52">E835/D835</f>
        <v>1.5769117647058823</v>
      </c>
      <c r="P835" s="13">
        <f t="shared" ref="P835:P898" si="53">E835/G835</f>
        <v>64.987878787878785</v>
      </c>
      <c r="Q835" t="str" cm="1">
        <f t="array" ref="Q835:R835">_xlfn.TEXTSPLIT(N835,"/",,FALSE,,#N/A)</f>
        <v>publishing</v>
      </c>
      <c r="R835" t="str">
        <v>translations</v>
      </c>
      <c r="U835" s="6">
        <f t="shared" ref="U835:U898" si="54">(((J835/60)/60)/24)+DATE(1970,1,1)</f>
        <v>40588.25</v>
      </c>
      <c r="V835" s="6">
        <f t="shared" ref="V835:V898" si="55">(((K835/60)/60)/24)+DATE(1970,1,1)</f>
        <v>40599.25</v>
      </c>
    </row>
    <row r="836" spans="1:22" ht="19.5" x14ac:dyDescent="0.4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12">
        <f t="shared" si="52"/>
        <v>1.5380821917808218</v>
      </c>
      <c r="P836" s="13">
        <f t="shared" si="53"/>
        <v>94.352941176470594</v>
      </c>
      <c r="Q836" t="str" cm="1">
        <f t="array" ref="Q836:R836">_xlfn.TEXTSPLIT(N836,"/",,FALSE,,#N/A)</f>
        <v>theater</v>
      </c>
      <c r="R836" t="str">
        <v>plays</v>
      </c>
      <c r="U836" s="6">
        <f t="shared" si="54"/>
        <v>41448.208333333336</v>
      </c>
      <c r="V836" s="6">
        <f t="shared" si="55"/>
        <v>41454.208333333336</v>
      </c>
    </row>
    <row r="837" spans="1:22" ht="19.5" x14ac:dyDescent="0.4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12">
        <f t="shared" si="52"/>
        <v>0.89738979118329465</v>
      </c>
      <c r="P837" s="13">
        <f t="shared" si="53"/>
        <v>44.001706484641637</v>
      </c>
      <c r="Q837" t="str" cm="1">
        <f t="array" ref="Q837:R837">_xlfn.TEXTSPLIT(N837,"/",,FALSE,,#N/A)</f>
        <v>technology</v>
      </c>
      <c r="R837" t="str">
        <v>web</v>
      </c>
      <c r="U837" s="6">
        <f t="shared" si="54"/>
        <v>42063.25</v>
      </c>
      <c r="V837" s="6">
        <f t="shared" si="55"/>
        <v>42069.25</v>
      </c>
    </row>
    <row r="838" spans="1:22" ht="19.5" x14ac:dyDescent="0.4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12">
        <f t="shared" si="52"/>
        <v>0.75135802469135804</v>
      </c>
      <c r="P838" s="13">
        <f t="shared" si="53"/>
        <v>64.744680851063833</v>
      </c>
      <c r="Q838" t="str" cm="1">
        <f t="array" ref="Q838:R838">_xlfn.TEXTSPLIT(N838,"/",,FALSE,,#N/A)</f>
        <v>music</v>
      </c>
      <c r="R838" t="str">
        <v>indie rock</v>
      </c>
      <c r="U838" s="6">
        <f t="shared" si="54"/>
        <v>40214.25</v>
      </c>
      <c r="V838" s="6">
        <f t="shared" si="55"/>
        <v>40225.25</v>
      </c>
    </row>
    <row r="839" spans="1:22" ht="19.5" x14ac:dyDescent="0.4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12">
        <f t="shared" si="52"/>
        <v>8.5288135593220336</v>
      </c>
      <c r="P839" s="13">
        <f t="shared" si="53"/>
        <v>84.00667779632721</v>
      </c>
      <c r="Q839" t="str" cm="1">
        <f t="array" ref="Q839:R839">_xlfn.TEXTSPLIT(N839,"/",,FALSE,,#N/A)</f>
        <v>music</v>
      </c>
      <c r="R839" t="str">
        <v>jazz</v>
      </c>
      <c r="U839" s="6">
        <f t="shared" si="54"/>
        <v>40629.208333333336</v>
      </c>
      <c r="V839" s="6">
        <f t="shared" si="55"/>
        <v>40683.208333333336</v>
      </c>
    </row>
    <row r="840" spans="1:22" ht="19.5" x14ac:dyDescent="0.4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12">
        <f t="shared" si="52"/>
        <v>1.3890625000000001</v>
      </c>
      <c r="P840" s="13">
        <f t="shared" si="53"/>
        <v>34.061302681992338</v>
      </c>
      <c r="Q840" t="str" cm="1">
        <f t="array" ref="Q840:R840">_xlfn.TEXTSPLIT(N840,"/",,FALSE,,#N/A)</f>
        <v>theater</v>
      </c>
      <c r="R840" t="str">
        <v>plays</v>
      </c>
      <c r="U840" s="6">
        <f t="shared" si="54"/>
        <v>43370.208333333328</v>
      </c>
      <c r="V840" s="6">
        <f t="shared" si="55"/>
        <v>43379.208333333328</v>
      </c>
    </row>
    <row r="841" spans="1:22" ht="19.5" x14ac:dyDescent="0.4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12">
        <f t="shared" si="52"/>
        <v>1.9018181818181819</v>
      </c>
      <c r="P841" s="13">
        <f t="shared" si="53"/>
        <v>93.273885350318466</v>
      </c>
      <c r="Q841" t="str" cm="1">
        <f t="array" ref="Q841:R841">_xlfn.TEXTSPLIT(N841,"/",,FALSE,,#N/A)</f>
        <v>film &amp; video</v>
      </c>
      <c r="R841" t="str">
        <v>documentary</v>
      </c>
      <c r="U841" s="6">
        <f t="shared" si="54"/>
        <v>41715.208333333336</v>
      </c>
      <c r="V841" s="6">
        <f t="shared" si="55"/>
        <v>41760.208333333336</v>
      </c>
    </row>
    <row r="842" spans="1:22" ht="19.5" x14ac:dyDescent="0.4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12">
        <f t="shared" si="52"/>
        <v>1.0024333619948409</v>
      </c>
      <c r="P842" s="13">
        <f t="shared" si="53"/>
        <v>32.998301726577978</v>
      </c>
      <c r="Q842" t="str" cm="1">
        <f t="array" ref="Q842:R842">_xlfn.TEXTSPLIT(N842,"/",,FALSE,,#N/A)</f>
        <v>theater</v>
      </c>
      <c r="R842" t="str">
        <v>plays</v>
      </c>
      <c r="U842" s="6">
        <f t="shared" si="54"/>
        <v>41836.208333333336</v>
      </c>
      <c r="V842" s="6">
        <f t="shared" si="55"/>
        <v>41838.208333333336</v>
      </c>
    </row>
    <row r="843" spans="1:22" ht="19.5" x14ac:dyDescent="0.4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12">
        <f t="shared" si="52"/>
        <v>1.4275824175824177</v>
      </c>
      <c r="P843" s="13">
        <f t="shared" si="53"/>
        <v>83.812903225806451</v>
      </c>
      <c r="Q843" t="str" cm="1">
        <f t="array" ref="Q843:R843">_xlfn.TEXTSPLIT(N843,"/",,FALSE,,#N/A)</f>
        <v>technology</v>
      </c>
      <c r="R843" t="str">
        <v>web</v>
      </c>
      <c r="U843" s="6">
        <f t="shared" si="54"/>
        <v>42419.25</v>
      </c>
      <c r="V843" s="6">
        <f t="shared" si="55"/>
        <v>42435.25</v>
      </c>
    </row>
    <row r="844" spans="1:22" ht="33.75" x14ac:dyDescent="0.4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12">
        <f t="shared" si="52"/>
        <v>5.6313333333333331</v>
      </c>
      <c r="P844" s="13">
        <f t="shared" si="53"/>
        <v>63.992424242424242</v>
      </c>
      <c r="Q844" t="str" cm="1">
        <f t="array" ref="Q844:R844">_xlfn.TEXTSPLIT(N844,"/",,FALSE,,#N/A)</f>
        <v>technology</v>
      </c>
      <c r="R844" t="str">
        <v>wearables</v>
      </c>
      <c r="U844" s="6">
        <f t="shared" si="54"/>
        <v>43266.208333333328</v>
      </c>
      <c r="V844" s="6">
        <f t="shared" si="55"/>
        <v>43269.208333333328</v>
      </c>
    </row>
    <row r="845" spans="1:22" ht="33.75" x14ac:dyDescent="0.4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12">
        <f t="shared" si="52"/>
        <v>0.30715909090909088</v>
      </c>
      <c r="P845" s="13">
        <f t="shared" si="53"/>
        <v>81.909090909090907</v>
      </c>
      <c r="Q845" t="str" cm="1">
        <f t="array" ref="Q845:R845">_xlfn.TEXTSPLIT(N845,"/",,FALSE,,#N/A)</f>
        <v>photography</v>
      </c>
      <c r="R845" t="str">
        <v>photography books</v>
      </c>
      <c r="U845" s="6">
        <f t="shared" si="54"/>
        <v>43338.208333333328</v>
      </c>
      <c r="V845" s="6">
        <f t="shared" si="55"/>
        <v>43344.208333333328</v>
      </c>
    </row>
    <row r="846" spans="1:22" ht="19.5" x14ac:dyDescent="0.4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12">
        <f t="shared" si="52"/>
        <v>0.99397727272727276</v>
      </c>
      <c r="P846" s="13">
        <f t="shared" si="53"/>
        <v>93.053191489361708</v>
      </c>
      <c r="Q846" t="str" cm="1">
        <f t="array" ref="Q846:R846">_xlfn.TEXTSPLIT(N846,"/",,FALSE,,#N/A)</f>
        <v>film &amp; video</v>
      </c>
      <c r="R846" t="str">
        <v>documentary</v>
      </c>
      <c r="U846" s="6">
        <f t="shared" si="54"/>
        <v>40930.25</v>
      </c>
      <c r="V846" s="6">
        <f t="shared" si="55"/>
        <v>40933.25</v>
      </c>
    </row>
    <row r="847" spans="1:22" ht="19.5" x14ac:dyDescent="0.4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12">
        <f t="shared" si="52"/>
        <v>1.9754935622317598</v>
      </c>
      <c r="P847" s="13">
        <f t="shared" si="53"/>
        <v>101.98449039881831</v>
      </c>
      <c r="Q847" t="str" cm="1">
        <f t="array" ref="Q847:R847">_xlfn.TEXTSPLIT(N847,"/",,FALSE,,#N/A)</f>
        <v>technology</v>
      </c>
      <c r="R847" t="str">
        <v>web</v>
      </c>
      <c r="U847" s="6">
        <f t="shared" si="54"/>
        <v>43235.208333333328</v>
      </c>
      <c r="V847" s="6">
        <f t="shared" si="55"/>
        <v>43272.208333333328</v>
      </c>
    </row>
    <row r="848" spans="1:22" ht="19.5" x14ac:dyDescent="0.4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12">
        <f t="shared" si="52"/>
        <v>5.085</v>
      </c>
      <c r="P848" s="13">
        <f t="shared" si="53"/>
        <v>105.9375</v>
      </c>
      <c r="Q848" t="str" cm="1">
        <f t="array" ref="Q848:R848">_xlfn.TEXTSPLIT(N848,"/",,FALSE,,#N/A)</f>
        <v>technology</v>
      </c>
      <c r="R848" t="str">
        <v>web</v>
      </c>
      <c r="U848" s="6">
        <f t="shared" si="54"/>
        <v>43302.208333333328</v>
      </c>
      <c r="V848" s="6">
        <f t="shared" si="55"/>
        <v>43338.208333333328</v>
      </c>
    </row>
    <row r="849" spans="1:22" ht="19.5" x14ac:dyDescent="0.4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12">
        <f t="shared" si="52"/>
        <v>2.3774468085106384</v>
      </c>
      <c r="P849" s="13">
        <f t="shared" si="53"/>
        <v>101.58181818181818</v>
      </c>
      <c r="Q849" t="str" cm="1">
        <f t="array" ref="Q849:R849">_xlfn.TEXTSPLIT(N849,"/",,FALSE,,#N/A)</f>
        <v>food</v>
      </c>
      <c r="R849" t="str">
        <v>food trucks</v>
      </c>
      <c r="U849" s="6">
        <f t="shared" si="54"/>
        <v>43107.25</v>
      </c>
      <c r="V849" s="6">
        <f t="shared" si="55"/>
        <v>43110.25</v>
      </c>
    </row>
    <row r="850" spans="1:22" ht="19.5" x14ac:dyDescent="0.4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12">
        <f t="shared" si="52"/>
        <v>3.3846875000000001</v>
      </c>
      <c r="P850" s="13">
        <f t="shared" si="53"/>
        <v>62.970930232558139</v>
      </c>
      <c r="Q850" t="str" cm="1">
        <f t="array" ref="Q850:R850">_xlfn.TEXTSPLIT(N850,"/",,FALSE,,#N/A)</f>
        <v>film &amp; video</v>
      </c>
      <c r="R850" t="str">
        <v>drama</v>
      </c>
      <c r="U850" s="6">
        <f t="shared" si="54"/>
        <v>40341.208333333336</v>
      </c>
      <c r="V850" s="6">
        <f t="shared" si="55"/>
        <v>40350.208333333336</v>
      </c>
    </row>
    <row r="851" spans="1:22" ht="19.5" x14ac:dyDescent="0.4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12">
        <f t="shared" si="52"/>
        <v>1.3308955223880596</v>
      </c>
      <c r="P851" s="13">
        <f t="shared" si="53"/>
        <v>29.045602605863191</v>
      </c>
      <c r="Q851" t="str" cm="1">
        <f t="array" ref="Q851:R851">_xlfn.TEXTSPLIT(N851,"/",,FALSE,,#N/A)</f>
        <v>music</v>
      </c>
      <c r="R851" t="str">
        <v>indie rock</v>
      </c>
      <c r="U851" s="6">
        <f t="shared" si="54"/>
        <v>40948.25</v>
      </c>
      <c r="V851" s="6">
        <f t="shared" si="55"/>
        <v>40951.25</v>
      </c>
    </row>
    <row r="852" spans="1:22" ht="19.5" x14ac:dyDescent="0.4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12">
        <f t="shared" si="52"/>
        <v>0.01</v>
      </c>
      <c r="P852" s="13">
        <f t="shared" si="53"/>
        <v>1</v>
      </c>
      <c r="Q852" t="str" cm="1">
        <f t="array" ref="Q852:R852">_xlfn.TEXTSPLIT(N852,"/",,FALSE,,#N/A)</f>
        <v>music</v>
      </c>
      <c r="R852" t="str">
        <v>rock</v>
      </c>
      <c r="U852" s="6">
        <f t="shared" si="54"/>
        <v>40866.25</v>
      </c>
      <c r="V852" s="6">
        <f t="shared" si="55"/>
        <v>40881.25</v>
      </c>
    </row>
    <row r="853" spans="1:22" ht="33.75" x14ac:dyDescent="0.4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12">
        <f t="shared" si="52"/>
        <v>2.0779999999999998</v>
      </c>
      <c r="P853" s="13">
        <f t="shared" si="53"/>
        <v>77.924999999999997</v>
      </c>
      <c r="Q853" t="str" cm="1">
        <f t="array" ref="Q853:R853">_xlfn.TEXTSPLIT(N853,"/",,FALSE,,#N/A)</f>
        <v>music</v>
      </c>
      <c r="R853" t="str">
        <v>electric music</v>
      </c>
      <c r="U853" s="6">
        <f t="shared" si="54"/>
        <v>41031.208333333336</v>
      </c>
      <c r="V853" s="6">
        <f t="shared" si="55"/>
        <v>41064.208333333336</v>
      </c>
    </row>
    <row r="854" spans="1:22" ht="19.5" x14ac:dyDescent="0.4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12">
        <f t="shared" si="52"/>
        <v>0.51122448979591839</v>
      </c>
      <c r="P854" s="13">
        <f t="shared" si="53"/>
        <v>80.806451612903231</v>
      </c>
      <c r="Q854" t="str" cm="1">
        <f t="array" ref="Q854:R854">_xlfn.TEXTSPLIT(N854,"/",,FALSE,,#N/A)</f>
        <v>games</v>
      </c>
      <c r="R854" t="str">
        <v>video games</v>
      </c>
      <c r="U854" s="6">
        <f t="shared" si="54"/>
        <v>40740.208333333336</v>
      </c>
      <c r="V854" s="6">
        <f t="shared" si="55"/>
        <v>40750.208333333336</v>
      </c>
    </row>
    <row r="855" spans="1:22" ht="19.5" x14ac:dyDescent="0.4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12">
        <f t="shared" si="52"/>
        <v>6.5205847953216374</v>
      </c>
      <c r="P855" s="13">
        <f t="shared" si="53"/>
        <v>76.006816632583508</v>
      </c>
      <c r="Q855" t="str" cm="1">
        <f t="array" ref="Q855:R855">_xlfn.TEXTSPLIT(N855,"/",,FALSE,,#N/A)</f>
        <v>music</v>
      </c>
      <c r="R855" t="str">
        <v>indie rock</v>
      </c>
      <c r="U855" s="6">
        <f t="shared" si="54"/>
        <v>40714.208333333336</v>
      </c>
      <c r="V855" s="6">
        <f t="shared" si="55"/>
        <v>40719.208333333336</v>
      </c>
    </row>
    <row r="856" spans="1:22" ht="19.5" x14ac:dyDescent="0.4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12">
        <f t="shared" si="52"/>
        <v>1.1363099415204678</v>
      </c>
      <c r="P856" s="13">
        <f t="shared" si="53"/>
        <v>72.993613824192337</v>
      </c>
      <c r="Q856" t="str" cm="1">
        <f t="array" ref="Q856:R856">_xlfn.TEXTSPLIT(N856,"/",,FALSE,,#N/A)</f>
        <v>publishing</v>
      </c>
      <c r="R856" t="str">
        <v>fiction</v>
      </c>
      <c r="U856" s="6">
        <f t="shared" si="54"/>
        <v>43787.25</v>
      </c>
      <c r="V856" s="6">
        <f t="shared" si="55"/>
        <v>43814.25</v>
      </c>
    </row>
    <row r="857" spans="1:22" ht="19.5" x14ac:dyDescent="0.4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12">
        <f t="shared" si="52"/>
        <v>1.0237606837606839</v>
      </c>
      <c r="P857" s="13">
        <f t="shared" si="53"/>
        <v>53</v>
      </c>
      <c r="Q857" t="str" cm="1">
        <f t="array" ref="Q857:R857">_xlfn.TEXTSPLIT(N857,"/",,FALSE,,#N/A)</f>
        <v>theater</v>
      </c>
      <c r="R857" t="str">
        <v>plays</v>
      </c>
      <c r="U857" s="6">
        <f t="shared" si="54"/>
        <v>40712.208333333336</v>
      </c>
      <c r="V857" s="6">
        <f t="shared" si="55"/>
        <v>40743.208333333336</v>
      </c>
    </row>
    <row r="858" spans="1:22" ht="19.5" x14ac:dyDescent="0.4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12">
        <f t="shared" si="52"/>
        <v>3.5658333333333334</v>
      </c>
      <c r="P858" s="13">
        <f t="shared" si="53"/>
        <v>54.164556962025316</v>
      </c>
      <c r="Q858" t="str" cm="1">
        <f t="array" ref="Q858:R858">_xlfn.TEXTSPLIT(N858,"/",,FALSE,,#N/A)</f>
        <v>food</v>
      </c>
      <c r="R858" t="str">
        <v>food trucks</v>
      </c>
      <c r="U858" s="6">
        <f t="shared" si="54"/>
        <v>41023.208333333336</v>
      </c>
      <c r="V858" s="6">
        <f t="shared" si="55"/>
        <v>41040.208333333336</v>
      </c>
    </row>
    <row r="859" spans="1:22" ht="33.75" x14ac:dyDescent="0.4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12">
        <f t="shared" si="52"/>
        <v>1.3986792452830188</v>
      </c>
      <c r="P859" s="13">
        <f t="shared" si="53"/>
        <v>32.946666666666665</v>
      </c>
      <c r="Q859" t="str" cm="1">
        <f t="array" ref="Q859:R859">_xlfn.TEXTSPLIT(N859,"/",,FALSE,,#N/A)</f>
        <v>film &amp; video</v>
      </c>
      <c r="R859" t="str">
        <v>shorts</v>
      </c>
      <c r="U859" s="6">
        <f t="shared" si="54"/>
        <v>40944.25</v>
      </c>
      <c r="V859" s="6">
        <f t="shared" si="55"/>
        <v>40967.25</v>
      </c>
    </row>
    <row r="860" spans="1:22" ht="33.75" x14ac:dyDescent="0.4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12">
        <f t="shared" si="52"/>
        <v>0.69450000000000001</v>
      </c>
      <c r="P860" s="13">
        <f t="shared" si="53"/>
        <v>79.371428571428567</v>
      </c>
      <c r="Q860" t="str" cm="1">
        <f t="array" ref="Q860:R860">_xlfn.TEXTSPLIT(N860,"/",,FALSE,,#N/A)</f>
        <v>food</v>
      </c>
      <c r="R860" t="str">
        <v>food trucks</v>
      </c>
      <c r="U860" s="6">
        <f t="shared" si="54"/>
        <v>43211.208333333328</v>
      </c>
      <c r="V860" s="6">
        <f t="shared" si="55"/>
        <v>43218.208333333328</v>
      </c>
    </row>
    <row r="861" spans="1:22" ht="33.75" x14ac:dyDescent="0.4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12">
        <f t="shared" si="52"/>
        <v>0.35534246575342465</v>
      </c>
      <c r="P861" s="13">
        <f t="shared" si="53"/>
        <v>41.174603174603178</v>
      </c>
      <c r="Q861" t="str" cm="1">
        <f t="array" ref="Q861:R861">_xlfn.TEXTSPLIT(N861,"/",,FALSE,,#N/A)</f>
        <v>theater</v>
      </c>
      <c r="R861" t="str">
        <v>plays</v>
      </c>
      <c r="U861" s="6">
        <f t="shared" si="54"/>
        <v>41334.25</v>
      </c>
      <c r="V861" s="6">
        <f t="shared" si="55"/>
        <v>41352.208333333336</v>
      </c>
    </row>
    <row r="862" spans="1:22" ht="33.75" x14ac:dyDescent="0.4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12">
        <f t="shared" si="52"/>
        <v>2.5165000000000002</v>
      </c>
      <c r="P862" s="13">
        <f t="shared" si="53"/>
        <v>77.430769230769229</v>
      </c>
      <c r="Q862" t="str" cm="1">
        <f t="array" ref="Q862:R862">_xlfn.TEXTSPLIT(N862,"/",,FALSE,,#N/A)</f>
        <v>technology</v>
      </c>
      <c r="R862" t="str">
        <v>wearables</v>
      </c>
      <c r="U862" s="6">
        <f t="shared" si="54"/>
        <v>43515.25</v>
      </c>
      <c r="V862" s="6">
        <f t="shared" si="55"/>
        <v>43525.25</v>
      </c>
    </row>
    <row r="863" spans="1:22" ht="19.5" x14ac:dyDescent="0.4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12">
        <f t="shared" si="52"/>
        <v>1.0587500000000001</v>
      </c>
      <c r="P863" s="13">
        <f t="shared" si="53"/>
        <v>57.159509202453989</v>
      </c>
      <c r="Q863" t="str" cm="1">
        <f t="array" ref="Q863:R863">_xlfn.TEXTSPLIT(N863,"/",,FALSE,,#N/A)</f>
        <v>theater</v>
      </c>
      <c r="R863" t="str">
        <v>plays</v>
      </c>
      <c r="U863" s="6">
        <f t="shared" si="54"/>
        <v>40258.208333333336</v>
      </c>
      <c r="V863" s="6">
        <f t="shared" si="55"/>
        <v>40266.208333333336</v>
      </c>
    </row>
    <row r="864" spans="1:22" ht="19.5" x14ac:dyDescent="0.4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12">
        <f t="shared" si="52"/>
        <v>1.8742857142857143</v>
      </c>
      <c r="P864" s="13">
        <f t="shared" si="53"/>
        <v>77.17647058823529</v>
      </c>
      <c r="Q864" t="str" cm="1">
        <f t="array" ref="Q864:R864">_xlfn.TEXTSPLIT(N864,"/",,FALSE,,#N/A)</f>
        <v>theater</v>
      </c>
      <c r="R864" t="str">
        <v>plays</v>
      </c>
      <c r="U864" s="6">
        <f t="shared" si="54"/>
        <v>40756.208333333336</v>
      </c>
      <c r="V864" s="6">
        <f t="shared" si="55"/>
        <v>40760.208333333336</v>
      </c>
    </row>
    <row r="865" spans="1:22" ht="19.5" x14ac:dyDescent="0.4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12">
        <f t="shared" si="52"/>
        <v>3.8678571428571429</v>
      </c>
      <c r="P865" s="13">
        <f t="shared" si="53"/>
        <v>24.953917050691246</v>
      </c>
      <c r="Q865" t="str" cm="1">
        <f t="array" ref="Q865:R865">_xlfn.TEXTSPLIT(N865,"/",,FALSE,,#N/A)</f>
        <v>film &amp; video</v>
      </c>
      <c r="R865" t="str">
        <v>television</v>
      </c>
      <c r="U865" s="6">
        <f t="shared" si="54"/>
        <v>42172.208333333328</v>
      </c>
      <c r="V865" s="6">
        <f t="shared" si="55"/>
        <v>42195.208333333328</v>
      </c>
    </row>
    <row r="866" spans="1:22" ht="19.5" x14ac:dyDescent="0.4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12">
        <f t="shared" si="52"/>
        <v>3.4707142857142856</v>
      </c>
      <c r="P866" s="13">
        <f t="shared" si="53"/>
        <v>97.18</v>
      </c>
      <c r="Q866" t="str" cm="1">
        <f t="array" ref="Q866:R866">_xlfn.TEXTSPLIT(N866,"/",,FALSE,,#N/A)</f>
        <v>film &amp; video</v>
      </c>
      <c r="R866" t="str">
        <v>shorts</v>
      </c>
      <c r="U866" s="6">
        <f t="shared" si="54"/>
        <v>42601.208333333328</v>
      </c>
      <c r="V866" s="6">
        <f t="shared" si="55"/>
        <v>42606.208333333328</v>
      </c>
    </row>
    <row r="867" spans="1:22" ht="19.5" x14ac:dyDescent="0.4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12">
        <f t="shared" si="52"/>
        <v>1.8582098765432098</v>
      </c>
      <c r="P867" s="13">
        <f t="shared" si="53"/>
        <v>46.000916870415651</v>
      </c>
      <c r="Q867" t="str" cm="1">
        <f t="array" ref="Q867:R867">_xlfn.TEXTSPLIT(N867,"/",,FALSE,,#N/A)</f>
        <v>theater</v>
      </c>
      <c r="R867" t="str">
        <v>plays</v>
      </c>
      <c r="U867" s="6">
        <f t="shared" si="54"/>
        <v>41897.208333333336</v>
      </c>
      <c r="V867" s="6">
        <f t="shared" si="55"/>
        <v>41906.208333333336</v>
      </c>
    </row>
    <row r="868" spans="1:22" ht="19.5" x14ac:dyDescent="0.4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12">
        <f t="shared" si="52"/>
        <v>0.43241247264770238</v>
      </c>
      <c r="P868" s="13">
        <f t="shared" si="53"/>
        <v>88.023385300668153</v>
      </c>
      <c r="Q868" t="str" cm="1">
        <f t="array" ref="Q868:R868">_xlfn.TEXTSPLIT(N868,"/",,FALSE,,#N/A)</f>
        <v>photography</v>
      </c>
      <c r="R868" t="str">
        <v>photography books</v>
      </c>
      <c r="U868" s="6">
        <f t="shared" si="54"/>
        <v>40671.208333333336</v>
      </c>
      <c r="V868" s="6">
        <f t="shared" si="55"/>
        <v>40672.208333333336</v>
      </c>
    </row>
    <row r="869" spans="1:22" ht="33.75" x14ac:dyDescent="0.4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12">
        <f t="shared" si="52"/>
        <v>1.6243749999999999</v>
      </c>
      <c r="P869" s="13">
        <f t="shared" si="53"/>
        <v>25.99</v>
      </c>
      <c r="Q869" t="str" cm="1">
        <f t="array" ref="Q869:R869">_xlfn.TEXTSPLIT(N869,"/",,FALSE,,#N/A)</f>
        <v>food</v>
      </c>
      <c r="R869" t="str">
        <v>food trucks</v>
      </c>
      <c r="U869" s="6">
        <f t="shared" si="54"/>
        <v>43382.208333333328</v>
      </c>
      <c r="V869" s="6">
        <f t="shared" si="55"/>
        <v>43388.208333333328</v>
      </c>
    </row>
    <row r="870" spans="1:22" ht="19.5" x14ac:dyDescent="0.4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12">
        <f t="shared" si="52"/>
        <v>1.8484285714285715</v>
      </c>
      <c r="P870" s="13">
        <f t="shared" si="53"/>
        <v>102.69047619047619</v>
      </c>
      <c r="Q870" t="str" cm="1">
        <f t="array" ref="Q870:R870">_xlfn.TEXTSPLIT(N870,"/",,FALSE,,#N/A)</f>
        <v>theater</v>
      </c>
      <c r="R870" t="str">
        <v>plays</v>
      </c>
      <c r="U870" s="6">
        <f t="shared" si="54"/>
        <v>41559.208333333336</v>
      </c>
      <c r="V870" s="6">
        <f t="shared" si="55"/>
        <v>41570.208333333336</v>
      </c>
    </row>
    <row r="871" spans="1:22" ht="19.5" x14ac:dyDescent="0.4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12">
        <f t="shared" si="52"/>
        <v>0.23703520691785052</v>
      </c>
      <c r="P871" s="13">
        <f t="shared" si="53"/>
        <v>72.958174904942965</v>
      </c>
      <c r="Q871" t="str" cm="1">
        <f t="array" ref="Q871:R871">_xlfn.TEXTSPLIT(N871,"/",,FALSE,,#N/A)</f>
        <v>film &amp; video</v>
      </c>
      <c r="R871" t="str">
        <v>drama</v>
      </c>
      <c r="U871" s="6">
        <f t="shared" si="54"/>
        <v>40350.208333333336</v>
      </c>
      <c r="V871" s="6">
        <f t="shared" si="55"/>
        <v>40364.208333333336</v>
      </c>
    </row>
    <row r="872" spans="1:22" ht="19.5" x14ac:dyDescent="0.4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12">
        <f t="shared" si="52"/>
        <v>0.89870129870129867</v>
      </c>
      <c r="P872" s="13">
        <f t="shared" si="53"/>
        <v>57.190082644628099</v>
      </c>
      <c r="Q872" t="str" cm="1">
        <f t="array" ref="Q872:R872">_xlfn.TEXTSPLIT(N872,"/",,FALSE,,#N/A)</f>
        <v>theater</v>
      </c>
      <c r="R872" t="str">
        <v>plays</v>
      </c>
      <c r="U872" s="6">
        <f t="shared" si="54"/>
        <v>42240.208333333328</v>
      </c>
      <c r="V872" s="6">
        <f t="shared" si="55"/>
        <v>42265.208333333328</v>
      </c>
    </row>
    <row r="873" spans="1:22" ht="33.75" x14ac:dyDescent="0.4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12">
        <f t="shared" si="52"/>
        <v>2.7260419580419581</v>
      </c>
      <c r="P873" s="13">
        <f t="shared" si="53"/>
        <v>84.013793103448279</v>
      </c>
      <c r="Q873" t="str" cm="1">
        <f t="array" ref="Q873:R873">_xlfn.TEXTSPLIT(N873,"/",,FALSE,,#N/A)</f>
        <v>theater</v>
      </c>
      <c r="R873" t="str">
        <v>plays</v>
      </c>
      <c r="U873" s="6">
        <f t="shared" si="54"/>
        <v>43040.208333333328</v>
      </c>
      <c r="V873" s="6">
        <f t="shared" si="55"/>
        <v>43058.25</v>
      </c>
    </row>
    <row r="874" spans="1:22" ht="19.5" x14ac:dyDescent="0.4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12">
        <f t="shared" si="52"/>
        <v>1.7004255319148935</v>
      </c>
      <c r="P874" s="13">
        <f t="shared" si="53"/>
        <v>98.666666666666671</v>
      </c>
      <c r="Q874" t="str" cm="1">
        <f t="array" ref="Q874:R874">_xlfn.TEXTSPLIT(N874,"/",,FALSE,,#N/A)</f>
        <v>film &amp; video</v>
      </c>
      <c r="R874" t="str">
        <v>science fiction</v>
      </c>
      <c r="U874" s="6">
        <f t="shared" si="54"/>
        <v>43346.208333333328</v>
      </c>
      <c r="V874" s="6">
        <f t="shared" si="55"/>
        <v>43351.208333333328</v>
      </c>
    </row>
    <row r="875" spans="1:22" ht="19.5" x14ac:dyDescent="0.4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12">
        <f t="shared" si="52"/>
        <v>1.8828503562945369</v>
      </c>
      <c r="P875" s="13">
        <f t="shared" si="53"/>
        <v>42.007419183889773</v>
      </c>
      <c r="Q875" t="str" cm="1">
        <f t="array" ref="Q875:R875">_xlfn.TEXTSPLIT(N875,"/",,FALSE,,#N/A)</f>
        <v>photography</v>
      </c>
      <c r="R875" t="str">
        <v>photography books</v>
      </c>
      <c r="U875" s="6">
        <f t="shared" si="54"/>
        <v>41647.25</v>
      </c>
      <c r="V875" s="6">
        <f t="shared" si="55"/>
        <v>41652.25</v>
      </c>
    </row>
    <row r="876" spans="1:22" ht="19.5" x14ac:dyDescent="0.4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12">
        <f t="shared" si="52"/>
        <v>3.4693532338308457</v>
      </c>
      <c r="P876" s="13">
        <f t="shared" si="53"/>
        <v>32.002753556677376</v>
      </c>
      <c r="Q876" t="str" cm="1">
        <f t="array" ref="Q876:R876">_xlfn.TEXTSPLIT(N876,"/",,FALSE,,#N/A)</f>
        <v>photography</v>
      </c>
      <c r="R876" t="str">
        <v>photography books</v>
      </c>
      <c r="U876" s="6">
        <f t="shared" si="54"/>
        <v>40291.208333333336</v>
      </c>
      <c r="V876" s="6">
        <f t="shared" si="55"/>
        <v>40329.208333333336</v>
      </c>
    </row>
    <row r="877" spans="1:22" ht="19.5" x14ac:dyDescent="0.4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12">
        <f t="shared" si="52"/>
        <v>0.6917721518987342</v>
      </c>
      <c r="P877" s="13">
        <f t="shared" si="53"/>
        <v>81.567164179104481</v>
      </c>
      <c r="Q877" t="str" cm="1">
        <f t="array" ref="Q877:R877">_xlfn.TEXTSPLIT(N877,"/",,FALSE,,#N/A)</f>
        <v>music</v>
      </c>
      <c r="R877" t="str">
        <v>rock</v>
      </c>
      <c r="U877" s="6">
        <f t="shared" si="54"/>
        <v>40556.25</v>
      </c>
      <c r="V877" s="6">
        <f t="shared" si="55"/>
        <v>40557.25</v>
      </c>
    </row>
    <row r="878" spans="1:22" ht="33.75" x14ac:dyDescent="0.4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12">
        <f t="shared" si="52"/>
        <v>0.25433734939759034</v>
      </c>
      <c r="P878" s="13">
        <f t="shared" si="53"/>
        <v>37.035087719298247</v>
      </c>
      <c r="Q878" t="str" cm="1">
        <f t="array" ref="Q878:R878">_xlfn.TEXTSPLIT(N878,"/",,FALSE,,#N/A)</f>
        <v>photography</v>
      </c>
      <c r="R878" t="str">
        <v>photography books</v>
      </c>
      <c r="U878" s="6">
        <f t="shared" si="54"/>
        <v>43624.208333333328</v>
      </c>
      <c r="V878" s="6">
        <f t="shared" si="55"/>
        <v>43648.208333333328</v>
      </c>
    </row>
    <row r="879" spans="1:22" ht="19.5" x14ac:dyDescent="0.4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12">
        <f t="shared" si="52"/>
        <v>0.77400977995110021</v>
      </c>
      <c r="P879" s="13">
        <f t="shared" si="53"/>
        <v>103.033360455655</v>
      </c>
      <c r="Q879" t="str" cm="1">
        <f t="array" ref="Q879:R879">_xlfn.TEXTSPLIT(N879,"/",,FALSE,,#N/A)</f>
        <v>food</v>
      </c>
      <c r="R879" t="str">
        <v>food trucks</v>
      </c>
      <c r="U879" s="6">
        <f t="shared" si="54"/>
        <v>42577.208333333328</v>
      </c>
      <c r="V879" s="6">
        <f t="shared" si="55"/>
        <v>42578.208333333328</v>
      </c>
    </row>
    <row r="880" spans="1:22" ht="19.5" x14ac:dyDescent="0.4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12">
        <f t="shared" si="52"/>
        <v>0.37481481481481482</v>
      </c>
      <c r="P880" s="13">
        <f t="shared" si="53"/>
        <v>84.333333333333329</v>
      </c>
      <c r="Q880" t="str" cm="1">
        <f t="array" ref="Q880:R880">_xlfn.TEXTSPLIT(N880,"/",,FALSE,,#N/A)</f>
        <v>music</v>
      </c>
      <c r="R880" t="str">
        <v>metal</v>
      </c>
      <c r="U880" s="6">
        <f t="shared" si="54"/>
        <v>43845.25</v>
      </c>
      <c r="V880" s="6">
        <f t="shared" si="55"/>
        <v>43869.25</v>
      </c>
    </row>
    <row r="881" spans="1:22" ht="19.5" x14ac:dyDescent="0.4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12">
        <f t="shared" si="52"/>
        <v>5.4379999999999997</v>
      </c>
      <c r="P881" s="13">
        <f t="shared" si="53"/>
        <v>102.60377358490567</v>
      </c>
      <c r="Q881" t="str" cm="1">
        <f t="array" ref="Q881:R881">_xlfn.TEXTSPLIT(N881,"/",,FALSE,,#N/A)</f>
        <v>publishing</v>
      </c>
      <c r="R881" t="str">
        <v>nonfiction</v>
      </c>
      <c r="U881" s="6">
        <f t="shared" si="54"/>
        <v>42788.25</v>
      </c>
      <c r="V881" s="6">
        <f t="shared" si="55"/>
        <v>42797.25</v>
      </c>
    </row>
    <row r="882" spans="1:22" ht="19.5" x14ac:dyDescent="0.4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12">
        <f t="shared" si="52"/>
        <v>2.2852189349112426</v>
      </c>
      <c r="P882" s="13">
        <f t="shared" si="53"/>
        <v>79.992129246064621</v>
      </c>
      <c r="Q882" t="str" cm="1">
        <f t="array" ref="Q882:R882">_xlfn.TEXTSPLIT(N882,"/",,FALSE,,#N/A)</f>
        <v>music</v>
      </c>
      <c r="R882" t="str">
        <v>electric music</v>
      </c>
      <c r="U882" s="6">
        <f t="shared" si="54"/>
        <v>43667.208333333328</v>
      </c>
      <c r="V882" s="6">
        <f t="shared" si="55"/>
        <v>43669.208333333328</v>
      </c>
    </row>
    <row r="883" spans="1:22" ht="19.5" x14ac:dyDescent="0.4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12">
        <f t="shared" si="52"/>
        <v>0.38948339483394834</v>
      </c>
      <c r="P883" s="13">
        <f t="shared" si="53"/>
        <v>70.055309734513273</v>
      </c>
      <c r="Q883" t="str" cm="1">
        <f t="array" ref="Q883:R883">_xlfn.TEXTSPLIT(N883,"/",,FALSE,,#N/A)</f>
        <v>theater</v>
      </c>
      <c r="R883" t="str">
        <v>plays</v>
      </c>
      <c r="U883" s="6">
        <f t="shared" si="54"/>
        <v>42194.208333333328</v>
      </c>
      <c r="V883" s="6">
        <f t="shared" si="55"/>
        <v>42223.208333333328</v>
      </c>
    </row>
    <row r="884" spans="1:22" ht="19.5" x14ac:dyDescent="0.4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12">
        <f t="shared" si="52"/>
        <v>3.7</v>
      </c>
      <c r="P884" s="13">
        <f t="shared" si="53"/>
        <v>37</v>
      </c>
      <c r="Q884" t="str" cm="1">
        <f t="array" ref="Q884:R884">_xlfn.TEXTSPLIT(N884,"/",,FALSE,,#N/A)</f>
        <v>theater</v>
      </c>
      <c r="R884" t="str">
        <v>plays</v>
      </c>
      <c r="U884" s="6">
        <f t="shared" si="54"/>
        <v>42025.25</v>
      </c>
      <c r="V884" s="6">
        <f t="shared" si="55"/>
        <v>42029.25</v>
      </c>
    </row>
    <row r="885" spans="1:22" ht="33.75" x14ac:dyDescent="0.4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12">
        <f t="shared" si="52"/>
        <v>2.3791176470588233</v>
      </c>
      <c r="P885" s="13">
        <f t="shared" si="53"/>
        <v>41.911917098445599</v>
      </c>
      <c r="Q885" t="str" cm="1">
        <f t="array" ref="Q885:R885">_xlfn.TEXTSPLIT(N885,"/",,FALSE,,#N/A)</f>
        <v>film &amp; video</v>
      </c>
      <c r="R885" t="str">
        <v>shorts</v>
      </c>
      <c r="U885" s="6">
        <f t="shared" si="54"/>
        <v>40323.208333333336</v>
      </c>
      <c r="V885" s="6">
        <f t="shared" si="55"/>
        <v>40359.208333333336</v>
      </c>
    </row>
    <row r="886" spans="1:22" ht="19.5" x14ac:dyDescent="0.4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12">
        <f t="shared" si="52"/>
        <v>0.64036299765807958</v>
      </c>
      <c r="P886" s="13">
        <f t="shared" si="53"/>
        <v>57.992576882290564</v>
      </c>
      <c r="Q886" t="str" cm="1">
        <f t="array" ref="Q886:R886">_xlfn.TEXTSPLIT(N886,"/",,FALSE,,#N/A)</f>
        <v>theater</v>
      </c>
      <c r="R886" t="str">
        <v>plays</v>
      </c>
      <c r="U886" s="6">
        <f t="shared" si="54"/>
        <v>41763.208333333336</v>
      </c>
      <c r="V886" s="6">
        <f t="shared" si="55"/>
        <v>41765.208333333336</v>
      </c>
    </row>
    <row r="887" spans="1:22" ht="19.5" x14ac:dyDescent="0.4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12">
        <f t="shared" si="52"/>
        <v>1.1827777777777777</v>
      </c>
      <c r="P887" s="13">
        <f t="shared" si="53"/>
        <v>40.942307692307693</v>
      </c>
      <c r="Q887" t="str" cm="1">
        <f t="array" ref="Q887:R887">_xlfn.TEXTSPLIT(N887,"/",,FALSE,,#N/A)</f>
        <v>theater</v>
      </c>
      <c r="R887" t="str">
        <v>plays</v>
      </c>
      <c r="U887" s="6">
        <f t="shared" si="54"/>
        <v>40335.208333333336</v>
      </c>
      <c r="V887" s="6">
        <f t="shared" si="55"/>
        <v>40373.208333333336</v>
      </c>
    </row>
    <row r="888" spans="1:22" ht="19.5" x14ac:dyDescent="0.4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12">
        <f t="shared" si="52"/>
        <v>0.84824037184594958</v>
      </c>
      <c r="P888" s="13">
        <f t="shared" si="53"/>
        <v>69.9972602739726</v>
      </c>
      <c r="Q888" t="str" cm="1">
        <f t="array" ref="Q888:R888">_xlfn.TEXTSPLIT(N888,"/",,FALSE,,#N/A)</f>
        <v>music</v>
      </c>
      <c r="R888" t="str">
        <v>indie rock</v>
      </c>
      <c r="U888" s="6">
        <f t="shared" si="54"/>
        <v>40416.208333333336</v>
      </c>
      <c r="V888" s="6">
        <f t="shared" si="55"/>
        <v>40434.208333333336</v>
      </c>
    </row>
    <row r="889" spans="1:22" ht="33.75" x14ac:dyDescent="0.4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12">
        <f t="shared" si="52"/>
        <v>0.29346153846153844</v>
      </c>
      <c r="P889" s="13">
        <f t="shared" si="53"/>
        <v>73.838709677419359</v>
      </c>
      <c r="Q889" t="str" cm="1">
        <f t="array" ref="Q889:R889">_xlfn.TEXTSPLIT(N889,"/",,FALSE,,#N/A)</f>
        <v>theater</v>
      </c>
      <c r="R889" t="str">
        <v>plays</v>
      </c>
      <c r="U889" s="6">
        <f t="shared" si="54"/>
        <v>42202.208333333328</v>
      </c>
      <c r="V889" s="6">
        <f t="shared" si="55"/>
        <v>42249.208333333328</v>
      </c>
    </row>
    <row r="890" spans="1:22" ht="33.75" x14ac:dyDescent="0.4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12">
        <f t="shared" si="52"/>
        <v>2.0989655172413793</v>
      </c>
      <c r="P890" s="13">
        <f t="shared" si="53"/>
        <v>41.979310344827589</v>
      </c>
      <c r="Q890" t="str" cm="1">
        <f t="array" ref="Q890:R890">_xlfn.TEXTSPLIT(N890,"/",,FALSE,,#N/A)</f>
        <v>theater</v>
      </c>
      <c r="R890" t="str">
        <v>plays</v>
      </c>
      <c r="U890" s="6">
        <f t="shared" si="54"/>
        <v>42836.208333333328</v>
      </c>
      <c r="V890" s="6">
        <f t="shared" si="55"/>
        <v>42855.208333333328</v>
      </c>
    </row>
    <row r="891" spans="1:22" ht="19.5" x14ac:dyDescent="0.4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12">
        <f t="shared" si="52"/>
        <v>1.697857142857143</v>
      </c>
      <c r="P891" s="13">
        <f t="shared" si="53"/>
        <v>77.93442622950819</v>
      </c>
      <c r="Q891" t="str" cm="1">
        <f t="array" ref="Q891:R891">_xlfn.TEXTSPLIT(N891,"/",,FALSE,,#N/A)</f>
        <v>music</v>
      </c>
      <c r="R891" t="str">
        <v>electric music</v>
      </c>
      <c r="U891" s="6">
        <f t="shared" si="54"/>
        <v>41710.208333333336</v>
      </c>
      <c r="V891" s="6">
        <f t="shared" si="55"/>
        <v>41717.208333333336</v>
      </c>
    </row>
    <row r="892" spans="1:22" ht="19.5" x14ac:dyDescent="0.4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12">
        <f t="shared" si="52"/>
        <v>1.1595907738095239</v>
      </c>
      <c r="P892" s="13">
        <f t="shared" si="53"/>
        <v>106.01972789115646</v>
      </c>
      <c r="Q892" t="str" cm="1">
        <f t="array" ref="Q892:R892">_xlfn.TEXTSPLIT(N892,"/",,FALSE,,#N/A)</f>
        <v>music</v>
      </c>
      <c r="R892" t="str">
        <v>indie rock</v>
      </c>
      <c r="U892" s="6">
        <f t="shared" si="54"/>
        <v>43640.208333333328</v>
      </c>
      <c r="V892" s="6">
        <f t="shared" si="55"/>
        <v>43641.208333333328</v>
      </c>
    </row>
    <row r="893" spans="1:22" ht="33.75" x14ac:dyDescent="0.4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12">
        <f t="shared" si="52"/>
        <v>2.5859999999999999</v>
      </c>
      <c r="P893" s="13">
        <f t="shared" si="53"/>
        <v>47.018181818181816</v>
      </c>
      <c r="Q893" t="str" cm="1">
        <f t="array" ref="Q893:R893">_xlfn.TEXTSPLIT(N893,"/",,FALSE,,#N/A)</f>
        <v>film &amp; video</v>
      </c>
      <c r="R893" t="str">
        <v>documentary</v>
      </c>
      <c r="U893" s="6">
        <f t="shared" si="54"/>
        <v>40880.25</v>
      </c>
      <c r="V893" s="6">
        <f t="shared" si="55"/>
        <v>40924.25</v>
      </c>
    </row>
    <row r="894" spans="1:22" ht="19.5" x14ac:dyDescent="0.4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12">
        <f t="shared" si="52"/>
        <v>2.3058333333333332</v>
      </c>
      <c r="P894" s="13">
        <f t="shared" si="53"/>
        <v>76.016483516483518</v>
      </c>
      <c r="Q894" t="str" cm="1">
        <f t="array" ref="Q894:R894">_xlfn.TEXTSPLIT(N894,"/",,FALSE,,#N/A)</f>
        <v>publishing</v>
      </c>
      <c r="R894" t="str">
        <v>translations</v>
      </c>
      <c r="U894" s="6">
        <f t="shared" si="54"/>
        <v>40319.208333333336</v>
      </c>
      <c r="V894" s="6">
        <f t="shared" si="55"/>
        <v>40360.208333333336</v>
      </c>
    </row>
    <row r="895" spans="1:22" ht="19.5" x14ac:dyDescent="0.4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12">
        <f t="shared" si="52"/>
        <v>1.2821428571428573</v>
      </c>
      <c r="P895" s="13">
        <f t="shared" si="53"/>
        <v>54.120603015075375</v>
      </c>
      <c r="Q895" t="str" cm="1">
        <f t="array" ref="Q895:R895">_xlfn.TEXTSPLIT(N895,"/",,FALSE,,#N/A)</f>
        <v>film &amp; video</v>
      </c>
      <c r="R895" t="str">
        <v>documentary</v>
      </c>
      <c r="U895" s="6">
        <f t="shared" si="54"/>
        <v>42170.208333333328</v>
      </c>
      <c r="V895" s="6">
        <f t="shared" si="55"/>
        <v>42174.208333333328</v>
      </c>
    </row>
    <row r="896" spans="1:22" ht="19.5" x14ac:dyDescent="0.4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12">
        <f t="shared" si="52"/>
        <v>1.8870588235294117</v>
      </c>
      <c r="P896" s="13">
        <f t="shared" si="53"/>
        <v>57.285714285714285</v>
      </c>
      <c r="Q896" t="str" cm="1">
        <f t="array" ref="Q896:R896">_xlfn.TEXTSPLIT(N896,"/",,FALSE,,#N/A)</f>
        <v>film &amp; video</v>
      </c>
      <c r="R896" t="str">
        <v>television</v>
      </c>
      <c r="U896" s="6">
        <f t="shared" si="54"/>
        <v>41466.208333333336</v>
      </c>
      <c r="V896" s="6">
        <f t="shared" si="55"/>
        <v>41496.208333333336</v>
      </c>
    </row>
    <row r="897" spans="1:22" ht="33.75" x14ac:dyDescent="0.4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12">
        <f t="shared" si="52"/>
        <v>6.9511889862327911E-2</v>
      </c>
      <c r="P897" s="13">
        <f t="shared" si="53"/>
        <v>103.81308411214954</v>
      </c>
      <c r="Q897" t="str" cm="1">
        <f t="array" ref="Q897:R897">_xlfn.TEXTSPLIT(N897,"/",,FALSE,,#N/A)</f>
        <v>theater</v>
      </c>
      <c r="R897" t="str">
        <v>plays</v>
      </c>
      <c r="U897" s="6">
        <f t="shared" si="54"/>
        <v>43134.25</v>
      </c>
      <c r="V897" s="6">
        <f t="shared" si="55"/>
        <v>43143.25</v>
      </c>
    </row>
    <row r="898" spans="1:22" ht="33.75" x14ac:dyDescent="0.4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12">
        <f t="shared" si="52"/>
        <v>7.7443434343434348</v>
      </c>
      <c r="P898" s="13">
        <f t="shared" si="53"/>
        <v>105.02602739726028</v>
      </c>
      <c r="Q898" t="str" cm="1">
        <f t="array" ref="Q898:R898">_xlfn.TEXTSPLIT(N898,"/",,FALSE,,#N/A)</f>
        <v>food</v>
      </c>
      <c r="R898" t="str">
        <v>food trucks</v>
      </c>
      <c r="U898" s="6">
        <f t="shared" si="54"/>
        <v>40738.208333333336</v>
      </c>
      <c r="V898" s="6">
        <f t="shared" si="55"/>
        <v>40741.208333333336</v>
      </c>
    </row>
    <row r="899" spans="1:22" ht="19.5" x14ac:dyDescent="0.4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12">
        <f t="shared" ref="O899:O962" si="56">E899/D899</f>
        <v>0.27693181818181817</v>
      </c>
      <c r="P899" s="13">
        <f t="shared" ref="P899:P962" si="57">E899/G899</f>
        <v>90.259259259259252</v>
      </c>
      <c r="Q899" t="str" cm="1">
        <f t="array" ref="Q899:R899">_xlfn.TEXTSPLIT(N899,"/",,FALSE,,#N/A)</f>
        <v>theater</v>
      </c>
      <c r="R899" t="str">
        <v>plays</v>
      </c>
      <c r="U899" s="6">
        <f t="shared" ref="U899:U962" si="58">(((J899/60)/60)/24)+DATE(1970,1,1)</f>
        <v>43583.208333333328</v>
      </c>
      <c r="V899" s="6">
        <f t="shared" ref="V899:V962" si="59">(((K899/60)/60)/24)+DATE(1970,1,1)</f>
        <v>43585.208333333328</v>
      </c>
    </row>
    <row r="900" spans="1:22" ht="19.5" x14ac:dyDescent="0.4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12">
        <f t="shared" si="56"/>
        <v>0.52479620323841425</v>
      </c>
      <c r="P900" s="13">
        <f t="shared" si="57"/>
        <v>76.978705978705975</v>
      </c>
      <c r="Q900" t="str" cm="1">
        <f t="array" ref="Q900:R900">_xlfn.TEXTSPLIT(N900,"/",,FALSE,,#N/A)</f>
        <v>film &amp; video</v>
      </c>
      <c r="R900" t="str">
        <v>documentary</v>
      </c>
      <c r="U900" s="6">
        <f t="shared" si="58"/>
        <v>43815.25</v>
      </c>
      <c r="V900" s="6">
        <f t="shared" si="59"/>
        <v>43821.25</v>
      </c>
    </row>
    <row r="901" spans="1:22" ht="19.5" x14ac:dyDescent="0.4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12">
        <f t="shared" si="56"/>
        <v>4.0709677419354842</v>
      </c>
      <c r="P901" s="13">
        <f t="shared" si="57"/>
        <v>102.60162601626017</v>
      </c>
      <c r="Q901" t="str" cm="1">
        <f t="array" ref="Q901:R901">_xlfn.TEXTSPLIT(N901,"/",,FALSE,,#N/A)</f>
        <v>music</v>
      </c>
      <c r="R901" t="str">
        <v>jazz</v>
      </c>
      <c r="U901" s="6">
        <f t="shared" si="58"/>
        <v>41554.208333333336</v>
      </c>
      <c r="V901" s="6">
        <f t="shared" si="59"/>
        <v>41572.208333333336</v>
      </c>
    </row>
    <row r="902" spans="1:22" ht="19.5" x14ac:dyDescent="0.4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12">
        <f t="shared" si="56"/>
        <v>0.02</v>
      </c>
      <c r="P902" s="13">
        <f t="shared" si="57"/>
        <v>2</v>
      </c>
      <c r="Q902" t="str" cm="1">
        <f t="array" ref="Q902:R902">_xlfn.TEXTSPLIT(N902,"/",,FALSE,,#N/A)</f>
        <v>technology</v>
      </c>
      <c r="R902" t="str">
        <v>web</v>
      </c>
      <c r="U902" s="6">
        <f t="shared" si="58"/>
        <v>41901.208333333336</v>
      </c>
      <c r="V902" s="6">
        <f t="shared" si="59"/>
        <v>41902.208333333336</v>
      </c>
    </row>
    <row r="903" spans="1:22" ht="19.5" x14ac:dyDescent="0.4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12">
        <f t="shared" si="56"/>
        <v>1.5617857142857143</v>
      </c>
      <c r="P903" s="13">
        <f t="shared" si="57"/>
        <v>55.0062893081761</v>
      </c>
      <c r="Q903" t="str" cm="1">
        <f t="array" ref="Q903:R903">_xlfn.TEXTSPLIT(N903,"/",,FALSE,,#N/A)</f>
        <v>music</v>
      </c>
      <c r="R903" t="str">
        <v>rock</v>
      </c>
      <c r="U903" s="6">
        <f t="shared" si="58"/>
        <v>43298.208333333328</v>
      </c>
      <c r="V903" s="6">
        <f t="shared" si="59"/>
        <v>43331.208333333328</v>
      </c>
    </row>
    <row r="904" spans="1:22" ht="19.5" x14ac:dyDescent="0.4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12">
        <f t="shared" si="56"/>
        <v>2.5242857142857145</v>
      </c>
      <c r="P904" s="13">
        <f t="shared" si="57"/>
        <v>32.127272727272725</v>
      </c>
      <c r="Q904" t="str" cm="1">
        <f t="array" ref="Q904:R904">_xlfn.TEXTSPLIT(N904,"/",,FALSE,,#N/A)</f>
        <v>technology</v>
      </c>
      <c r="R904" t="str">
        <v>web</v>
      </c>
      <c r="U904" s="6">
        <f t="shared" si="58"/>
        <v>42399.25</v>
      </c>
      <c r="V904" s="6">
        <f t="shared" si="59"/>
        <v>42441.25</v>
      </c>
    </row>
    <row r="905" spans="1:22" ht="33.75" x14ac:dyDescent="0.4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12">
        <f t="shared" si="56"/>
        <v>1.729268292682927E-2</v>
      </c>
      <c r="P905" s="13">
        <f t="shared" si="57"/>
        <v>50.642857142857146</v>
      </c>
      <c r="Q905" t="str" cm="1">
        <f t="array" ref="Q905:R905">_xlfn.TEXTSPLIT(N905,"/",,FALSE,,#N/A)</f>
        <v>publishing</v>
      </c>
      <c r="R905" t="str">
        <v>nonfiction</v>
      </c>
      <c r="U905" s="6">
        <f t="shared" si="58"/>
        <v>41034.208333333336</v>
      </c>
      <c r="V905" s="6">
        <f t="shared" si="59"/>
        <v>41049.208333333336</v>
      </c>
    </row>
    <row r="906" spans="1:22" ht="19.5" x14ac:dyDescent="0.4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12">
        <f t="shared" si="56"/>
        <v>0.12230769230769231</v>
      </c>
      <c r="P906" s="13">
        <f t="shared" si="57"/>
        <v>49.6875</v>
      </c>
      <c r="Q906" t="str" cm="1">
        <f t="array" ref="Q906:R906">_xlfn.TEXTSPLIT(N906,"/",,FALSE,,#N/A)</f>
        <v>publishing</v>
      </c>
      <c r="R906" t="str">
        <v>radio &amp; podcasts</v>
      </c>
      <c r="U906" s="6">
        <f t="shared" si="58"/>
        <v>41186.208333333336</v>
      </c>
      <c r="V906" s="6">
        <f t="shared" si="59"/>
        <v>41190.208333333336</v>
      </c>
    </row>
    <row r="907" spans="1:22" ht="19.5" x14ac:dyDescent="0.4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12">
        <f t="shared" si="56"/>
        <v>1.6398734177215191</v>
      </c>
      <c r="P907" s="13">
        <f t="shared" si="57"/>
        <v>54.894067796610166</v>
      </c>
      <c r="Q907" t="str" cm="1">
        <f t="array" ref="Q907:R907">_xlfn.TEXTSPLIT(N907,"/",,FALSE,,#N/A)</f>
        <v>theater</v>
      </c>
      <c r="R907" t="str">
        <v>plays</v>
      </c>
      <c r="U907" s="6">
        <f t="shared" si="58"/>
        <v>41536.208333333336</v>
      </c>
      <c r="V907" s="6">
        <f t="shared" si="59"/>
        <v>41539.208333333336</v>
      </c>
    </row>
    <row r="908" spans="1:22" ht="33.75" x14ac:dyDescent="0.4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12">
        <f t="shared" si="56"/>
        <v>1.6298181818181818</v>
      </c>
      <c r="P908" s="13">
        <f t="shared" si="57"/>
        <v>46.931937172774866</v>
      </c>
      <c r="Q908" t="str" cm="1">
        <f t="array" ref="Q908:R908">_xlfn.TEXTSPLIT(N908,"/",,FALSE,,#N/A)</f>
        <v>film &amp; video</v>
      </c>
      <c r="R908" t="str">
        <v>documentary</v>
      </c>
      <c r="U908" s="6">
        <f t="shared" si="58"/>
        <v>42868.208333333328</v>
      </c>
      <c r="V908" s="6">
        <f t="shared" si="59"/>
        <v>42904.208333333328</v>
      </c>
    </row>
    <row r="909" spans="1:22" ht="19.5" x14ac:dyDescent="0.4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12">
        <f t="shared" si="56"/>
        <v>0.20252747252747252</v>
      </c>
      <c r="P909" s="13">
        <f t="shared" si="57"/>
        <v>44.951219512195124</v>
      </c>
      <c r="Q909" t="str" cm="1">
        <f t="array" ref="Q909:R909">_xlfn.TEXTSPLIT(N909,"/",,FALSE,,#N/A)</f>
        <v>theater</v>
      </c>
      <c r="R909" t="str">
        <v>plays</v>
      </c>
      <c r="U909" s="6">
        <f t="shared" si="58"/>
        <v>40660.208333333336</v>
      </c>
      <c r="V909" s="6">
        <f t="shared" si="59"/>
        <v>40667.208333333336</v>
      </c>
    </row>
    <row r="910" spans="1:22" ht="19.5" x14ac:dyDescent="0.4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12">
        <f t="shared" si="56"/>
        <v>3.1924083769633507</v>
      </c>
      <c r="P910" s="13">
        <f t="shared" si="57"/>
        <v>30.99898322318251</v>
      </c>
      <c r="Q910" t="str" cm="1">
        <f t="array" ref="Q910:R910">_xlfn.TEXTSPLIT(N910,"/",,FALSE,,#N/A)</f>
        <v>games</v>
      </c>
      <c r="R910" t="str">
        <v>video games</v>
      </c>
      <c r="U910" s="6">
        <f t="shared" si="58"/>
        <v>41031.208333333336</v>
      </c>
      <c r="V910" s="6">
        <f t="shared" si="59"/>
        <v>41042.208333333336</v>
      </c>
    </row>
    <row r="911" spans="1:22" ht="19.5" x14ac:dyDescent="0.4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12">
        <f t="shared" si="56"/>
        <v>4.7894444444444444</v>
      </c>
      <c r="P911" s="13">
        <f t="shared" si="57"/>
        <v>107.7625</v>
      </c>
      <c r="Q911" t="str" cm="1">
        <f t="array" ref="Q911:R911">_xlfn.TEXTSPLIT(N911,"/",,FALSE,,#N/A)</f>
        <v>theater</v>
      </c>
      <c r="R911" t="str">
        <v>plays</v>
      </c>
      <c r="U911" s="6">
        <f t="shared" si="58"/>
        <v>43255.208333333328</v>
      </c>
      <c r="V911" s="6">
        <f t="shared" si="59"/>
        <v>43282.208333333328</v>
      </c>
    </row>
    <row r="912" spans="1:22" ht="19.5" x14ac:dyDescent="0.4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12">
        <f t="shared" si="56"/>
        <v>0.19556634304207121</v>
      </c>
      <c r="P912" s="13">
        <f t="shared" si="57"/>
        <v>102.07770270270271</v>
      </c>
      <c r="Q912" t="str" cm="1">
        <f t="array" ref="Q912:R912">_xlfn.TEXTSPLIT(N912,"/",,FALSE,,#N/A)</f>
        <v>theater</v>
      </c>
      <c r="R912" t="str">
        <v>plays</v>
      </c>
      <c r="U912" s="6">
        <f t="shared" si="58"/>
        <v>42026.25</v>
      </c>
      <c r="V912" s="6">
        <f t="shared" si="59"/>
        <v>42027.25</v>
      </c>
    </row>
    <row r="913" spans="1:22" ht="19.5" x14ac:dyDescent="0.4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12">
        <f t="shared" si="56"/>
        <v>1.9894827586206896</v>
      </c>
      <c r="P913" s="13">
        <f t="shared" si="57"/>
        <v>24.976190476190474</v>
      </c>
      <c r="Q913" t="str" cm="1">
        <f t="array" ref="Q913:R913">_xlfn.TEXTSPLIT(N913,"/",,FALSE,,#N/A)</f>
        <v>technology</v>
      </c>
      <c r="R913" t="str">
        <v>web</v>
      </c>
      <c r="U913" s="6">
        <f t="shared" si="58"/>
        <v>43717.208333333328</v>
      </c>
      <c r="V913" s="6">
        <f t="shared" si="59"/>
        <v>43719.208333333328</v>
      </c>
    </row>
    <row r="914" spans="1:22" ht="19.5" x14ac:dyDescent="0.4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12">
        <f t="shared" si="56"/>
        <v>7.95</v>
      </c>
      <c r="P914" s="13">
        <f t="shared" si="57"/>
        <v>79.944134078212286</v>
      </c>
      <c r="Q914" t="str" cm="1">
        <f t="array" ref="Q914:R914">_xlfn.TEXTSPLIT(N914,"/",,FALSE,,#N/A)</f>
        <v>film &amp; video</v>
      </c>
      <c r="R914" t="str">
        <v>drama</v>
      </c>
      <c r="U914" s="6">
        <f t="shared" si="58"/>
        <v>41157.208333333336</v>
      </c>
      <c r="V914" s="6">
        <f t="shared" si="59"/>
        <v>41170.208333333336</v>
      </c>
    </row>
    <row r="915" spans="1:22" ht="19.5" x14ac:dyDescent="0.4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12">
        <f t="shared" si="56"/>
        <v>0.50621082621082625</v>
      </c>
      <c r="P915" s="13">
        <f t="shared" si="57"/>
        <v>67.946462715105156</v>
      </c>
      <c r="Q915" t="str" cm="1">
        <f t="array" ref="Q915:R915">_xlfn.TEXTSPLIT(N915,"/",,FALSE,,#N/A)</f>
        <v>film &amp; video</v>
      </c>
      <c r="R915" t="str">
        <v>drama</v>
      </c>
      <c r="U915" s="6">
        <f t="shared" si="58"/>
        <v>43597.208333333328</v>
      </c>
      <c r="V915" s="6">
        <f t="shared" si="59"/>
        <v>43610.208333333328</v>
      </c>
    </row>
    <row r="916" spans="1:22" ht="19.5" x14ac:dyDescent="0.4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12">
        <f t="shared" si="56"/>
        <v>0.57437499999999997</v>
      </c>
      <c r="P916" s="13">
        <f t="shared" si="57"/>
        <v>26.070921985815602</v>
      </c>
      <c r="Q916" t="str" cm="1">
        <f t="array" ref="Q916:R916">_xlfn.TEXTSPLIT(N916,"/",,FALSE,,#N/A)</f>
        <v>theater</v>
      </c>
      <c r="R916" t="str">
        <v>plays</v>
      </c>
      <c r="U916" s="6">
        <f t="shared" si="58"/>
        <v>41490.208333333336</v>
      </c>
      <c r="V916" s="6">
        <f t="shared" si="59"/>
        <v>41502.208333333336</v>
      </c>
    </row>
    <row r="917" spans="1:22" ht="19.5" x14ac:dyDescent="0.4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12">
        <f t="shared" si="56"/>
        <v>1.5562827640984909</v>
      </c>
      <c r="P917" s="13">
        <f t="shared" si="57"/>
        <v>105.0032154340836</v>
      </c>
      <c r="Q917" t="str" cm="1">
        <f t="array" ref="Q917:R917">_xlfn.TEXTSPLIT(N917,"/",,FALSE,,#N/A)</f>
        <v>film &amp; video</v>
      </c>
      <c r="R917" t="str">
        <v>television</v>
      </c>
      <c r="U917" s="6">
        <f t="shared" si="58"/>
        <v>42976.208333333328</v>
      </c>
      <c r="V917" s="6">
        <f t="shared" si="59"/>
        <v>42985.208333333328</v>
      </c>
    </row>
    <row r="918" spans="1:22" ht="33.75" x14ac:dyDescent="0.4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12">
        <f t="shared" si="56"/>
        <v>0.36297297297297298</v>
      </c>
      <c r="P918" s="13">
        <f t="shared" si="57"/>
        <v>25.826923076923077</v>
      </c>
      <c r="Q918" t="str" cm="1">
        <f t="array" ref="Q918:R918">_xlfn.TEXTSPLIT(N918,"/",,FALSE,,#N/A)</f>
        <v>photography</v>
      </c>
      <c r="R918" t="str">
        <v>photography books</v>
      </c>
      <c r="U918" s="6">
        <f t="shared" si="58"/>
        <v>41991.25</v>
      </c>
      <c r="V918" s="6">
        <f t="shared" si="59"/>
        <v>42000.25</v>
      </c>
    </row>
    <row r="919" spans="1:22" ht="19.5" x14ac:dyDescent="0.4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12">
        <f t="shared" si="56"/>
        <v>0.58250000000000002</v>
      </c>
      <c r="P919" s="13">
        <f t="shared" si="57"/>
        <v>77.666666666666671</v>
      </c>
      <c r="Q919" t="str" cm="1">
        <f t="array" ref="Q919:R919">_xlfn.TEXTSPLIT(N919,"/",,FALSE,,#N/A)</f>
        <v>film &amp; video</v>
      </c>
      <c r="R919" t="str">
        <v>shorts</v>
      </c>
      <c r="U919" s="6">
        <f t="shared" si="58"/>
        <v>40722.208333333336</v>
      </c>
      <c r="V919" s="6">
        <f t="shared" si="59"/>
        <v>40746.208333333336</v>
      </c>
    </row>
    <row r="920" spans="1:22" ht="19.5" x14ac:dyDescent="0.4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12">
        <f t="shared" si="56"/>
        <v>2.3739473684210526</v>
      </c>
      <c r="P920" s="13">
        <f t="shared" si="57"/>
        <v>57.82692307692308</v>
      </c>
      <c r="Q920" t="str" cm="1">
        <f t="array" ref="Q920:R920">_xlfn.TEXTSPLIT(N920,"/",,FALSE,,#N/A)</f>
        <v>publishing</v>
      </c>
      <c r="R920" t="str">
        <v>radio &amp; podcasts</v>
      </c>
      <c r="U920" s="6">
        <f t="shared" si="58"/>
        <v>41117.208333333336</v>
      </c>
      <c r="V920" s="6">
        <f t="shared" si="59"/>
        <v>41128.208333333336</v>
      </c>
    </row>
    <row r="921" spans="1:22" ht="19.5" x14ac:dyDescent="0.4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12">
        <f t="shared" si="56"/>
        <v>0.58750000000000002</v>
      </c>
      <c r="P921" s="13">
        <f t="shared" si="57"/>
        <v>92.955555555555549</v>
      </c>
      <c r="Q921" t="str" cm="1">
        <f t="array" ref="Q921:R921">_xlfn.TEXTSPLIT(N921,"/",,FALSE,,#N/A)</f>
        <v>theater</v>
      </c>
      <c r="R921" t="str">
        <v>plays</v>
      </c>
      <c r="U921" s="6">
        <f t="shared" si="58"/>
        <v>43022.208333333328</v>
      </c>
      <c r="V921" s="6">
        <f t="shared" si="59"/>
        <v>43054.25</v>
      </c>
    </row>
    <row r="922" spans="1:22" ht="19.5" x14ac:dyDescent="0.4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12">
        <f t="shared" si="56"/>
        <v>1.8256603773584905</v>
      </c>
      <c r="P922" s="13">
        <f t="shared" si="57"/>
        <v>37.945098039215686</v>
      </c>
      <c r="Q922" t="str" cm="1">
        <f t="array" ref="Q922:R922">_xlfn.TEXTSPLIT(N922,"/",,FALSE,,#N/A)</f>
        <v>film &amp; video</v>
      </c>
      <c r="R922" t="str">
        <v>animation</v>
      </c>
      <c r="U922" s="6">
        <f t="shared" si="58"/>
        <v>43503.25</v>
      </c>
      <c r="V922" s="6">
        <f t="shared" si="59"/>
        <v>43523.25</v>
      </c>
    </row>
    <row r="923" spans="1:22" ht="19.5" x14ac:dyDescent="0.4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12">
        <f t="shared" si="56"/>
        <v>7.5436408977556111E-3</v>
      </c>
      <c r="P923" s="13">
        <f t="shared" si="57"/>
        <v>31.842105263157894</v>
      </c>
      <c r="Q923" t="str" cm="1">
        <f t="array" ref="Q923:R923">_xlfn.TEXTSPLIT(N923,"/",,FALSE,,#N/A)</f>
        <v>technology</v>
      </c>
      <c r="R923" t="str">
        <v>web</v>
      </c>
      <c r="U923" s="6">
        <f t="shared" si="58"/>
        <v>40951.25</v>
      </c>
      <c r="V923" s="6">
        <f t="shared" si="59"/>
        <v>40965.25</v>
      </c>
    </row>
    <row r="924" spans="1:22" ht="19.5" x14ac:dyDescent="0.4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12">
        <f t="shared" si="56"/>
        <v>1.7595330739299611</v>
      </c>
      <c r="P924" s="13">
        <f t="shared" si="57"/>
        <v>40</v>
      </c>
      <c r="Q924" t="str" cm="1">
        <f t="array" ref="Q924:R924">_xlfn.TEXTSPLIT(N924,"/",,FALSE,,#N/A)</f>
        <v>music</v>
      </c>
      <c r="R924" t="str">
        <v>world music</v>
      </c>
      <c r="U924" s="6">
        <f t="shared" si="58"/>
        <v>43443.25</v>
      </c>
      <c r="V924" s="6">
        <f t="shared" si="59"/>
        <v>43452.25</v>
      </c>
    </row>
    <row r="925" spans="1:22" ht="19.5" x14ac:dyDescent="0.4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12">
        <f t="shared" si="56"/>
        <v>2.3788235294117648</v>
      </c>
      <c r="P925" s="13">
        <f t="shared" si="57"/>
        <v>101.1</v>
      </c>
      <c r="Q925" t="str" cm="1">
        <f t="array" ref="Q925:R925">_xlfn.TEXTSPLIT(N925,"/",,FALSE,,#N/A)</f>
        <v>theater</v>
      </c>
      <c r="R925" t="str">
        <v>plays</v>
      </c>
      <c r="U925" s="6">
        <f t="shared" si="58"/>
        <v>40373.208333333336</v>
      </c>
      <c r="V925" s="6">
        <f t="shared" si="59"/>
        <v>40374.208333333336</v>
      </c>
    </row>
    <row r="926" spans="1:22" ht="19.5" x14ac:dyDescent="0.4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12">
        <f t="shared" si="56"/>
        <v>4.8805076142131982</v>
      </c>
      <c r="P926" s="13">
        <f t="shared" si="57"/>
        <v>84.006989951944078</v>
      </c>
      <c r="Q926" t="str" cm="1">
        <f t="array" ref="Q926:R926">_xlfn.TEXTSPLIT(N926,"/",,FALSE,,#N/A)</f>
        <v>theater</v>
      </c>
      <c r="R926" t="str">
        <v>plays</v>
      </c>
      <c r="U926" s="6">
        <f t="shared" si="58"/>
        <v>43769.208333333328</v>
      </c>
      <c r="V926" s="6">
        <f t="shared" si="59"/>
        <v>43780.25</v>
      </c>
    </row>
    <row r="927" spans="1:22" ht="33.75" x14ac:dyDescent="0.4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12">
        <f t="shared" si="56"/>
        <v>2.2406666666666668</v>
      </c>
      <c r="P927" s="13">
        <f t="shared" si="57"/>
        <v>103.41538461538461</v>
      </c>
      <c r="Q927" t="str" cm="1">
        <f t="array" ref="Q927:R927">_xlfn.TEXTSPLIT(N927,"/",,FALSE,,#N/A)</f>
        <v>theater</v>
      </c>
      <c r="R927" t="str">
        <v>plays</v>
      </c>
      <c r="U927" s="6">
        <f t="shared" si="58"/>
        <v>43000.208333333328</v>
      </c>
      <c r="V927" s="6">
        <f t="shared" si="59"/>
        <v>43012.208333333328</v>
      </c>
    </row>
    <row r="928" spans="1:22" ht="19.5" x14ac:dyDescent="0.4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12">
        <f t="shared" si="56"/>
        <v>0.18126436781609195</v>
      </c>
      <c r="P928" s="13">
        <f t="shared" si="57"/>
        <v>105.13333333333334</v>
      </c>
      <c r="Q928" t="str" cm="1">
        <f t="array" ref="Q928:R928">_xlfn.TEXTSPLIT(N928,"/",,FALSE,,#N/A)</f>
        <v>food</v>
      </c>
      <c r="R928" t="str">
        <v>food trucks</v>
      </c>
      <c r="U928" s="6">
        <f t="shared" si="58"/>
        <v>42502.208333333328</v>
      </c>
      <c r="V928" s="6">
        <f t="shared" si="59"/>
        <v>42506.208333333328</v>
      </c>
    </row>
    <row r="929" spans="1:22" ht="19.5" x14ac:dyDescent="0.4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12">
        <f t="shared" si="56"/>
        <v>0.45847222222222223</v>
      </c>
      <c r="P929" s="13">
        <f t="shared" si="57"/>
        <v>89.21621621621621</v>
      </c>
      <c r="Q929" t="str" cm="1">
        <f t="array" ref="Q929:R929">_xlfn.TEXTSPLIT(N929,"/",,FALSE,,#N/A)</f>
        <v>theater</v>
      </c>
      <c r="R929" t="str">
        <v>plays</v>
      </c>
      <c r="U929" s="6">
        <f t="shared" si="58"/>
        <v>41102.208333333336</v>
      </c>
      <c r="V929" s="6">
        <f t="shared" si="59"/>
        <v>41131.208333333336</v>
      </c>
    </row>
    <row r="930" spans="1:22" ht="19.5" x14ac:dyDescent="0.4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12">
        <f t="shared" si="56"/>
        <v>1.1731541218637993</v>
      </c>
      <c r="P930" s="13">
        <f t="shared" si="57"/>
        <v>51.995234312946785</v>
      </c>
      <c r="Q930" t="str" cm="1">
        <f t="array" ref="Q930:R930">_xlfn.TEXTSPLIT(N930,"/",,FALSE,,#N/A)</f>
        <v>technology</v>
      </c>
      <c r="R930" t="str">
        <v>web</v>
      </c>
      <c r="U930" s="6">
        <f t="shared" si="58"/>
        <v>41637.25</v>
      </c>
      <c r="V930" s="6">
        <f t="shared" si="59"/>
        <v>41646.25</v>
      </c>
    </row>
    <row r="931" spans="1:22" ht="19.5" x14ac:dyDescent="0.4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12">
        <f t="shared" si="56"/>
        <v>2.173090909090909</v>
      </c>
      <c r="P931" s="13">
        <f t="shared" si="57"/>
        <v>64.956521739130437</v>
      </c>
      <c r="Q931" t="str" cm="1">
        <f t="array" ref="Q931:R931">_xlfn.TEXTSPLIT(N931,"/",,FALSE,,#N/A)</f>
        <v>theater</v>
      </c>
      <c r="R931" t="str">
        <v>plays</v>
      </c>
      <c r="U931" s="6">
        <f t="shared" si="58"/>
        <v>42858.208333333328</v>
      </c>
      <c r="V931" s="6">
        <f t="shared" si="59"/>
        <v>42872.208333333328</v>
      </c>
    </row>
    <row r="932" spans="1:22" ht="19.5" x14ac:dyDescent="0.4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12">
        <f t="shared" si="56"/>
        <v>1.1228571428571428</v>
      </c>
      <c r="P932" s="13">
        <f t="shared" si="57"/>
        <v>46.235294117647058</v>
      </c>
      <c r="Q932" t="str" cm="1">
        <f t="array" ref="Q932:R932">_xlfn.TEXTSPLIT(N932,"/",,FALSE,,#N/A)</f>
        <v>theater</v>
      </c>
      <c r="R932" t="str">
        <v>plays</v>
      </c>
      <c r="U932" s="6">
        <f t="shared" si="58"/>
        <v>42060.25</v>
      </c>
      <c r="V932" s="6">
        <f t="shared" si="59"/>
        <v>42067.25</v>
      </c>
    </row>
    <row r="933" spans="1:22" ht="19.5" x14ac:dyDescent="0.4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12">
        <f t="shared" si="56"/>
        <v>0.72518987341772156</v>
      </c>
      <c r="P933" s="13">
        <f t="shared" si="57"/>
        <v>51.151785714285715</v>
      </c>
      <c r="Q933" t="str" cm="1">
        <f t="array" ref="Q933:R933">_xlfn.TEXTSPLIT(N933,"/",,FALSE,,#N/A)</f>
        <v>theater</v>
      </c>
      <c r="R933" t="str">
        <v>plays</v>
      </c>
      <c r="U933" s="6">
        <f t="shared" si="58"/>
        <v>41818.208333333336</v>
      </c>
      <c r="V933" s="6">
        <f t="shared" si="59"/>
        <v>41820.208333333336</v>
      </c>
    </row>
    <row r="934" spans="1:22" ht="19.5" x14ac:dyDescent="0.4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12">
        <f t="shared" si="56"/>
        <v>2.1230434782608696</v>
      </c>
      <c r="P934" s="13">
        <f t="shared" si="57"/>
        <v>33.909722222222221</v>
      </c>
      <c r="Q934" t="str" cm="1">
        <f t="array" ref="Q934:R934">_xlfn.TEXTSPLIT(N934,"/",,FALSE,,#N/A)</f>
        <v>music</v>
      </c>
      <c r="R934" t="str">
        <v>rock</v>
      </c>
      <c r="U934" s="6">
        <f t="shared" si="58"/>
        <v>41709.208333333336</v>
      </c>
      <c r="V934" s="6">
        <f t="shared" si="59"/>
        <v>41712.208333333336</v>
      </c>
    </row>
    <row r="935" spans="1:22" ht="19.5" x14ac:dyDescent="0.4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12">
        <f t="shared" si="56"/>
        <v>2.3974657534246577</v>
      </c>
      <c r="P935" s="13">
        <f t="shared" si="57"/>
        <v>92.016298633017882</v>
      </c>
      <c r="Q935" t="str" cm="1">
        <f t="array" ref="Q935:R935">_xlfn.TEXTSPLIT(N935,"/",,FALSE,,#N/A)</f>
        <v>theater</v>
      </c>
      <c r="R935" t="str">
        <v>plays</v>
      </c>
      <c r="U935" s="6">
        <f t="shared" si="58"/>
        <v>41372.208333333336</v>
      </c>
      <c r="V935" s="6">
        <f t="shared" si="59"/>
        <v>41385.208333333336</v>
      </c>
    </row>
    <row r="936" spans="1:22" ht="19.5" x14ac:dyDescent="0.4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12">
        <f t="shared" si="56"/>
        <v>1.8193548387096774</v>
      </c>
      <c r="P936" s="13">
        <f t="shared" si="57"/>
        <v>107.42857142857143</v>
      </c>
      <c r="Q936" t="str" cm="1">
        <f t="array" ref="Q936:R936">_xlfn.TEXTSPLIT(N936,"/",,FALSE,,#N/A)</f>
        <v>theater</v>
      </c>
      <c r="R936" t="str">
        <v>plays</v>
      </c>
      <c r="U936" s="6">
        <f t="shared" si="58"/>
        <v>42422.25</v>
      </c>
      <c r="V936" s="6">
        <f t="shared" si="59"/>
        <v>42428.25</v>
      </c>
    </row>
    <row r="937" spans="1:22" ht="33.75" x14ac:dyDescent="0.4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12">
        <f t="shared" si="56"/>
        <v>1.6413114754098361</v>
      </c>
      <c r="P937" s="13">
        <f t="shared" si="57"/>
        <v>75.848484848484844</v>
      </c>
      <c r="Q937" t="str" cm="1">
        <f t="array" ref="Q937:R937">_xlfn.TEXTSPLIT(N937,"/",,FALSE,,#N/A)</f>
        <v>theater</v>
      </c>
      <c r="R937" t="str">
        <v>plays</v>
      </c>
      <c r="U937" s="6">
        <f t="shared" si="58"/>
        <v>42209.208333333328</v>
      </c>
      <c r="V937" s="6">
        <f t="shared" si="59"/>
        <v>42216.208333333328</v>
      </c>
    </row>
    <row r="938" spans="1:22" ht="19.5" x14ac:dyDescent="0.4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12">
        <f t="shared" si="56"/>
        <v>1.6375968992248063E-2</v>
      </c>
      <c r="P938" s="13">
        <f t="shared" si="57"/>
        <v>80.476190476190482</v>
      </c>
      <c r="Q938" t="str" cm="1">
        <f t="array" ref="Q938:R938">_xlfn.TEXTSPLIT(N938,"/",,FALSE,,#N/A)</f>
        <v>theater</v>
      </c>
      <c r="R938" t="str">
        <v>plays</v>
      </c>
      <c r="U938" s="6">
        <f t="shared" si="58"/>
        <v>43668.208333333328</v>
      </c>
      <c r="V938" s="6">
        <f t="shared" si="59"/>
        <v>43671.208333333328</v>
      </c>
    </row>
    <row r="939" spans="1:22" ht="19.5" x14ac:dyDescent="0.4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12">
        <f t="shared" si="56"/>
        <v>0.49643859649122807</v>
      </c>
      <c r="P939" s="13">
        <f t="shared" si="57"/>
        <v>86.978483606557376</v>
      </c>
      <c r="Q939" t="str" cm="1">
        <f t="array" ref="Q939:R939">_xlfn.TEXTSPLIT(N939,"/",,FALSE,,#N/A)</f>
        <v>film &amp; video</v>
      </c>
      <c r="R939" t="str">
        <v>documentary</v>
      </c>
      <c r="U939" s="6">
        <f t="shared" si="58"/>
        <v>42334.25</v>
      </c>
      <c r="V939" s="6">
        <f t="shared" si="59"/>
        <v>42343.25</v>
      </c>
    </row>
    <row r="940" spans="1:22" ht="19.5" x14ac:dyDescent="0.4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12">
        <f t="shared" si="56"/>
        <v>1.0970652173913042</v>
      </c>
      <c r="P940" s="13">
        <f t="shared" si="57"/>
        <v>105.13541666666667</v>
      </c>
      <c r="Q940" t="str" cm="1">
        <f t="array" ref="Q940:R940">_xlfn.TEXTSPLIT(N940,"/",,FALSE,,#N/A)</f>
        <v>publishing</v>
      </c>
      <c r="R940" t="str">
        <v>fiction</v>
      </c>
      <c r="U940" s="6">
        <f t="shared" si="58"/>
        <v>43263.208333333328</v>
      </c>
      <c r="V940" s="6">
        <f t="shared" si="59"/>
        <v>43299.208333333328</v>
      </c>
    </row>
    <row r="941" spans="1:22" ht="33.75" x14ac:dyDescent="0.4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12">
        <f t="shared" si="56"/>
        <v>0.49217948717948717</v>
      </c>
      <c r="P941" s="13">
        <f t="shared" si="57"/>
        <v>57.298507462686565</v>
      </c>
      <c r="Q941" t="str" cm="1">
        <f t="array" ref="Q941:R941">_xlfn.TEXTSPLIT(N941,"/",,FALSE,,#N/A)</f>
        <v>games</v>
      </c>
      <c r="R941" t="str">
        <v>video games</v>
      </c>
      <c r="U941" s="6">
        <f t="shared" si="58"/>
        <v>40670.208333333336</v>
      </c>
      <c r="V941" s="6">
        <f t="shared" si="59"/>
        <v>40687.208333333336</v>
      </c>
    </row>
    <row r="942" spans="1:22" ht="19.5" x14ac:dyDescent="0.4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12">
        <f t="shared" si="56"/>
        <v>0.62232323232323228</v>
      </c>
      <c r="P942" s="13">
        <f t="shared" si="57"/>
        <v>93.348484848484844</v>
      </c>
      <c r="Q942" t="str" cm="1">
        <f t="array" ref="Q942:R942">_xlfn.TEXTSPLIT(N942,"/",,FALSE,,#N/A)</f>
        <v>technology</v>
      </c>
      <c r="R942" t="str">
        <v>web</v>
      </c>
      <c r="U942" s="6">
        <f t="shared" si="58"/>
        <v>41244.25</v>
      </c>
      <c r="V942" s="6">
        <f t="shared" si="59"/>
        <v>41266.25</v>
      </c>
    </row>
    <row r="943" spans="1:22" ht="19.5" x14ac:dyDescent="0.4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12">
        <f t="shared" si="56"/>
        <v>0.1305813953488372</v>
      </c>
      <c r="P943" s="13">
        <f t="shared" si="57"/>
        <v>71.987179487179489</v>
      </c>
      <c r="Q943" t="str" cm="1">
        <f t="array" ref="Q943:R943">_xlfn.TEXTSPLIT(N943,"/",,FALSE,,#N/A)</f>
        <v>theater</v>
      </c>
      <c r="R943" t="str">
        <v>plays</v>
      </c>
      <c r="U943" s="6">
        <f t="shared" si="58"/>
        <v>40552.25</v>
      </c>
      <c r="V943" s="6">
        <f t="shared" si="59"/>
        <v>40587.25</v>
      </c>
    </row>
    <row r="944" spans="1:22" ht="19.5" x14ac:dyDescent="0.4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12">
        <f t="shared" si="56"/>
        <v>0.64635416666666667</v>
      </c>
      <c r="P944" s="13">
        <f t="shared" si="57"/>
        <v>92.611940298507463</v>
      </c>
      <c r="Q944" t="str" cm="1">
        <f t="array" ref="Q944:R944">_xlfn.TEXTSPLIT(N944,"/",,FALSE,,#N/A)</f>
        <v>theater</v>
      </c>
      <c r="R944" t="str">
        <v>plays</v>
      </c>
      <c r="U944" s="6">
        <f t="shared" si="58"/>
        <v>40568.25</v>
      </c>
      <c r="V944" s="6">
        <f t="shared" si="59"/>
        <v>40571.25</v>
      </c>
    </row>
    <row r="945" spans="1:22" ht="19.5" x14ac:dyDescent="0.4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12">
        <f t="shared" si="56"/>
        <v>1.5958666666666668</v>
      </c>
      <c r="P945" s="13">
        <f t="shared" si="57"/>
        <v>104.99122807017544</v>
      </c>
      <c r="Q945" t="str" cm="1">
        <f t="array" ref="Q945:R945">_xlfn.TEXTSPLIT(N945,"/",,FALSE,,#N/A)</f>
        <v>food</v>
      </c>
      <c r="R945" t="str">
        <v>food trucks</v>
      </c>
      <c r="U945" s="6">
        <f t="shared" si="58"/>
        <v>41906.208333333336</v>
      </c>
      <c r="V945" s="6">
        <f t="shared" si="59"/>
        <v>41941.208333333336</v>
      </c>
    </row>
    <row r="946" spans="1:22" ht="19.5" x14ac:dyDescent="0.4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12">
        <f t="shared" si="56"/>
        <v>0.81420000000000003</v>
      </c>
      <c r="P946" s="13">
        <f t="shared" si="57"/>
        <v>30.958174904942965</v>
      </c>
      <c r="Q946" t="str" cm="1">
        <f t="array" ref="Q946:R946">_xlfn.TEXTSPLIT(N946,"/",,FALSE,,#N/A)</f>
        <v>photography</v>
      </c>
      <c r="R946" t="str">
        <v>photography books</v>
      </c>
      <c r="U946" s="6">
        <f t="shared" si="58"/>
        <v>42776.25</v>
      </c>
      <c r="V946" s="6">
        <f t="shared" si="59"/>
        <v>42795.25</v>
      </c>
    </row>
    <row r="947" spans="1:22" ht="19.5" x14ac:dyDescent="0.4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12">
        <f t="shared" si="56"/>
        <v>0.32444767441860467</v>
      </c>
      <c r="P947" s="13">
        <f t="shared" si="57"/>
        <v>33.001182732111175</v>
      </c>
      <c r="Q947" t="str" cm="1">
        <f t="array" ref="Q947:R947">_xlfn.TEXTSPLIT(N947,"/",,FALSE,,#N/A)</f>
        <v>photography</v>
      </c>
      <c r="R947" t="str">
        <v>photography books</v>
      </c>
      <c r="U947" s="6">
        <f t="shared" si="58"/>
        <v>41004.208333333336</v>
      </c>
      <c r="V947" s="6">
        <f t="shared" si="59"/>
        <v>41019.208333333336</v>
      </c>
    </row>
    <row r="948" spans="1:22" ht="33.75" x14ac:dyDescent="0.4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12">
        <f t="shared" si="56"/>
        <v>9.9141184124918666E-2</v>
      </c>
      <c r="P948" s="13">
        <f t="shared" si="57"/>
        <v>84.187845303867405</v>
      </c>
      <c r="Q948" t="str" cm="1">
        <f t="array" ref="Q948:R948">_xlfn.TEXTSPLIT(N948,"/",,FALSE,,#N/A)</f>
        <v>theater</v>
      </c>
      <c r="R948" t="str">
        <v>plays</v>
      </c>
      <c r="U948" s="6">
        <f t="shared" si="58"/>
        <v>40710.208333333336</v>
      </c>
      <c r="V948" s="6">
        <f t="shared" si="59"/>
        <v>40712.208333333336</v>
      </c>
    </row>
    <row r="949" spans="1:22" ht="19.5" x14ac:dyDescent="0.4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12">
        <f t="shared" si="56"/>
        <v>0.26694444444444443</v>
      </c>
      <c r="P949" s="13">
        <f t="shared" si="57"/>
        <v>73.92307692307692</v>
      </c>
      <c r="Q949" t="str" cm="1">
        <f t="array" ref="Q949:R949">_xlfn.TEXTSPLIT(N949,"/",,FALSE,,#N/A)</f>
        <v>theater</v>
      </c>
      <c r="R949" t="str">
        <v>plays</v>
      </c>
      <c r="U949" s="6">
        <f t="shared" si="58"/>
        <v>41908.208333333336</v>
      </c>
      <c r="V949" s="6">
        <f t="shared" si="59"/>
        <v>41915.208333333336</v>
      </c>
    </row>
    <row r="950" spans="1:22" ht="19.5" x14ac:dyDescent="0.4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12">
        <f t="shared" si="56"/>
        <v>0.62957446808510642</v>
      </c>
      <c r="P950" s="13">
        <f t="shared" si="57"/>
        <v>36.987499999999997</v>
      </c>
      <c r="Q950" t="str" cm="1">
        <f t="array" ref="Q950:R950">_xlfn.TEXTSPLIT(N950,"/",,FALSE,,#N/A)</f>
        <v>film &amp; video</v>
      </c>
      <c r="R950" t="str">
        <v>documentary</v>
      </c>
      <c r="U950" s="6">
        <f t="shared" si="58"/>
        <v>41985.25</v>
      </c>
      <c r="V950" s="6">
        <f t="shared" si="59"/>
        <v>41995.25</v>
      </c>
    </row>
    <row r="951" spans="1:22" ht="33.75" x14ac:dyDescent="0.4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12">
        <f t="shared" si="56"/>
        <v>1.6135593220338984</v>
      </c>
      <c r="P951" s="13">
        <f t="shared" si="57"/>
        <v>46.896551724137929</v>
      </c>
      <c r="Q951" t="str" cm="1">
        <f t="array" ref="Q951:R951">_xlfn.TEXTSPLIT(N951,"/",,FALSE,,#N/A)</f>
        <v>technology</v>
      </c>
      <c r="R951" t="str">
        <v>web</v>
      </c>
      <c r="U951" s="6">
        <f t="shared" si="58"/>
        <v>42112.208333333328</v>
      </c>
      <c r="V951" s="6">
        <f t="shared" si="59"/>
        <v>42131.208333333328</v>
      </c>
    </row>
    <row r="952" spans="1:22" ht="19.5" x14ac:dyDescent="0.4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12">
        <f t="shared" si="56"/>
        <v>0.05</v>
      </c>
      <c r="P952" s="13">
        <f t="shared" si="57"/>
        <v>5</v>
      </c>
      <c r="Q952" t="str" cm="1">
        <f t="array" ref="Q952:R952">_xlfn.TEXTSPLIT(N952,"/",,FALSE,,#N/A)</f>
        <v>theater</v>
      </c>
      <c r="R952" t="str">
        <v>plays</v>
      </c>
      <c r="U952" s="6">
        <f t="shared" si="58"/>
        <v>43571.208333333328</v>
      </c>
      <c r="V952" s="6">
        <f t="shared" si="59"/>
        <v>43576.208333333328</v>
      </c>
    </row>
    <row r="953" spans="1:22" ht="19.5" x14ac:dyDescent="0.4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12">
        <f t="shared" si="56"/>
        <v>10.969379310344827</v>
      </c>
      <c r="P953" s="13">
        <f t="shared" si="57"/>
        <v>102.02437459910199</v>
      </c>
      <c r="Q953" t="str" cm="1">
        <f t="array" ref="Q953:R953">_xlfn.TEXTSPLIT(N953,"/",,FALSE,,#N/A)</f>
        <v>music</v>
      </c>
      <c r="R953" t="str">
        <v>rock</v>
      </c>
      <c r="U953" s="6">
        <f t="shared" si="58"/>
        <v>42730.25</v>
      </c>
      <c r="V953" s="6">
        <f t="shared" si="59"/>
        <v>42731.25</v>
      </c>
    </row>
    <row r="954" spans="1:22" ht="19.5" x14ac:dyDescent="0.4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12">
        <f t="shared" si="56"/>
        <v>0.70094158075601376</v>
      </c>
      <c r="P954" s="13">
        <f t="shared" si="57"/>
        <v>45.007502206531335</v>
      </c>
      <c r="Q954" t="str" cm="1">
        <f t="array" ref="Q954:R954">_xlfn.TEXTSPLIT(N954,"/",,FALSE,,#N/A)</f>
        <v>film &amp; video</v>
      </c>
      <c r="R954" t="str">
        <v>documentary</v>
      </c>
      <c r="U954" s="6">
        <f t="shared" si="58"/>
        <v>42591.208333333328</v>
      </c>
      <c r="V954" s="6">
        <f t="shared" si="59"/>
        <v>42605.208333333328</v>
      </c>
    </row>
    <row r="955" spans="1:22" ht="33.75" x14ac:dyDescent="0.4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12">
        <f t="shared" si="56"/>
        <v>0.6</v>
      </c>
      <c r="P955" s="13">
        <f t="shared" si="57"/>
        <v>94.285714285714292</v>
      </c>
      <c r="Q955" t="str" cm="1">
        <f t="array" ref="Q955:R955">_xlfn.TEXTSPLIT(N955,"/",,FALSE,,#N/A)</f>
        <v>film &amp; video</v>
      </c>
      <c r="R955" t="str">
        <v>science fiction</v>
      </c>
      <c r="U955" s="6">
        <f t="shared" si="58"/>
        <v>42358.25</v>
      </c>
      <c r="V955" s="6">
        <f t="shared" si="59"/>
        <v>42394.25</v>
      </c>
    </row>
    <row r="956" spans="1:22" ht="19.5" x14ac:dyDescent="0.4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12">
        <f t="shared" si="56"/>
        <v>3.6709859154929578</v>
      </c>
      <c r="P956" s="13">
        <f t="shared" si="57"/>
        <v>101.02325581395348</v>
      </c>
      <c r="Q956" t="str" cm="1">
        <f t="array" ref="Q956:R956">_xlfn.TEXTSPLIT(N956,"/",,FALSE,,#N/A)</f>
        <v>technology</v>
      </c>
      <c r="R956" t="str">
        <v>web</v>
      </c>
      <c r="U956" s="6">
        <f t="shared" si="58"/>
        <v>41174.208333333336</v>
      </c>
      <c r="V956" s="6">
        <f t="shared" si="59"/>
        <v>41198.208333333336</v>
      </c>
    </row>
    <row r="957" spans="1:22" ht="33.75" x14ac:dyDescent="0.4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12">
        <f t="shared" si="56"/>
        <v>11.09</v>
      </c>
      <c r="P957" s="13">
        <f t="shared" si="57"/>
        <v>97.037499999999994</v>
      </c>
      <c r="Q957" t="str" cm="1">
        <f t="array" ref="Q957:R957">_xlfn.TEXTSPLIT(N957,"/",,FALSE,,#N/A)</f>
        <v>theater</v>
      </c>
      <c r="R957" t="str">
        <v>plays</v>
      </c>
      <c r="U957" s="6">
        <f t="shared" si="58"/>
        <v>41238.25</v>
      </c>
      <c r="V957" s="6">
        <f t="shared" si="59"/>
        <v>41240.25</v>
      </c>
    </row>
    <row r="958" spans="1:22" ht="19.5" x14ac:dyDescent="0.4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12">
        <f t="shared" si="56"/>
        <v>0.19028784648187633</v>
      </c>
      <c r="P958" s="13">
        <f t="shared" si="57"/>
        <v>43.00963855421687</v>
      </c>
      <c r="Q958" t="str" cm="1">
        <f t="array" ref="Q958:R958">_xlfn.TEXTSPLIT(N958,"/",,FALSE,,#N/A)</f>
        <v>film &amp; video</v>
      </c>
      <c r="R958" t="str">
        <v>science fiction</v>
      </c>
      <c r="U958" s="6">
        <f t="shared" si="58"/>
        <v>42360.25</v>
      </c>
      <c r="V958" s="6">
        <f t="shared" si="59"/>
        <v>42364.25</v>
      </c>
    </row>
    <row r="959" spans="1:22" ht="19.5" x14ac:dyDescent="0.4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12">
        <f t="shared" si="56"/>
        <v>1.2687755102040816</v>
      </c>
      <c r="P959" s="13">
        <f t="shared" si="57"/>
        <v>94.916030534351151</v>
      </c>
      <c r="Q959" t="str" cm="1">
        <f t="array" ref="Q959:R959">_xlfn.TEXTSPLIT(N959,"/",,FALSE,,#N/A)</f>
        <v>theater</v>
      </c>
      <c r="R959" t="str">
        <v>plays</v>
      </c>
      <c r="U959" s="6">
        <f t="shared" si="58"/>
        <v>40955.25</v>
      </c>
      <c r="V959" s="6">
        <f t="shared" si="59"/>
        <v>40958.25</v>
      </c>
    </row>
    <row r="960" spans="1:22" ht="33.75" x14ac:dyDescent="0.4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12">
        <f t="shared" si="56"/>
        <v>7.3463636363636367</v>
      </c>
      <c r="P960" s="13">
        <f t="shared" si="57"/>
        <v>72.151785714285708</v>
      </c>
      <c r="Q960" t="str" cm="1">
        <f t="array" ref="Q960:R960">_xlfn.TEXTSPLIT(N960,"/",,FALSE,,#N/A)</f>
        <v>film &amp; video</v>
      </c>
      <c r="R960" t="str">
        <v>animation</v>
      </c>
      <c r="U960" s="6">
        <f t="shared" si="58"/>
        <v>40350.208333333336</v>
      </c>
      <c r="V960" s="6">
        <f t="shared" si="59"/>
        <v>40372.208333333336</v>
      </c>
    </row>
    <row r="961" spans="1:22" ht="19.5" x14ac:dyDescent="0.4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12">
        <f t="shared" si="56"/>
        <v>4.5731034482758622E-2</v>
      </c>
      <c r="P961" s="13">
        <f t="shared" si="57"/>
        <v>51.007692307692309</v>
      </c>
      <c r="Q961" t="str" cm="1">
        <f t="array" ref="Q961:R961">_xlfn.TEXTSPLIT(N961,"/",,FALSE,,#N/A)</f>
        <v>publishing</v>
      </c>
      <c r="R961" t="str">
        <v>translations</v>
      </c>
      <c r="U961" s="6">
        <f t="shared" si="58"/>
        <v>40357.208333333336</v>
      </c>
      <c r="V961" s="6">
        <f t="shared" si="59"/>
        <v>40385.208333333336</v>
      </c>
    </row>
    <row r="962" spans="1:22" ht="19.5" x14ac:dyDescent="0.4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12">
        <f t="shared" si="56"/>
        <v>0.85054545454545449</v>
      </c>
      <c r="P962" s="13">
        <f t="shared" si="57"/>
        <v>85.054545454545448</v>
      </c>
      <c r="Q962" t="str" cm="1">
        <f t="array" ref="Q962:R962">_xlfn.TEXTSPLIT(N962,"/",,FALSE,,#N/A)</f>
        <v>technology</v>
      </c>
      <c r="R962" t="str">
        <v>web</v>
      </c>
      <c r="U962" s="6">
        <f t="shared" si="58"/>
        <v>42408.25</v>
      </c>
      <c r="V962" s="6">
        <f t="shared" si="59"/>
        <v>42445.208333333328</v>
      </c>
    </row>
    <row r="963" spans="1:22" ht="19.5" x14ac:dyDescent="0.4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12">
        <f t="shared" ref="O963:O1001" si="60">E963/D963</f>
        <v>1.1929824561403508</v>
      </c>
      <c r="P963" s="13">
        <f t="shared" ref="P963:P1001" si="61">E963/G963</f>
        <v>43.87096774193548</v>
      </c>
      <c r="Q963" t="str" cm="1">
        <f t="array" ref="Q963:R963">_xlfn.TEXTSPLIT(N963,"/",,FALSE,,#N/A)</f>
        <v>publishing</v>
      </c>
      <c r="R963" t="str">
        <v>translations</v>
      </c>
      <c r="U963" s="6">
        <f t="shared" ref="U963:U1001" si="62">(((J963/60)/60)/24)+DATE(1970,1,1)</f>
        <v>40591.25</v>
      </c>
      <c r="V963" s="6">
        <f t="shared" ref="V963:V1001" si="63">(((K963/60)/60)/24)+DATE(1970,1,1)</f>
        <v>40595.25</v>
      </c>
    </row>
    <row r="964" spans="1:22" ht="19.5" x14ac:dyDescent="0.4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12">
        <f t="shared" si="60"/>
        <v>2.9602777777777778</v>
      </c>
      <c r="P964" s="13">
        <f t="shared" si="61"/>
        <v>40.063909774436091</v>
      </c>
      <c r="Q964" t="str" cm="1">
        <f t="array" ref="Q964:R964">_xlfn.TEXTSPLIT(N964,"/",,FALSE,,#N/A)</f>
        <v>food</v>
      </c>
      <c r="R964" t="str">
        <v>food trucks</v>
      </c>
      <c r="U964" s="6">
        <f t="shared" si="62"/>
        <v>41592.25</v>
      </c>
      <c r="V964" s="6">
        <f t="shared" si="63"/>
        <v>41613.25</v>
      </c>
    </row>
    <row r="965" spans="1:22" ht="19.5" x14ac:dyDescent="0.4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12">
        <f t="shared" si="60"/>
        <v>0.84694915254237291</v>
      </c>
      <c r="P965" s="13">
        <f t="shared" si="61"/>
        <v>43.833333333333336</v>
      </c>
      <c r="Q965" t="str" cm="1">
        <f t="array" ref="Q965:R965">_xlfn.TEXTSPLIT(N965,"/",,FALSE,,#N/A)</f>
        <v>photography</v>
      </c>
      <c r="R965" t="str">
        <v>photography books</v>
      </c>
      <c r="U965" s="6">
        <f t="shared" si="62"/>
        <v>40607.25</v>
      </c>
      <c r="V965" s="6">
        <f t="shared" si="63"/>
        <v>40613.25</v>
      </c>
    </row>
    <row r="966" spans="1:22" ht="19.5" x14ac:dyDescent="0.4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12">
        <f t="shared" si="60"/>
        <v>3.5578378378378379</v>
      </c>
      <c r="P966" s="13">
        <f t="shared" si="61"/>
        <v>84.92903225806451</v>
      </c>
      <c r="Q966" t="str" cm="1">
        <f t="array" ref="Q966:R966">_xlfn.TEXTSPLIT(N966,"/",,FALSE,,#N/A)</f>
        <v>theater</v>
      </c>
      <c r="R966" t="str">
        <v>plays</v>
      </c>
      <c r="U966" s="6">
        <f t="shared" si="62"/>
        <v>42135.208333333328</v>
      </c>
      <c r="V966" s="6">
        <f t="shared" si="63"/>
        <v>42140.208333333328</v>
      </c>
    </row>
    <row r="967" spans="1:22" ht="19.5" x14ac:dyDescent="0.4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12">
        <f t="shared" si="60"/>
        <v>3.8640909090909092</v>
      </c>
      <c r="P967" s="13">
        <f t="shared" si="61"/>
        <v>41.067632850241544</v>
      </c>
      <c r="Q967" t="str" cm="1">
        <f t="array" ref="Q967:R967">_xlfn.TEXTSPLIT(N967,"/",,FALSE,,#N/A)</f>
        <v>music</v>
      </c>
      <c r="R967" t="str">
        <v>rock</v>
      </c>
      <c r="U967" s="6">
        <f t="shared" si="62"/>
        <v>40203.25</v>
      </c>
      <c r="V967" s="6">
        <f t="shared" si="63"/>
        <v>40243.25</v>
      </c>
    </row>
    <row r="968" spans="1:22" ht="19.5" x14ac:dyDescent="0.4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12">
        <f t="shared" si="60"/>
        <v>7.9223529411764702</v>
      </c>
      <c r="P968" s="13">
        <f t="shared" si="61"/>
        <v>54.971428571428568</v>
      </c>
      <c r="Q968" t="str" cm="1">
        <f t="array" ref="Q968:R968">_xlfn.TEXTSPLIT(N968,"/",,FALSE,,#N/A)</f>
        <v>theater</v>
      </c>
      <c r="R968" t="str">
        <v>plays</v>
      </c>
      <c r="U968" s="6">
        <f t="shared" si="62"/>
        <v>42901.208333333328</v>
      </c>
      <c r="V968" s="6">
        <f t="shared" si="63"/>
        <v>42903.208333333328</v>
      </c>
    </row>
    <row r="969" spans="1:22" ht="19.5" x14ac:dyDescent="0.4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12">
        <f t="shared" si="60"/>
        <v>1.3703393665158372</v>
      </c>
      <c r="P969" s="13">
        <f t="shared" si="61"/>
        <v>77.010807374443743</v>
      </c>
      <c r="Q969" t="str" cm="1">
        <f t="array" ref="Q969:R969">_xlfn.TEXTSPLIT(N969,"/",,FALSE,,#N/A)</f>
        <v>music</v>
      </c>
      <c r="R969" t="str">
        <v>world music</v>
      </c>
      <c r="U969" s="6">
        <f t="shared" si="62"/>
        <v>41005.208333333336</v>
      </c>
      <c r="V969" s="6">
        <f t="shared" si="63"/>
        <v>41042.208333333336</v>
      </c>
    </row>
    <row r="970" spans="1:22" ht="33.75" x14ac:dyDescent="0.4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12">
        <f t="shared" si="60"/>
        <v>3.3820833333333336</v>
      </c>
      <c r="P970" s="13">
        <f t="shared" si="61"/>
        <v>71.201754385964918</v>
      </c>
      <c r="Q970" t="str" cm="1">
        <f t="array" ref="Q970:R970">_xlfn.TEXTSPLIT(N970,"/",,FALSE,,#N/A)</f>
        <v>food</v>
      </c>
      <c r="R970" t="str">
        <v>food trucks</v>
      </c>
      <c r="U970" s="6">
        <f t="shared" si="62"/>
        <v>40544.25</v>
      </c>
      <c r="V970" s="6">
        <f t="shared" si="63"/>
        <v>40559.25</v>
      </c>
    </row>
    <row r="971" spans="1:22" ht="19.5" x14ac:dyDescent="0.4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12">
        <f t="shared" si="60"/>
        <v>1.0822784810126582</v>
      </c>
      <c r="P971" s="13">
        <f t="shared" si="61"/>
        <v>91.935483870967744</v>
      </c>
      <c r="Q971" t="str" cm="1">
        <f t="array" ref="Q971:R971">_xlfn.TEXTSPLIT(N971,"/",,FALSE,,#N/A)</f>
        <v>theater</v>
      </c>
      <c r="R971" t="str">
        <v>plays</v>
      </c>
      <c r="U971" s="6">
        <f t="shared" si="62"/>
        <v>43821.25</v>
      </c>
      <c r="V971" s="6">
        <f t="shared" si="63"/>
        <v>43828.25</v>
      </c>
    </row>
    <row r="972" spans="1:22" ht="33.75" x14ac:dyDescent="0.4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12">
        <f t="shared" si="60"/>
        <v>0.60757639620653314</v>
      </c>
      <c r="P972" s="13">
        <f t="shared" si="61"/>
        <v>97.069023569023571</v>
      </c>
      <c r="Q972" t="str" cm="1">
        <f t="array" ref="Q972:R972">_xlfn.TEXTSPLIT(N972,"/",,FALSE,,#N/A)</f>
        <v>theater</v>
      </c>
      <c r="R972" t="str">
        <v>plays</v>
      </c>
      <c r="U972" s="6">
        <f t="shared" si="62"/>
        <v>40672.208333333336</v>
      </c>
      <c r="V972" s="6">
        <f t="shared" si="63"/>
        <v>40673.208333333336</v>
      </c>
    </row>
    <row r="973" spans="1:22" ht="19.5" x14ac:dyDescent="0.4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12">
        <f t="shared" si="60"/>
        <v>0.27725490196078434</v>
      </c>
      <c r="P973" s="13">
        <f t="shared" si="61"/>
        <v>58.916666666666664</v>
      </c>
      <c r="Q973" t="str" cm="1">
        <f t="array" ref="Q973:R973">_xlfn.TEXTSPLIT(N973,"/",,FALSE,,#N/A)</f>
        <v>film &amp; video</v>
      </c>
      <c r="R973" t="str">
        <v>television</v>
      </c>
      <c r="U973" s="6">
        <f t="shared" si="62"/>
        <v>41555.208333333336</v>
      </c>
      <c r="V973" s="6">
        <f t="shared" si="63"/>
        <v>41561.208333333336</v>
      </c>
    </row>
    <row r="974" spans="1:22" ht="33.75" x14ac:dyDescent="0.4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12">
        <f t="shared" si="60"/>
        <v>2.283934426229508</v>
      </c>
      <c r="P974" s="13">
        <f t="shared" si="61"/>
        <v>58.015466983938133</v>
      </c>
      <c r="Q974" t="str" cm="1">
        <f t="array" ref="Q974:R974">_xlfn.TEXTSPLIT(N974,"/",,FALSE,,#N/A)</f>
        <v>technology</v>
      </c>
      <c r="R974" t="str">
        <v>web</v>
      </c>
      <c r="U974" s="6">
        <f t="shared" si="62"/>
        <v>41792.208333333336</v>
      </c>
      <c r="V974" s="6">
        <f t="shared" si="63"/>
        <v>41801.208333333336</v>
      </c>
    </row>
    <row r="975" spans="1:22" ht="19.5" x14ac:dyDescent="0.4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12">
        <f t="shared" si="60"/>
        <v>0.21615194054500414</v>
      </c>
      <c r="P975" s="13">
        <f t="shared" si="61"/>
        <v>103.87301587301587</v>
      </c>
      <c r="Q975" t="str" cm="1">
        <f t="array" ref="Q975:R975">_xlfn.TEXTSPLIT(N975,"/",,FALSE,,#N/A)</f>
        <v>theater</v>
      </c>
      <c r="R975" t="str">
        <v>plays</v>
      </c>
      <c r="U975" s="6">
        <f t="shared" si="62"/>
        <v>40522.25</v>
      </c>
      <c r="V975" s="6">
        <f t="shared" si="63"/>
        <v>40524.25</v>
      </c>
    </row>
    <row r="976" spans="1:22" ht="19.5" x14ac:dyDescent="0.4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12">
        <f t="shared" si="60"/>
        <v>3.73875</v>
      </c>
      <c r="P976" s="13">
        <f t="shared" si="61"/>
        <v>93.46875</v>
      </c>
      <c r="Q976" t="str" cm="1">
        <f t="array" ref="Q976:R976">_xlfn.TEXTSPLIT(N976,"/",,FALSE,,#N/A)</f>
        <v>music</v>
      </c>
      <c r="R976" t="str">
        <v>indie rock</v>
      </c>
      <c r="U976" s="6">
        <f t="shared" si="62"/>
        <v>41412.208333333336</v>
      </c>
      <c r="V976" s="6">
        <f t="shared" si="63"/>
        <v>41413.208333333336</v>
      </c>
    </row>
    <row r="977" spans="1:22" ht="19.5" x14ac:dyDescent="0.4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12">
        <f t="shared" si="60"/>
        <v>1.5492592592592593</v>
      </c>
      <c r="P977" s="13">
        <f t="shared" si="61"/>
        <v>61.970370370370368</v>
      </c>
      <c r="Q977" t="str" cm="1">
        <f t="array" ref="Q977:R977">_xlfn.TEXTSPLIT(N977,"/",,FALSE,,#N/A)</f>
        <v>theater</v>
      </c>
      <c r="R977" t="str">
        <v>plays</v>
      </c>
      <c r="U977" s="6">
        <f t="shared" si="62"/>
        <v>42337.25</v>
      </c>
      <c r="V977" s="6">
        <f t="shared" si="63"/>
        <v>42376.25</v>
      </c>
    </row>
    <row r="978" spans="1:22" ht="33.75" x14ac:dyDescent="0.4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12">
        <f t="shared" si="60"/>
        <v>3.2214999999999998</v>
      </c>
      <c r="P978" s="13">
        <f t="shared" si="61"/>
        <v>92.042857142857144</v>
      </c>
      <c r="Q978" t="str" cm="1">
        <f t="array" ref="Q978:R978">_xlfn.TEXTSPLIT(N978,"/",,FALSE,,#N/A)</f>
        <v>theater</v>
      </c>
      <c r="R978" t="str">
        <v>plays</v>
      </c>
      <c r="U978" s="6">
        <f t="shared" si="62"/>
        <v>40571.25</v>
      </c>
      <c r="V978" s="6">
        <f t="shared" si="63"/>
        <v>40577.25</v>
      </c>
    </row>
    <row r="979" spans="1:22" ht="19.5" x14ac:dyDescent="0.4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12">
        <f t="shared" si="60"/>
        <v>0.73957142857142855</v>
      </c>
      <c r="P979" s="13">
        <f t="shared" si="61"/>
        <v>77.268656716417908</v>
      </c>
      <c r="Q979" t="str" cm="1">
        <f t="array" ref="Q979:R979">_xlfn.TEXTSPLIT(N979,"/",,FALSE,,#N/A)</f>
        <v>food</v>
      </c>
      <c r="R979" t="str">
        <v>food trucks</v>
      </c>
      <c r="U979" s="6">
        <f t="shared" si="62"/>
        <v>43138.25</v>
      </c>
      <c r="V979" s="6">
        <f t="shared" si="63"/>
        <v>43170.25</v>
      </c>
    </row>
    <row r="980" spans="1:22" ht="19.5" x14ac:dyDescent="0.4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12">
        <f t="shared" si="60"/>
        <v>8.641</v>
      </c>
      <c r="P980" s="13">
        <f t="shared" si="61"/>
        <v>93.923913043478265</v>
      </c>
      <c r="Q980" t="str" cm="1">
        <f t="array" ref="Q980:R980">_xlfn.TEXTSPLIT(N980,"/",,FALSE,,#N/A)</f>
        <v>games</v>
      </c>
      <c r="R980" t="str">
        <v>video games</v>
      </c>
      <c r="U980" s="6">
        <f t="shared" si="62"/>
        <v>42686.25</v>
      </c>
      <c r="V980" s="6">
        <f t="shared" si="63"/>
        <v>42708.25</v>
      </c>
    </row>
    <row r="981" spans="1:22" ht="19.5" x14ac:dyDescent="0.4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12">
        <f t="shared" si="60"/>
        <v>1.432624584717608</v>
      </c>
      <c r="P981" s="13">
        <f t="shared" si="61"/>
        <v>84.969458128078813</v>
      </c>
      <c r="Q981" t="str" cm="1">
        <f t="array" ref="Q981:R981">_xlfn.TEXTSPLIT(N981,"/",,FALSE,,#N/A)</f>
        <v>theater</v>
      </c>
      <c r="R981" t="str">
        <v>plays</v>
      </c>
      <c r="U981" s="6">
        <f t="shared" si="62"/>
        <v>42078.208333333328</v>
      </c>
      <c r="V981" s="6">
        <f t="shared" si="63"/>
        <v>42084.208333333328</v>
      </c>
    </row>
    <row r="982" spans="1:22" ht="19.5" x14ac:dyDescent="0.4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12">
        <f t="shared" si="60"/>
        <v>0.40281762295081969</v>
      </c>
      <c r="P982" s="13">
        <f t="shared" si="61"/>
        <v>105.97035040431267</v>
      </c>
      <c r="Q982" t="str" cm="1">
        <f t="array" ref="Q982:R982">_xlfn.TEXTSPLIT(N982,"/",,FALSE,,#N/A)</f>
        <v>publishing</v>
      </c>
      <c r="R982" t="str">
        <v>nonfiction</v>
      </c>
      <c r="U982" s="6">
        <f t="shared" si="62"/>
        <v>42307.208333333328</v>
      </c>
      <c r="V982" s="6">
        <f t="shared" si="63"/>
        <v>42312.25</v>
      </c>
    </row>
    <row r="983" spans="1:22" ht="19.5" x14ac:dyDescent="0.4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12">
        <f t="shared" si="60"/>
        <v>1.7822388059701493</v>
      </c>
      <c r="P983" s="13">
        <f t="shared" si="61"/>
        <v>36.969040247678016</v>
      </c>
      <c r="Q983" t="str" cm="1">
        <f t="array" ref="Q983:R983">_xlfn.TEXTSPLIT(N983,"/",,FALSE,,#N/A)</f>
        <v>technology</v>
      </c>
      <c r="R983" t="str">
        <v>web</v>
      </c>
      <c r="U983" s="6">
        <f t="shared" si="62"/>
        <v>43094.25</v>
      </c>
      <c r="V983" s="6">
        <f t="shared" si="63"/>
        <v>43127.25</v>
      </c>
    </row>
    <row r="984" spans="1:22" ht="19.5" x14ac:dyDescent="0.4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12">
        <f t="shared" si="60"/>
        <v>0.84930555555555554</v>
      </c>
      <c r="P984" s="13">
        <f t="shared" si="61"/>
        <v>81.533333333333331</v>
      </c>
      <c r="Q984" t="str" cm="1">
        <f t="array" ref="Q984:R984">_xlfn.TEXTSPLIT(N984,"/",,FALSE,,#N/A)</f>
        <v>film &amp; video</v>
      </c>
      <c r="R984" t="str">
        <v>documentary</v>
      </c>
      <c r="U984" s="6">
        <f t="shared" si="62"/>
        <v>40743.208333333336</v>
      </c>
      <c r="V984" s="6">
        <f t="shared" si="63"/>
        <v>40745.208333333336</v>
      </c>
    </row>
    <row r="985" spans="1:22" ht="19.5" x14ac:dyDescent="0.4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12">
        <f t="shared" si="60"/>
        <v>1.4593648334624323</v>
      </c>
      <c r="P985" s="13">
        <f t="shared" si="61"/>
        <v>80.999140154772135</v>
      </c>
      <c r="Q985" t="str" cm="1">
        <f t="array" ref="Q985:R985">_xlfn.TEXTSPLIT(N985,"/",,FALSE,,#N/A)</f>
        <v>film &amp; video</v>
      </c>
      <c r="R985" t="str">
        <v>documentary</v>
      </c>
      <c r="U985" s="6">
        <f t="shared" si="62"/>
        <v>43681.208333333328</v>
      </c>
      <c r="V985" s="6">
        <f t="shared" si="63"/>
        <v>43696.208333333328</v>
      </c>
    </row>
    <row r="986" spans="1:22" ht="33.75" x14ac:dyDescent="0.4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12">
        <f t="shared" si="60"/>
        <v>1.5246153846153847</v>
      </c>
      <c r="P986" s="13">
        <f t="shared" si="61"/>
        <v>26.010498687664043</v>
      </c>
      <c r="Q986" t="str" cm="1">
        <f t="array" ref="Q986:R986">_xlfn.TEXTSPLIT(N986,"/",,FALSE,,#N/A)</f>
        <v>theater</v>
      </c>
      <c r="R986" t="str">
        <v>plays</v>
      </c>
      <c r="U986" s="6">
        <f t="shared" si="62"/>
        <v>43716.208333333328</v>
      </c>
      <c r="V986" s="6">
        <f t="shared" si="63"/>
        <v>43742.208333333328</v>
      </c>
    </row>
    <row r="987" spans="1:22" ht="19.5" x14ac:dyDescent="0.4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12">
        <f t="shared" si="60"/>
        <v>0.67129542790152408</v>
      </c>
      <c r="P987" s="13">
        <f t="shared" si="61"/>
        <v>25.998410896708286</v>
      </c>
      <c r="Q987" t="str" cm="1">
        <f t="array" ref="Q987:R987">_xlfn.TEXTSPLIT(N987,"/",,FALSE,,#N/A)</f>
        <v>music</v>
      </c>
      <c r="R987" t="str">
        <v>rock</v>
      </c>
      <c r="U987" s="6">
        <f t="shared" si="62"/>
        <v>41614.25</v>
      </c>
      <c r="V987" s="6">
        <f t="shared" si="63"/>
        <v>41640.25</v>
      </c>
    </row>
    <row r="988" spans="1:22" ht="19.5" x14ac:dyDescent="0.4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12">
        <f t="shared" si="60"/>
        <v>0.40307692307692305</v>
      </c>
      <c r="P988" s="13">
        <f t="shared" si="61"/>
        <v>34.173913043478258</v>
      </c>
      <c r="Q988" t="str" cm="1">
        <f t="array" ref="Q988:R988">_xlfn.TEXTSPLIT(N988,"/",,FALSE,,#N/A)</f>
        <v>music</v>
      </c>
      <c r="R988" t="str">
        <v>rock</v>
      </c>
      <c r="U988" s="6">
        <f t="shared" si="62"/>
        <v>40638.208333333336</v>
      </c>
      <c r="V988" s="6">
        <f t="shared" si="63"/>
        <v>40652.208333333336</v>
      </c>
    </row>
    <row r="989" spans="1:22" ht="19.5" x14ac:dyDescent="0.4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12">
        <f t="shared" si="60"/>
        <v>2.1679032258064517</v>
      </c>
      <c r="P989" s="13">
        <f t="shared" si="61"/>
        <v>28.002083333333335</v>
      </c>
      <c r="Q989" t="str" cm="1">
        <f t="array" ref="Q989:R989">_xlfn.TEXTSPLIT(N989,"/",,FALSE,,#N/A)</f>
        <v>film &amp; video</v>
      </c>
      <c r="R989" t="str">
        <v>documentary</v>
      </c>
      <c r="U989" s="6">
        <f t="shared" si="62"/>
        <v>42852.208333333328</v>
      </c>
      <c r="V989" s="6">
        <f t="shared" si="63"/>
        <v>42866.208333333328</v>
      </c>
    </row>
    <row r="990" spans="1:22" ht="19.5" x14ac:dyDescent="0.4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12">
        <f t="shared" si="60"/>
        <v>0.52117021276595743</v>
      </c>
      <c r="P990" s="13">
        <f t="shared" si="61"/>
        <v>76.546875</v>
      </c>
      <c r="Q990" t="str" cm="1">
        <f t="array" ref="Q990:R990">_xlfn.TEXTSPLIT(N990,"/",,FALSE,,#N/A)</f>
        <v>publishing</v>
      </c>
      <c r="R990" t="str">
        <v>radio &amp; podcasts</v>
      </c>
      <c r="U990" s="6">
        <f t="shared" si="62"/>
        <v>42686.25</v>
      </c>
      <c r="V990" s="6">
        <f t="shared" si="63"/>
        <v>42707.25</v>
      </c>
    </row>
    <row r="991" spans="1:22" ht="19.5" x14ac:dyDescent="0.4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12">
        <f t="shared" si="60"/>
        <v>4.9958333333333336</v>
      </c>
      <c r="P991" s="13">
        <f t="shared" si="61"/>
        <v>53.053097345132741</v>
      </c>
      <c r="Q991" t="str" cm="1">
        <f t="array" ref="Q991:R991">_xlfn.TEXTSPLIT(N991,"/",,FALSE,,#N/A)</f>
        <v>publishing</v>
      </c>
      <c r="R991" t="str">
        <v>translations</v>
      </c>
      <c r="U991" s="6">
        <f t="shared" si="62"/>
        <v>43571.208333333328</v>
      </c>
      <c r="V991" s="6">
        <f t="shared" si="63"/>
        <v>43576.208333333328</v>
      </c>
    </row>
    <row r="992" spans="1:22" ht="19.5" x14ac:dyDescent="0.4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12">
        <f t="shared" si="60"/>
        <v>0.87679487179487181</v>
      </c>
      <c r="P992" s="13">
        <f t="shared" si="61"/>
        <v>106.859375</v>
      </c>
      <c r="Q992" t="str" cm="1">
        <f t="array" ref="Q992:R992">_xlfn.TEXTSPLIT(N992,"/",,FALSE,,#N/A)</f>
        <v>film &amp; video</v>
      </c>
      <c r="R992" t="str">
        <v>drama</v>
      </c>
      <c r="U992" s="6">
        <f t="shared" si="62"/>
        <v>42432.25</v>
      </c>
      <c r="V992" s="6">
        <f t="shared" si="63"/>
        <v>42454.208333333328</v>
      </c>
    </row>
    <row r="993" spans="1:22" ht="19.5" x14ac:dyDescent="0.4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12">
        <f t="shared" si="60"/>
        <v>1.131734693877551</v>
      </c>
      <c r="P993" s="13">
        <f t="shared" si="61"/>
        <v>46.020746887966808</v>
      </c>
      <c r="Q993" t="str" cm="1">
        <f t="array" ref="Q993:R993">_xlfn.TEXTSPLIT(N993,"/",,FALSE,,#N/A)</f>
        <v>music</v>
      </c>
      <c r="R993" t="str">
        <v>rock</v>
      </c>
      <c r="U993" s="6">
        <f t="shared" si="62"/>
        <v>41907.208333333336</v>
      </c>
      <c r="V993" s="6">
        <f t="shared" si="63"/>
        <v>41911.208333333336</v>
      </c>
    </row>
    <row r="994" spans="1:22" ht="19.5" x14ac:dyDescent="0.4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12">
        <f t="shared" si="60"/>
        <v>4.2654838709677421</v>
      </c>
      <c r="P994" s="13">
        <f t="shared" si="61"/>
        <v>100.17424242424242</v>
      </c>
      <c r="Q994" t="str" cm="1">
        <f t="array" ref="Q994:R994">_xlfn.TEXTSPLIT(N994,"/",,FALSE,,#N/A)</f>
        <v>film &amp; video</v>
      </c>
      <c r="R994" t="str">
        <v>drama</v>
      </c>
      <c r="U994" s="6">
        <f t="shared" si="62"/>
        <v>43227.208333333328</v>
      </c>
      <c r="V994" s="6">
        <f t="shared" si="63"/>
        <v>43241.208333333328</v>
      </c>
    </row>
    <row r="995" spans="1:22" ht="19.5" x14ac:dyDescent="0.4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12">
        <f t="shared" si="60"/>
        <v>0.77632653061224488</v>
      </c>
      <c r="P995" s="13">
        <f t="shared" si="61"/>
        <v>101.44</v>
      </c>
      <c r="Q995" t="str" cm="1">
        <f t="array" ref="Q995:R995">_xlfn.TEXTSPLIT(N995,"/",,FALSE,,#N/A)</f>
        <v>photography</v>
      </c>
      <c r="R995" t="str">
        <v>photography books</v>
      </c>
      <c r="U995" s="6">
        <f t="shared" si="62"/>
        <v>42362.25</v>
      </c>
      <c r="V995" s="6">
        <f t="shared" si="63"/>
        <v>42379.25</v>
      </c>
    </row>
    <row r="996" spans="1:22" ht="19.5" x14ac:dyDescent="0.4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12">
        <f t="shared" si="60"/>
        <v>0.52496810772501767</v>
      </c>
      <c r="P996" s="13">
        <f t="shared" si="61"/>
        <v>87.972684085510693</v>
      </c>
      <c r="Q996" t="str" cm="1">
        <f t="array" ref="Q996:R996">_xlfn.TEXTSPLIT(N996,"/",,FALSE,,#N/A)</f>
        <v>publishing</v>
      </c>
      <c r="R996" t="str">
        <v>translations</v>
      </c>
      <c r="U996" s="6">
        <f t="shared" si="62"/>
        <v>41929.208333333336</v>
      </c>
      <c r="V996" s="6">
        <f t="shared" si="63"/>
        <v>41935.208333333336</v>
      </c>
    </row>
    <row r="997" spans="1:22" ht="19.5" x14ac:dyDescent="0.4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12">
        <f t="shared" si="60"/>
        <v>1.5746762589928058</v>
      </c>
      <c r="P997" s="13">
        <f t="shared" si="61"/>
        <v>74.995594713656388</v>
      </c>
      <c r="Q997" t="str" cm="1">
        <f t="array" ref="Q997:R997">_xlfn.TEXTSPLIT(N997,"/",,FALSE,,#N/A)</f>
        <v>food</v>
      </c>
      <c r="R997" t="str">
        <v>food trucks</v>
      </c>
      <c r="U997" s="6">
        <f t="shared" si="62"/>
        <v>43408.208333333328</v>
      </c>
      <c r="V997" s="6">
        <f t="shared" si="63"/>
        <v>43437.25</v>
      </c>
    </row>
    <row r="998" spans="1:22" ht="33.75" x14ac:dyDescent="0.4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12">
        <f t="shared" si="60"/>
        <v>0.72939393939393937</v>
      </c>
      <c r="P998" s="13">
        <f t="shared" si="61"/>
        <v>42.982142857142854</v>
      </c>
      <c r="Q998" t="str" cm="1">
        <f t="array" ref="Q998:R998">_xlfn.TEXTSPLIT(N998,"/",,FALSE,,#N/A)</f>
        <v>theater</v>
      </c>
      <c r="R998" t="str">
        <v>plays</v>
      </c>
      <c r="U998" s="6">
        <f t="shared" si="62"/>
        <v>41276.25</v>
      </c>
      <c r="V998" s="6">
        <f t="shared" si="63"/>
        <v>41306.25</v>
      </c>
    </row>
    <row r="999" spans="1:22" ht="19.5" x14ac:dyDescent="0.4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12">
        <f t="shared" si="60"/>
        <v>0.60565789473684206</v>
      </c>
      <c r="P999" s="13">
        <f t="shared" si="61"/>
        <v>33.115107913669064</v>
      </c>
      <c r="Q999" t="str" cm="1">
        <f t="array" ref="Q999:R999">_xlfn.TEXTSPLIT(N999,"/",,FALSE,,#N/A)</f>
        <v>theater</v>
      </c>
      <c r="R999" t="str">
        <v>plays</v>
      </c>
      <c r="U999" s="6">
        <f t="shared" si="62"/>
        <v>41659.25</v>
      </c>
      <c r="V999" s="6">
        <f t="shared" si="63"/>
        <v>41664.25</v>
      </c>
    </row>
    <row r="1000" spans="1:22" ht="19.5" x14ac:dyDescent="0.4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12">
        <f t="shared" si="60"/>
        <v>0.5679129129129129</v>
      </c>
      <c r="P1000" s="13">
        <f t="shared" si="61"/>
        <v>101.13101604278074</v>
      </c>
      <c r="Q1000" t="str" cm="1">
        <f t="array" ref="Q1000:R1000">_xlfn.TEXTSPLIT(N1000,"/",,FALSE,,#N/A)</f>
        <v>music</v>
      </c>
      <c r="R1000" t="str">
        <v>indie rock</v>
      </c>
      <c r="U1000" s="6">
        <f t="shared" si="62"/>
        <v>40220.25</v>
      </c>
      <c r="V1000" s="6">
        <f t="shared" si="63"/>
        <v>40234.25</v>
      </c>
    </row>
    <row r="1001" spans="1:22" ht="19.5" x14ac:dyDescent="0.4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12">
        <f t="shared" si="60"/>
        <v>0.56542754275427543</v>
      </c>
      <c r="P1001" s="13">
        <f t="shared" si="61"/>
        <v>55.98841354723708</v>
      </c>
      <c r="Q1001" t="str" cm="1">
        <f t="array" ref="Q1001:R1001">_xlfn.TEXTSPLIT(N1001,"/",,FALSE,,#N/A)</f>
        <v>food</v>
      </c>
      <c r="R1001" t="str">
        <v>food trucks</v>
      </c>
      <c r="U1001" s="6">
        <f t="shared" si="62"/>
        <v>42550.208333333328</v>
      </c>
      <c r="V1001" s="6">
        <f t="shared" si="63"/>
        <v>42557.208333333328</v>
      </c>
    </row>
  </sheetData>
  <conditionalFormatting sqref="F1:F1048576">
    <cfRule type="containsText" dxfId="7" priority="10" operator="containsText" text="canceled">
      <formula>NOT(ISERROR(SEARCH("canceled",F1)))</formula>
    </cfRule>
    <cfRule type="containsText" dxfId="6" priority="11" operator="containsText" text="live">
      <formula>NOT(ISERROR(SEARCH("live",F1)))</formula>
    </cfRule>
    <cfRule type="containsText" dxfId="5" priority="12" operator="containsText" text="successful">
      <formula>NOT(ISERROR(SEARCH("successful",F1)))</formula>
    </cfRule>
    <cfRule type="containsText" dxfId="4" priority="13" operator="containsText" text="failed">
      <formula>NOT(ISERROR(SEARCH("failed",F1)))</formula>
    </cfRule>
  </conditionalFormatting>
  <conditionalFormatting sqref="O1:O1048576">
    <cfRule type="colorScale" priority="1">
      <colorScale>
        <cfvo type="min"/>
        <cfvo type="percentile" val="50"/>
        <cfvo type="max"/>
        <color rgb="FFC00000"/>
        <color rgb="FF00B050"/>
        <color theme="8" tint="-0.249977111117893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6C908-A49B-46EA-B511-8C3F53EFC9C7}">
  <dimension ref="A1:F14"/>
  <sheetViews>
    <sheetView workbookViewId="0">
      <selection activeCell="C3" sqref="C3"/>
    </sheetView>
  </sheetViews>
  <sheetFormatPr defaultRowHeight="15.75" x14ac:dyDescent="0.25"/>
  <cols>
    <col min="1" max="1" width="20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2.375" bestFit="1" customWidth="1"/>
    <col min="8" max="8" width="3.125" bestFit="1" customWidth="1"/>
    <col min="9" max="9" width="13.375" bestFit="1" customWidth="1"/>
    <col min="10" max="10" width="7.375" bestFit="1" customWidth="1"/>
    <col min="11" max="12" width="3.125" bestFit="1" customWidth="1"/>
    <col min="13" max="14" width="3.25" bestFit="1" customWidth="1"/>
    <col min="15" max="15" width="2.875" bestFit="1" customWidth="1"/>
    <col min="16" max="16" width="3.875" bestFit="1" customWidth="1"/>
    <col min="17" max="17" width="10.5" bestFit="1" customWidth="1"/>
    <col min="18" max="18" width="5.625" bestFit="1" customWidth="1"/>
    <col min="19" max="20" width="3.125" bestFit="1" customWidth="1"/>
    <col min="21" max="22" width="3.25" bestFit="1" customWidth="1"/>
    <col min="23" max="23" width="3.125" bestFit="1" customWidth="1"/>
    <col min="24" max="24" width="8.75" bestFit="1" customWidth="1"/>
    <col min="25" max="25" width="11" bestFit="1" customWidth="1"/>
    <col min="26" max="27" width="3.125" bestFit="1" customWidth="1"/>
    <col min="28" max="29" width="3.25" bestFit="1" customWidth="1"/>
    <col min="30" max="30" width="2.875" bestFit="1" customWidth="1"/>
    <col min="31" max="31" width="3.875" bestFit="1" customWidth="1"/>
    <col min="32" max="32" width="14.25" bestFit="1" customWidth="1"/>
    <col min="33" max="33" width="11" bestFit="1" customWidth="1"/>
  </cols>
  <sheetData>
    <row r="1" spans="1:6" x14ac:dyDescent="0.25">
      <c r="A1" s="4" t="s">
        <v>6</v>
      </c>
      <c r="B1" t="s">
        <v>2048</v>
      </c>
    </row>
    <row r="3" spans="1:6" x14ac:dyDescent="0.25">
      <c r="A3" s="4" t="s">
        <v>2047</v>
      </c>
      <c r="B3" s="4" t="s">
        <v>2046</v>
      </c>
    </row>
    <row r="4" spans="1:6" x14ac:dyDescent="0.25">
      <c r="A4" s="4" t="s">
        <v>2045</v>
      </c>
      <c r="B4" t="s">
        <v>74</v>
      </c>
      <c r="C4" t="s">
        <v>14</v>
      </c>
      <c r="D4" t="s">
        <v>47</v>
      </c>
      <c r="E4" t="s">
        <v>20</v>
      </c>
      <c r="F4" t="s">
        <v>2042</v>
      </c>
    </row>
    <row r="5" spans="1:6" x14ac:dyDescent="0.25">
      <c r="A5" s="5" t="s">
        <v>2033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5" t="s">
        <v>2034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5" t="s">
        <v>2035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5" t="s">
        <v>2036</v>
      </c>
      <c r="E8">
        <v>4</v>
      </c>
      <c r="F8">
        <v>4</v>
      </c>
    </row>
    <row r="9" spans="1:6" x14ac:dyDescent="0.25">
      <c r="A9" s="5" t="s">
        <v>2037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5" t="s">
        <v>2038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5" t="s">
        <v>2039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5" t="s">
        <v>2040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5" t="s">
        <v>2041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5" t="s">
        <v>2042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3A41-CAFB-480B-9591-B203EEEC10EE}">
  <dimension ref="A1:F29"/>
  <sheetViews>
    <sheetView workbookViewId="0"/>
  </sheetViews>
  <sheetFormatPr defaultRowHeight="15.75" x14ac:dyDescent="0.25"/>
  <cols>
    <col min="1" max="1" width="23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4" t="s">
        <v>6</v>
      </c>
      <c r="B1" t="s">
        <v>2048</v>
      </c>
    </row>
    <row r="3" spans="1:6" x14ac:dyDescent="0.25">
      <c r="A3" s="4" t="s">
        <v>2074</v>
      </c>
      <c r="B3" s="4" t="s">
        <v>2046</v>
      </c>
    </row>
    <row r="4" spans="1:6" x14ac:dyDescent="0.25">
      <c r="A4" s="4" t="s">
        <v>2049</v>
      </c>
      <c r="B4" t="s">
        <v>74</v>
      </c>
      <c r="C4" t="s">
        <v>14</v>
      </c>
      <c r="D4" t="s">
        <v>47</v>
      </c>
      <c r="E4" t="s">
        <v>20</v>
      </c>
      <c r="F4" t="s">
        <v>2042</v>
      </c>
    </row>
    <row r="5" spans="1:6" x14ac:dyDescent="0.25">
      <c r="A5" s="5" t="s">
        <v>2050</v>
      </c>
      <c r="B5">
        <v>1</v>
      </c>
      <c r="C5">
        <v>10</v>
      </c>
      <c r="D5">
        <v>2</v>
      </c>
      <c r="E5">
        <v>21</v>
      </c>
      <c r="F5">
        <v>34</v>
      </c>
    </row>
    <row r="6" spans="1:6" x14ac:dyDescent="0.25">
      <c r="A6" s="5" t="s">
        <v>2059</v>
      </c>
      <c r="E6">
        <v>4</v>
      </c>
      <c r="F6">
        <v>4</v>
      </c>
    </row>
    <row r="7" spans="1:6" x14ac:dyDescent="0.25">
      <c r="A7" s="5" t="s">
        <v>2051</v>
      </c>
      <c r="B7">
        <v>4</v>
      </c>
      <c r="C7">
        <v>21</v>
      </c>
      <c r="D7">
        <v>1</v>
      </c>
      <c r="E7">
        <v>34</v>
      </c>
      <c r="F7">
        <v>60</v>
      </c>
    </row>
    <row r="8" spans="1:6" x14ac:dyDescent="0.25">
      <c r="A8" s="5" t="s">
        <v>2052</v>
      </c>
      <c r="B8">
        <v>2</v>
      </c>
      <c r="C8">
        <v>12</v>
      </c>
      <c r="D8">
        <v>1</v>
      </c>
      <c r="E8">
        <v>22</v>
      </c>
      <c r="F8">
        <v>37</v>
      </c>
    </row>
    <row r="9" spans="1:6" x14ac:dyDescent="0.25">
      <c r="A9" s="5" t="s">
        <v>2060</v>
      </c>
      <c r="C9">
        <v>8</v>
      </c>
      <c r="E9">
        <v>10</v>
      </c>
      <c r="F9">
        <v>18</v>
      </c>
    </row>
    <row r="10" spans="1:6" x14ac:dyDescent="0.25">
      <c r="A10" s="5" t="s">
        <v>2067</v>
      </c>
      <c r="B10">
        <v>1</v>
      </c>
      <c r="C10">
        <v>7</v>
      </c>
      <c r="E10">
        <v>9</v>
      </c>
      <c r="F10">
        <v>17</v>
      </c>
    </row>
    <row r="11" spans="1:6" x14ac:dyDescent="0.25">
      <c r="A11" s="5" t="s">
        <v>2056</v>
      </c>
      <c r="B11">
        <v>4</v>
      </c>
      <c r="C11">
        <v>20</v>
      </c>
      <c r="E11">
        <v>22</v>
      </c>
      <c r="F11">
        <v>46</v>
      </c>
    </row>
    <row r="12" spans="1:6" x14ac:dyDescent="0.25">
      <c r="A12" s="5" t="s">
        <v>2061</v>
      </c>
      <c r="B12">
        <v>3</v>
      </c>
      <c r="C12">
        <v>19</v>
      </c>
      <c r="E12">
        <v>23</v>
      </c>
      <c r="F12">
        <v>45</v>
      </c>
    </row>
    <row r="13" spans="1:6" x14ac:dyDescent="0.25">
      <c r="A13" s="5" t="s">
        <v>2062</v>
      </c>
      <c r="B13">
        <v>1</v>
      </c>
      <c r="C13">
        <v>6</v>
      </c>
      <c r="E13">
        <v>10</v>
      </c>
      <c r="F13">
        <v>17</v>
      </c>
    </row>
    <row r="14" spans="1:6" x14ac:dyDescent="0.25">
      <c r="A14" s="5" t="s">
        <v>2063</v>
      </c>
      <c r="C14">
        <v>3</v>
      </c>
      <c r="E14">
        <v>4</v>
      </c>
      <c r="F14">
        <v>7</v>
      </c>
    </row>
    <row r="15" spans="1:6" x14ac:dyDescent="0.25">
      <c r="A15" s="5" t="s">
        <v>2057</v>
      </c>
      <c r="C15">
        <v>8</v>
      </c>
      <c r="D15">
        <v>1</v>
      </c>
      <c r="E15">
        <v>4</v>
      </c>
      <c r="F15">
        <v>13</v>
      </c>
    </row>
    <row r="16" spans="1:6" x14ac:dyDescent="0.25">
      <c r="A16" s="5" t="s">
        <v>2068</v>
      </c>
      <c r="B16">
        <v>1</v>
      </c>
      <c r="C16">
        <v>6</v>
      </c>
      <c r="D16">
        <v>1</v>
      </c>
      <c r="E16">
        <v>13</v>
      </c>
      <c r="F16">
        <v>21</v>
      </c>
    </row>
    <row r="17" spans="1:6" x14ac:dyDescent="0.25">
      <c r="A17" s="5" t="s">
        <v>2066</v>
      </c>
      <c r="B17">
        <v>4</v>
      </c>
      <c r="C17">
        <v>11</v>
      </c>
      <c r="D17">
        <v>1</v>
      </c>
      <c r="E17">
        <v>26</v>
      </c>
      <c r="F17">
        <v>42</v>
      </c>
    </row>
    <row r="18" spans="1:6" x14ac:dyDescent="0.25">
      <c r="A18" s="5" t="s">
        <v>2073</v>
      </c>
      <c r="B18">
        <v>23</v>
      </c>
      <c r="C18">
        <v>132</v>
      </c>
      <c r="D18">
        <v>2</v>
      </c>
      <c r="E18">
        <v>187</v>
      </c>
      <c r="F18">
        <v>344</v>
      </c>
    </row>
    <row r="19" spans="1:6" x14ac:dyDescent="0.25">
      <c r="A19" s="5" t="s">
        <v>2069</v>
      </c>
      <c r="C19">
        <v>4</v>
      </c>
      <c r="E19">
        <v>4</v>
      </c>
      <c r="F19">
        <v>8</v>
      </c>
    </row>
    <row r="20" spans="1:6" x14ac:dyDescent="0.25">
      <c r="A20" s="5" t="s">
        <v>2064</v>
      </c>
      <c r="B20">
        <v>6</v>
      </c>
      <c r="C20">
        <v>30</v>
      </c>
      <c r="E20">
        <v>49</v>
      </c>
      <c r="F20">
        <v>85</v>
      </c>
    </row>
    <row r="21" spans="1:6" x14ac:dyDescent="0.25">
      <c r="A21" s="5" t="s">
        <v>2053</v>
      </c>
      <c r="C21">
        <v>9</v>
      </c>
      <c r="E21">
        <v>5</v>
      </c>
      <c r="F21">
        <v>14</v>
      </c>
    </row>
    <row r="22" spans="1:6" x14ac:dyDescent="0.25">
      <c r="A22" s="5" t="s">
        <v>2054</v>
      </c>
      <c r="B22">
        <v>1</v>
      </c>
      <c r="C22">
        <v>5</v>
      </c>
      <c r="D22">
        <v>1</v>
      </c>
      <c r="E22">
        <v>9</v>
      </c>
      <c r="F22">
        <v>16</v>
      </c>
    </row>
    <row r="23" spans="1:6" x14ac:dyDescent="0.25">
      <c r="A23" s="5" t="s">
        <v>2055</v>
      </c>
      <c r="B23">
        <v>3</v>
      </c>
      <c r="C23">
        <v>3</v>
      </c>
      <c r="E23">
        <v>11</v>
      </c>
      <c r="F23">
        <v>17</v>
      </c>
    </row>
    <row r="24" spans="1:6" x14ac:dyDescent="0.25">
      <c r="A24" s="5" t="s">
        <v>2070</v>
      </c>
      <c r="C24">
        <v>7</v>
      </c>
      <c r="E24">
        <v>14</v>
      </c>
      <c r="F24">
        <v>21</v>
      </c>
    </row>
    <row r="25" spans="1:6" x14ac:dyDescent="0.25">
      <c r="A25" s="5" t="s">
        <v>2058</v>
      </c>
      <c r="B25">
        <v>1</v>
      </c>
      <c r="C25">
        <v>15</v>
      </c>
      <c r="D25">
        <v>2</v>
      </c>
      <c r="E25">
        <v>17</v>
      </c>
      <c r="F25">
        <v>35</v>
      </c>
    </row>
    <row r="26" spans="1:6" x14ac:dyDescent="0.25">
      <c r="A26" s="5" t="s">
        <v>2071</v>
      </c>
      <c r="C26">
        <v>16</v>
      </c>
      <c r="D26">
        <v>1</v>
      </c>
      <c r="E26">
        <v>28</v>
      </c>
      <c r="F26">
        <v>45</v>
      </c>
    </row>
    <row r="27" spans="1:6" x14ac:dyDescent="0.25">
      <c r="A27" s="5" t="s">
        <v>2072</v>
      </c>
      <c r="B27">
        <v>2</v>
      </c>
      <c r="C27">
        <v>12</v>
      </c>
      <c r="D27">
        <v>1</v>
      </c>
      <c r="E27">
        <v>36</v>
      </c>
      <c r="F27">
        <v>51</v>
      </c>
    </row>
    <row r="28" spans="1:6" x14ac:dyDescent="0.25">
      <c r="A28" s="5" t="s">
        <v>2065</v>
      </c>
      <c r="E28">
        <v>3</v>
      </c>
      <c r="F28">
        <v>3</v>
      </c>
    </row>
    <row r="29" spans="1:6" x14ac:dyDescent="0.25">
      <c r="A29" s="5" t="s">
        <v>2042</v>
      </c>
      <c r="B29">
        <v>57</v>
      </c>
      <c r="C29">
        <v>364</v>
      </c>
      <c r="D29">
        <v>14</v>
      </c>
      <c r="E29">
        <v>565</v>
      </c>
      <c r="F2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21E3-9F8B-4E7B-ACEB-0A5AE6BCEC25}">
  <dimension ref="A1:E18"/>
  <sheetViews>
    <sheetView workbookViewId="0">
      <selection activeCell="A4" sqref="A4"/>
    </sheetView>
  </sheetViews>
  <sheetFormatPr defaultRowHeight="15.75" x14ac:dyDescent="0.25"/>
  <cols>
    <col min="1" max="1" width="30.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  <col min="7" max="8" width="39.125" bestFit="1" customWidth="1"/>
    <col min="9" max="9" width="44.125" bestFit="1" customWidth="1"/>
    <col min="10" max="10" width="35.5" bestFit="1" customWidth="1"/>
    <col min="11" max="11" width="42" bestFit="1" customWidth="1"/>
    <col min="12" max="12" width="4.375" bestFit="1" customWidth="1"/>
    <col min="13" max="13" width="4" bestFit="1" customWidth="1"/>
    <col min="14" max="14" width="13.375" bestFit="1" customWidth="1"/>
    <col min="15" max="15" width="7.375" bestFit="1" customWidth="1"/>
    <col min="16" max="16" width="3.875" bestFit="1" customWidth="1"/>
    <col min="17" max="17" width="4.375" bestFit="1" customWidth="1"/>
    <col min="18" max="18" width="4" bestFit="1" customWidth="1"/>
    <col min="19" max="19" width="4.625" bestFit="1" customWidth="1"/>
    <col min="20" max="20" width="3.75" bestFit="1" customWidth="1"/>
    <col min="21" max="21" width="3.125" bestFit="1" customWidth="1"/>
    <col min="22" max="22" width="4.25" bestFit="1" customWidth="1"/>
    <col min="23" max="23" width="4" bestFit="1" customWidth="1"/>
    <col min="24" max="24" width="3.875" bestFit="1" customWidth="1"/>
    <col min="25" max="25" width="4.375" bestFit="1" customWidth="1"/>
    <col min="26" max="26" width="4" bestFit="1" customWidth="1"/>
    <col min="27" max="27" width="10.5" bestFit="1" customWidth="1"/>
    <col min="28" max="28" width="5.625" bestFit="1" customWidth="1"/>
    <col min="29" max="29" width="4" bestFit="1" customWidth="1"/>
    <col min="30" max="30" width="4.625" bestFit="1" customWidth="1"/>
    <col min="31" max="31" width="3.75" bestFit="1" customWidth="1"/>
    <col min="32" max="32" width="3.125" bestFit="1" customWidth="1"/>
    <col min="33" max="33" width="4.25" bestFit="1" customWidth="1"/>
    <col min="34" max="34" width="3.875" bestFit="1" customWidth="1"/>
    <col min="35" max="35" width="4.375" bestFit="1" customWidth="1"/>
    <col min="36" max="36" width="4" bestFit="1" customWidth="1"/>
    <col min="37" max="37" width="8.75" bestFit="1" customWidth="1"/>
    <col min="38" max="38" width="11" bestFit="1" customWidth="1"/>
    <col min="39" max="39" width="3.875" bestFit="1" customWidth="1"/>
    <col min="40" max="40" width="4.375" bestFit="1" customWidth="1"/>
    <col min="41" max="41" width="4" bestFit="1" customWidth="1"/>
    <col min="42" max="42" width="4.625" bestFit="1" customWidth="1"/>
    <col min="43" max="43" width="3.75" bestFit="1" customWidth="1"/>
    <col min="44" max="44" width="3.125" bestFit="1" customWidth="1"/>
    <col min="45" max="45" width="4.25" bestFit="1" customWidth="1"/>
    <col min="46" max="46" width="4" bestFit="1" customWidth="1"/>
    <col min="47" max="47" width="3.875" bestFit="1" customWidth="1"/>
    <col min="48" max="48" width="4.375" bestFit="1" customWidth="1"/>
    <col min="49" max="49" width="4" bestFit="1" customWidth="1"/>
    <col min="50" max="50" width="14.25" bestFit="1" customWidth="1"/>
    <col min="51" max="51" width="11" bestFit="1" customWidth="1"/>
  </cols>
  <sheetData>
    <row r="1" spans="1:5" x14ac:dyDescent="0.25">
      <c r="A1" s="4" t="s">
        <v>2031</v>
      </c>
      <c r="B1" t="s">
        <v>2048</v>
      </c>
    </row>
    <row r="2" spans="1:5" x14ac:dyDescent="0.25">
      <c r="A2" s="4" t="s">
        <v>2089</v>
      </c>
      <c r="B2" t="s">
        <v>2048</v>
      </c>
    </row>
    <row r="4" spans="1:5" x14ac:dyDescent="0.25">
      <c r="A4" s="4" t="s">
        <v>2090</v>
      </c>
      <c r="B4" s="4" t="s">
        <v>2046</v>
      </c>
    </row>
    <row r="5" spans="1:5" x14ac:dyDescent="0.25">
      <c r="A5" s="4" t="s">
        <v>2049</v>
      </c>
      <c r="B5" t="s">
        <v>74</v>
      </c>
      <c r="C5" t="s">
        <v>14</v>
      </c>
      <c r="D5" t="s">
        <v>20</v>
      </c>
      <c r="E5" t="s">
        <v>2042</v>
      </c>
    </row>
    <row r="6" spans="1:5" x14ac:dyDescent="0.25">
      <c r="A6" s="5" t="s">
        <v>2077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5" t="s">
        <v>2078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5" t="s">
        <v>2079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5" t="s">
        <v>2080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5" t="s">
        <v>2081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5" t="s">
        <v>2082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5" t="s">
        <v>2083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5" t="s">
        <v>2084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5" t="s">
        <v>2085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5" t="s">
        <v>2086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5" t="s">
        <v>2087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5" t="s">
        <v>2088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5" t="s">
        <v>2042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721B6-B838-4322-B50C-7A46357348C2}">
  <dimension ref="A1:H13"/>
  <sheetViews>
    <sheetView workbookViewId="0">
      <selection activeCell="F2" sqref="F2"/>
    </sheetView>
  </sheetViews>
  <sheetFormatPr defaultRowHeight="15.75" x14ac:dyDescent="0.25"/>
  <cols>
    <col min="2" max="2" width="17.25" bestFit="1" customWidth="1"/>
    <col min="3" max="3" width="13.5" bestFit="1" customWidth="1"/>
    <col min="4" max="4" width="16.625" bestFit="1" customWidth="1"/>
    <col min="5" max="5" width="12.625" bestFit="1" customWidth="1"/>
    <col min="6" max="6" width="19.875" bestFit="1" customWidth="1"/>
    <col min="7" max="7" width="16.125" bestFit="1" customWidth="1"/>
    <col min="8" max="8" width="19.375" bestFit="1" customWidth="1"/>
  </cols>
  <sheetData>
    <row r="1" spans="1:8" s="7" customFormat="1" x14ac:dyDescent="0.25">
      <c r="A1" s="7" t="s">
        <v>2091</v>
      </c>
      <c r="B1" s="7" t="s">
        <v>2092</v>
      </c>
      <c r="C1" s="7" t="s">
        <v>2093</v>
      </c>
      <c r="D1" s="7" t="s">
        <v>2094</v>
      </c>
      <c r="E1" s="7" t="s">
        <v>2095</v>
      </c>
      <c r="F1" s="7" t="s">
        <v>2096</v>
      </c>
      <c r="G1" s="7" t="s">
        <v>2097</v>
      </c>
      <c r="H1" s="7" t="s">
        <v>2098</v>
      </c>
    </row>
    <row r="2" spans="1:8" ht="31.5" x14ac:dyDescent="0.25">
      <c r="A2" s="8" t="s">
        <v>2099</v>
      </c>
      <c r="B2">
        <f>COUNTIFS(Crowdfunding!$F:$F,"successful",Crowdfunding!$D:$D,"&lt;1000")</f>
        <v>30</v>
      </c>
      <c r="C2">
        <f>COUNTIFS(Crowdfunding!$F:$F,"failed",Crowdfunding!$D:$D,"&lt;1000")</f>
        <v>20</v>
      </c>
      <c r="D2">
        <f>COUNTIFS(Crowdfunding!$F:$F,"canceled",Crowdfunding!$D:$D,"&lt;1000")</f>
        <v>1</v>
      </c>
      <c r="E2">
        <f>SUM(B2,C2,D2)</f>
        <v>51</v>
      </c>
      <c r="F2" s="9">
        <f>(B2/$E2)*100%</f>
        <v>0.58823529411764708</v>
      </c>
      <c r="G2" s="9">
        <f>(C2/$E2)*100%</f>
        <v>0.39215686274509803</v>
      </c>
      <c r="H2" s="9">
        <f>(D2/$E2)*100%</f>
        <v>1.9607843137254902E-2</v>
      </c>
    </row>
    <row r="3" spans="1:8" ht="31.5" x14ac:dyDescent="0.25">
      <c r="A3" s="8" t="s">
        <v>2100</v>
      </c>
      <c r="B3">
        <f>COUNTIFS(Crowdfunding!$F:$F,"successful",Crowdfunding!$D:$D,"&gt;=1000",Crowdfunding!$D:$D,"&lt;=4999")</f>
        <v>191</v>
      </c>
      <c r="C3">
        <f>COUNTIFS(Crowdfunding!$F:$F,"failed",Crowdfunding!$D:$D,"&gt;=1000",Crowdfunding!$D:$D,"&lt;=4999")</f>
        <v>38</v>
      </c>
      <c r="D3">
        <f>COUNTIFS(Crowdfunding!$F:$F,"canceled",Crowdfunding!$D:$D,"&gt;=1000",Crowdfunding!$D:$D,"&lt;=4999")</f>
        <v>2</v>
      </c>
      <c r="E3">
        <f t="shared" ref="E3:E13" si="0">SUM(B3,C3,D3)</f>
        <v>231</v>
      </c>
      <c r="F3" s="9">
        <f t="shared" ref="F3:F13" si="1">(B3/$E3)*100%</f>
        <v>0.82683982683982682</v>
      </c>
      <c r="G3" s="9">
        <f t="shared" ref="G3:G13" si="2">(C3/$E3)*100%</f>
        <v>0.16450216450216451</v>
      </c>
      <c r="H3" s="9">
        <f t="shared" ref="H3:H13" si="3">(D3/$E3)*100%</f>
        <v>8.658008658008658E-3</v>
      </c>
    </row>
    <row r="4" spans="1:8" ht="31.5" x14ac:dyDescent="0.25">
      <c r="A4" s="8" t="s">
        <v>2101</v>
      </c>
      <c r="B4">
        <f>COUNTIFS(Crowdfunding!$F:$F,"successful",Crowdfunding!$D:$D,"&gt;=5000",Crowdfunding!$D:$D,"&lt;=9999")</f>
        <v>164</v>
      </c>
      <c r="C4">
        <f>COUNTIFS(Crowdfunding!$F:$F,"failed",Crowdfunding!$D:$D,"&gt;=5000",Crowdfunding!$D:$D,"&lt;=9999")</f>
        <v>126</v>
      </c>
      <c r="D4">
        <f>COUNTIFS(Crowdfunding!$F:$F,"canceled",Crowdfunding!$D:$D,"&gt;=5000",Crowdfunding!$D:$D,"&lt;=9999")</f>
        <v>25</v>
      </c>
      <c r="E4">
        <f t="shared" si="0"/>
        <v>315</v>
      </c>
      <c r="F4" s="9">
        <f t="shared" si="1"/>
        <v>0.52063492063492067</v>
      </c>
      <c r="G4" s="9">
        <f t="shared" si="2"/>
        <v>0.4</v>
      </c>
      <c r="H4" s="9">
        <f t="shared" si="3"/>
        <v>7.9365079365079361E-2</v>
      </c>
    </row>
    <row r="5" spans="1:8" ht="31.5" x14ac:dyDescent="0.25">
      <c r="A5" s="8" t="s">
        <v>2102</v>
      </c>
      <c r="B5">
        <f>COUNTIFS(Crowdfunding!$F:$F,"successful",Crowdfunding!$D:$D,"&gt;=10000",Crowdfunding!$D:$D,"&lt;=14999")</f>
        <v>4</v>
      </c>
      <c r="C5">
        <f>COUNTIFS(Crowdfunding!$F:$F,"failed",Crowdfunding!$D:$D,"&gt;=10000",Crowdfunding!$D:$D,"&lt;=14999")</f>
        <v>5</v>
      </c>
      <c r="D5">
        <f>COUNTIFS(Crowdfunding!$F:$F,"canceled",Crowdfunding!$D:$D,"&gt;=10000",Crowdfunding!$D:$D,"&lt;=14999")</f>
        <v>0</v>
      </c>
      <c r="E5">
        <f t="shared" si="0"/>
        <v>9</v>
      </c>
      <c r="F5" s="9">
        <f t="shared" si="1"/>
        <v>0.44444444444444442</v>
      </c>
      <c r="G5" s="9">
        <f t="shared" si="2"/>
        <v>0.55555555555555558</v>
      </c>
      <c r="H5" s="9">
        <f t="shared" si="3"/>
        <v>0</v>
      </c>
    </row>
    <row r="6" spans="1:8" ht="31.5" x14ac:dyDescent="0.25">
      <c r="A6" s="8" t="s">
        <v>2103</v>
      </c>
      <c r="B6">
        <f>COUNTIFS(Crowdfunding!$F:$F,"successful",Crowdfunding!$D:$D,"&gt;=15000",Crowdfunding!$D:$D,"&lt;=19999")</f>
        <v>10</v>
      </c>
      <c r="C6">
        <f>COUNTIFS(Crowdfunding!$F:$F,"failed",Crowdfunding!$D:$D,"&gt;=15000",Crowdfunding!$D:$D,"&lt;=19999")</f>
        <v>0</v>
      </c>
      <c r="D6">
        <f>COUNTIFS(Crowdfunding!$F:$F,"canceled",Crowdfunding!$D:$D,"&gt;=15000",Crowdfunding!$D:$D,"&lt;=19999")</f>
        <v>0</v>
      </c>
      <c r="E6">
        <f t="shared" si="0"/>
        <v>10</v>
      </c>
      <c r="F6" s="9">
        <f t="shared" si="1"/>
        <v>1</v>
      </c>
      <c r="G6" s="9">
        <f t="shared" si="2"/>
        <v>0</v>
      </c>
      <c r="H6" s="9">
        <f t="shared" si="3"/>
        <v>0</v>
      </c>
    </row>
    <row r="7" spans="1:8" ht="31.5" x14ac:dyDescent="0.25">
      <c r="A7" s="8" t="s">
        <v>2104</v>
      </c>
      <c r="B7">
        <f>COUNTIFS(Crowdfunding!$F:$F,"successful",Crowdfunding!$D:$D,"&gt;=20000",Crowdfunding!$D:$D,"&lt;=24999")</f>
        <v>7</v>
      </c>
      <c r="C7">
        <f>COUNTIFS(Crowdfunding!$F:$F,"failed",Crowdfunding!$D:$D,"&gt;=20000",Crowdfunding!$D:$D,"&lt;=24999")</f>
        <v>0</v>
      </c>
      <c r="D7">
        <f>COUNTIFS(Crowdfunding!$F:$F,"canceled",Crowdfunding!$D:$D,"&gt;=20000",Crowdfunding!$D:$D,"&lt;=24999")</f>
        <v>0</v>
      </c>
      <c r="E7">
        <f t="shared" si="0"/>
        <v>7</v>
      </c>
      <c r="F7" s="9">
        <f t="shared" si="1"/>
        <v>1</v>
      </c>
      <c r="G7" s="9">
        <f t="shared" si="2"/>
        <v>0</v>
      </c>
      <c r="H7" s="9">
        <f t="shared" si="3"/>
        <v>0</v>
      </c>
    </row>
    <row r="8" spans="1:8" ht="31.5" x14ac:dyDescent="0.25">
      <c r="A8" s="8" t="s">
        <v>2105</v>
      </c>
      <c r="B8">
        <f>COUNTIFS(Crowdfunding!$F:$F,"successful",Crowdfunding!$D:$D,"&gt;=25000",Crowdfunding!$D:$D,"&lt;=29999")</f>
        <v>11</v>
      </c>
      <c r="C8">
        <f>COUNTIFS(Crowdfunding!$F:$F,"failed",Crowdfunding!$D:$D,"&gt;=25000",Crowdfunding!$D:$D,"&lt;=29999")</f>
        <v>3</v>
      </c>
      <c r="D8">
        <f>COUNTIFS(Crowdfunding!$F:$F,"canceled",Crowdfunding!$D:$D,"&gt;=25000",Crowdfunding!$D:$D,"&lt;=29999")</f>
        <v>0</v>
      </c>
      <c r="E8">
        <f t="shared" si="0"/>
        <v>14</v>
      </c>
      <c r="F8" s="9">
        <f t="shared" si="1"/>
        <v>0.7857142857142857</v>
      </c>
      <c r="G8" s="9">
        <f t="shared" si="2"/>
        <v>0.21428571428571427</v>
      </c>
      <c r="H8" s="9">
        <f t="shared" si="3"/>
        <v>0</v>
      </c>
    </row>
    <row r="9" spans="1:8" ht="31.5" x14ac:dyDescent="0.25">
      <c r="A9" s="8" t="s">
        <v>2106</v>
      </c>
      <c r="B9">
        <f>COUNTIFS(Crowdfunding!$F:$F,"successful",Crowdfunding!$D:$D,"&gt;=30000",Crowdfunding!$D:$D,"&lt;=34999")</f>
        <v>7</v>
      </c>
      <c r="C9">
        <f>COUNTIFS(Crowdfunding!$F:$F,"failed",Crowdfunding!$D:$D,"&gt;=30000",Crowdfunding!$D:$D,"&lt;=34999")</f>
        <v>0</v>
      </c>
      <c r="D9">
        <f>COUNTIFS(Crowdfunding!$F:$F,"canceled",Crowdfunding!$D:$D,"&gt;=30000",Crowdfunding!$D:$D,"&lt;=34999")</f>
        <v>0</v>
      </c>
      <c r="E9">
        <f t="shared" si="0"/>
        <v>7</v>
      </c>
      <c r="F9" s="9">
        <f t="shared" si="1"/>
        <v>1</v>
      </c>
      <c r="G9" s="9">
        <f t="shared" si="2"/>
        <v>0</v>
      </c>
      <c r="H9" s="9">
        <f t="shared" si="3"/>
        <v>0</v>
      </c>
    </row>
    <row r="10" spans="1:8" ht="31.5" x14ac:dyDescent="0.25">
      <c r="A10" s="8" t="s">
        <v>2107</v>
      </c>
      <c r="B10">
        <f>COUNTIFS(Crowdfunding!$F:$F,"successful",Crowdfunding!$D:$D,"&gt;=35000",Crowdfunding!$D:$D,"&lt;=39999")</f>
        <v>8</v>
      </c>
      <c r="C10">
        <f>COUNTIFS(Crowdfunding!$F:$F,"failed",Crowdfunding!$D:$D,"&gt;=35000",Crowdfunding!$D:$D,"&lt;=39999")</f>
        <v>3</v>
      </c>
      <c r="D10">
        <f>COUNTIFS(Crowdfunding!$F:$F,"canceled",Crowdfunding!$D:$D,"&gt;=35000",Crowdfunding!$D:$D,"&lt;=39999")</f>
        <v>1</v>
      </c>
      <c r="E10">
        <f t="shared" si="0"/>
        <v>12</v>
      </c>
      <c r="F10" s="9">
        <f t="shared" si="1"/>
        <v>0.66666666666666663</v>
      </c>
      <c r="G10" s="9">
        <f t="shared" si="2"/>
        <v>0.25</v>
      </c>
      <c r="H10" s="9">
        <f t="shared" si="3"/>
        <v>8.3333333333333329E-2</v>
      </c>
    </row>
    <row r="11" spans="1:8" ht="31.5" x14ac:dyDescent="0.25">
      <c r="A11" s="8" t="s">
        <v>2108</v>
      </c>
      <c r="B11">
        <f>COUNTIFS(Crowdfunding!$F:$F,"successful",Crowdfunding!$D:$D,"&gt;=40000",Crowdfunding!$D:$D,"&lt;=44999")</f>
        <v>11</v>
      </c>
      <c r="C11">
        <f>COUNTIFS(Crowdfunding!$F:$F,"failed",Crowdfunding!$D:$D,"&gt;=40000",Crowdfunding!$D:$D,"&lt;=44999")</f>
        <v>3</v>
      </c>
      <c r="D11">
        <f>COUNTIFS(Crowdfunding!$F:$F,"canceled",Crowdfunding!$D:$D,"&gt;=40000",Crowdfunding!$D:$D,"&lt;=44999")</f>
        <v>0</v>
      </c>
      <c r="E11">
        <f t="shared" si="0"/>
        <v>14</v>
      </c>
      <c r="F11" s="9">
        <f t="shared" si="1"/>
        <v>0.7857142857142857</v>
      </c>
      <c r="G11" s="9">
        <f t="shared" si="2"/>
        <v>0.21428571428571427</v>
      </c>
      <c r="H11" s="9">
        <f t="shared" si="3"/>
        <v>0</v>
      </c>
    </row>
    <row r="12" spans="1:8" ht="31.5" x14ac:dyDescent="0.25">
      <c r="A12" s="8" t="s">
        <v>2109</v>
      </c>
      <c r="B12">
        <f>COUNTIFS(Crowdfunding!$F:$F,"successful",Crowdfunding!$D:$D,"&gt;=45000",Crowdfunding!$D:$D,"&lt;=49999")</f>
        <v>8</v>
      </c>
      <c r="C12">
        <f>COUNTIFS(Crowdfunding!$F:$F,"failed",Crowdfunding!$D:$D,"&gt;=45000",Crowdfunding!$D:$D,"&lt;=49999")</f>
        <v>3</v>
      </c>
      <c r="D12">
        <f>COUNTIFS(Crowdfunding!$F:$F,"canceled",Crowdfunding!$D:$D,"&gt;=45000",Crowdfunding!$D:$D,"&lt;=49999")</f>
        <v>0</v>
      </c>
      <c r="E12">
        <f t="shared" si="0"/>
        <v>11</v>
      </c>
      <c r="F12" s="9">
        <f t="shared" si="1"/>
        <v>0.72727272727272729</v>
      </c>
      <c r="G12" s="9">
        <f t="shared" si="2"/>
        <v>0.27272727272727271</v>
      </c>
      <c r="H12" s="9">
        <f t="shared" si="3"/>
        <v>0</v>
      </c>
    </row>
    <row r="13" spans="1:8" ht="63" x14ac:dyDescent="0.25">
      <c r="A13" s="8" t="s">
        <v>2110</v>
      </c>
      <c r="B13">
        <f>COUNTIFS(Crowdfunding!$F:$F,"successful",Crowdfunding!$D:$D,"&gt;=50000")</f>
        <v>114</v>
      </c>
      <c r="C13">
        <f>COUNTIFS(Crowdfunding!$F:$F,"failed",Crowdfunding!$D:$D,"&gt;=50000")</f>
        <v>163</v>
      </c>
      <c r="D13">
        <f>COUNTIFS(Crowdfunding!$F:$F,"canceled",Crowdfunding!$D:$D,"&gt;=50000")</f>
        <v>28</v>
      </c>
      <c r="E13">
        <f t="shared" si="0"/>
        <v>305</v>
      </c>
      <c r="F13" s="9">
        <f t="shared" si="1"/>
        <v>0.3737704918032787</v>
      </c>
      <c r="G13" s="9">
        <f t="shared" si="2"/>
        <v>0.53442622950819674</v>
      </c>
      <c r="H13" s="9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C05E-DF6F-4F07-9B39-2BCB88A2C589}">
  <dimension ref="A1:E18"/>
  <sheetViews>
    <sheetView workbookViewId="0">
      <selection activeCell="G20" sqref="G20"/>
    </sheetView>
  </sheetViews>
  <sheetFormatPr defaultRowHeight="15.75" x14ac:dyDescent="0.25"/>
  <cols>
    <col min="1" max="1" width="17.75" bestFit="1" customWidth="1"/>
    <col min="2" max="2" width="11.25" customWidth="1"/>
    <col min="3" max="3" width="13.125" bestFit="1" customWidth="1"/>
    <col min="5" max="5" width="13.125" bestFit="1" customWidth="1"/>
  </cols>
  <sheetData>
    <row r="1" spans="1:5" s="7" customFormat="1" x14ac:dyDescent="0.25">
      <c r="A1" s="7" t="s">
        <v>2044</v>
      </c>
      <c r="B1" s="7" t="s">
        <v>2111</v>
      </c>
      <c r="C1" s="7" t="s">
        <v>2112</v>
      </c>
      <c r="D1" s="7" t="s">
        <v>2111</v>
      </c>
      <c r="E1" s="7" t="s">
        <v>2112</v>
      </c>
    </row>
    <row r="2" spans="1:5" x14ac:dyDescent="0.25">
      <c r="A2" t="s">
        <v>2113</v>
      </c>
      <c r="B2" s="14" t="s">
        <v>2122</v>
      </c>
      <c r="C2">
        <f>COUNTIFS(Crowdfunding!$F:$F, "successful",Crowdfunding!$Q:$Q,"film &amp; video")</f>
        <v>102</v>
      </c>
      <c r="D2" s="15" t="s">
        <v>2123</v>
      </c>
      <c r="E2">
        <f>COUNTIFS(Crowdfunding!$F:$F, "failed",Crowdfunding!$Q:$Q,"film &amp; video")</f>
        <v>60</v>
      </c>
    </row>
    <row r="3" spans="1:5" x14ac:dyDescent="0.25">
      <c r="A3" t="s">
        <v>2114</v>
      </c>
      <c r="B3" s="14" t="s">
        <v>2122</v>
      </c>
      <c r="C3">
        <f>COUNTIFS(Crowdfunding!$F:$F, "successful",Crowdfunding!$Q:$Q,"food")</f>
        <v>22</v>
      </c>
      <c r="D3" s="15" t="s">
        <v>2123</v>
      </c>
      <c r="E3">
        <f>COUNTIFS(Crowdfunding!$F:$F, "failed",Crowdfunding!$Q:$Q,"food")</f>
        <v>20</v>
      </c>
    </row>
    <row r="4" spans="1:5" x14ac:dyDescent="0.25">
      <c r="A4" t="s">
        <v>2115</v>
      </c>
      <c r="B4" s="14" t="s">
        <v>2122</v>
      </c>
      <c r="C4">
        <f>COUNTIFS(Crowdfunding!$F:$F, "successful",Crowdfunding!$Q:$Q,"games")</f>
        <v>21</v>
      </c>
      <c r="D4" s="15" t="s">
        <v>2123</v>
      </c>
      <c r="E4">
        <f>COUNTIFS(Crowdfunding!$F:$F, "failed",Crowdfunding!$Q:$Q,"games")</f>
        <v>23</v>
      </c>
    </row>
    <row r="5" spans="1:5" x14ac:dyDescent="0.25">
      <c r="A5" t="s">
        <v>2116</v>
      </c>
      <c r="B5" s="14" t="s">
        <v>2122</v>
      </c>
      <c r="C5">
        <f>COUNTIFS(Crowdfunding!$F:$F, "successful",Crowdfunding!$Q:$Q,"journalism")</f>
        <v>4</v>
      </c>
      <c r="D5" s="15" t="s">
        <v>2123</v>
      </c>
      <c r="E5">
        <f>COUNTIFS(Crowdfunding!$F:$F, "failed",Crowdfunding!$Q:$Q,"journalism")</f>
        <v>0</v>
      </c>
    </row>
    <row r="6" spans="1:5" x14ac:dyDescent="0.25">
      <c r="A6" t="s">
        <v>2117</v>
      </c>
      <c r="B6" s="14" t="s">
        <v>2122</v>
      </c>
      <c r="C6">
        <f>COUNTIFS(Crowdfunding!$F:$F, "successful",Crowdfunding!$Q:$Q,"music")</f>
        <v>99</v>
      </c>
      <c r="D6" s="15" t="s">
        <v>2123</v>
      </c>
      <c r="E6">
        <f>COUNTIFS(Crowdfunding!$F:$F, "failed",Crowdfunding!$Q:$Q,"music")</f>
        <v>66</v>
      </c>
    </row>
    <row r="7" spans="1:5" x14ac:dyDescent="0.25">
      <c r="A7" t="s">
        <v>2118</v>
      </c>
      <c r="B7" s="14" t="s">
        <v>2122</v>
      </c>
      <c r="C7">
        <f>COUNTIFS(Crowdfunding!$F:$F, "successful",Crowdfunding!$Q:$Q,"photography")</f>
        <v>26</v>
      </c>
      <c r="D7" s="15" t="s">
        <v>2123</v>
      </c>
      <c r="E7">
        <f>COUNTIFS(Crowdfunding!$F:$F, "failed",Crowdfunding!$Q:$Q,"photography")</f>
        <v>11</v>
      </c>
    </row>
    <row r="8" spans="1:5" x14ac:dyDescent="0.25">
      <c r="A8" t="s">
        <v>2119</v>
      </c>
      <c r="B8" s="14" t="s">
        <v>2122</v>
      </c>
      <c r="C8">
        <f>COUNTIFS(Crowdfunding!$F:$F, "successful",Crowdfunding!$Q:$Q,"publishing")</f>
        <v>40</v>
      </c>
      <c r="D8" s="15" t="s">
        <v>2123</v>
      </c>
      <c r="E8">
        <f>COUNTIFS(Crowdfunding!$F:$F, "failed",Crowdfunding!$Q:$Q,"publishing")</f>
        <v>24</v>
      </c>
    </row>
    <row r="9" spans="1:5" x14ac:dyDescent="0.25">
      <c r="A9" t="s">
        <v>2120</v>
      </c>
      <c r="B9" s="14" t="s">
        <v>2122</v>
      </c>
      <c r="C9">
        <f>COUNTIFS(Crowdfunding!$F:$F, "successful",Crowdfunding!$Q:$Q,"technology")</f>
        <v>64</v>
      </c>
      <c r="D9" s="15" t="s">
        <v>2123</v>
      </c>
      <c r="E9">
        <f>COUNTIFS(Crowdfunding!$F:$F, "failed",Crowdfunding!$Q:$Q,"technology")</f>
        <v>28</v>
      </c>
    </row>
    <row r="10" spans="1:5" x14ac:dyDescent="0.25">
      <c r="A10" t="s">
        <v>2121</v>
      </c>
      <c r="B10" s="14" t="s">
        <v>2122</v>
      </c>
      <c r="C10">
        <f>COUNTIFS(Crowdfunding!$F:$F, "successful",Crowdfunding!$Q:$Q,"theater")</f>
        <v>187</v>
      </c>
      <c r="D10" s="15" t="s">
        <v>2123</v>
      </c>
      <c r="E10">
        <f>COUNTIFS(Crowdfunding!$F:$F, "failed",Crowdfunding!$Q:$Q,"theater")</f>
        <v>132</v>
      </c>
    </row>
    <row r="13" spans="1:5" x14ac:dyDescent="0.25">
      <c r="A13" s="7" t="s">
        <v>2124</v>
      </c>
      <c r="B13" s="7"/>
      <c r="C13">
        <f>SUM(C2:C10)/9</f>
        <v>62.777777777777779</v>
      </c>
      <c r="E13">
        <f>SUM(E2:E10)/9</f>
        <v>40.444444444444443</v>
      </c>
    </row>
    <row r="14" spans="1:5" x14ac:dyDescent="0.25">
      <c r="A14" s="7" t="s">
        <v>2125</v>
      </c>
      <c r="B14" s="7"/>
      <c r="C14">
        <f>MEDIAN(C2:C10)</f>
        <v>40</v>
      </c>
      <c r="E14">
        <f>MEDIAN(E2:E10)</f>
        <v>24</v>
      </c>
    </row>
    <row r="15" spans="1:5" x14ac:dyDescent="0.25">
      <c r="A15" s="7" t="s">
        <v>2126</v>
      </c>
      <c r="B15" s="7"/>
      <c r="C15">
        <f>MIN(C2:C10)</f>
        <v>4</v>
      </c>
      <c r="E15">
        <f>MIN(E2:E10)</f>
        <v>0</v>
      </c>
    </row>
    <row r="16" spans="1:5" x14ac:dyDescent="0.25">
      <c r="A16" s="7" t="s">
        <v>2127</v>
      </c>
      <c r="B16" s="7"/>
      <c r="C16">
        <f>MAX(C2:C10)</f>
        <v>187</v>
      </c>
      <c r="E16">
        <f>MAX(E2:E10)</f>
        <v>132</v>
      </c>
    </row>
    <row r="17" spans="1:5" x14ac:dyDescent="0.25">
      <c r="A17" s="7" t="s">
        <v>2128</v>
      </c>
      <c r="B17" s="7"/>
      <c r="C17">
        <f>VAR(C2:C10)</f>
        <v>3377.1944444444443</v>
      </c>
      <c r="E17">
        <f>VAR(E2:E10)</f>
        <v>1633.5277777777778</v>
      </c>
    </row>
    <row r="18" spans="1:5" x14ac:dyDescent="0.25">
      <c r="A18" s="7" t="s">
        <v>2129</v>
      </c>
      <c r="B18" s="7"/>
      <c r="C18">
        <f>STDEV(C2:C10)</f>
        <v>58.113633894676077</v>
      </c>
      <c r="E18">
        <f>STDEV(E2:E10)</f>
        <v>40.416924397803676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 Breakdown</vt:lpstr>
      <vt:lpstr>Sub-Category Breakdown</vt:lpstr>
      <vt:lpstr>Date Created Breakdown</vt:lpstr>
      <vt:lpstr>Crowdfunding Goal Analysis</vt:lpstr>
      <vt:lpstr>Backers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Adrian Dayrit</cp:lastModifiedBy>
  <dcterms:created xsi:type="dcterms:W3CDTF">2021-09-29T18:52:28Z</dcterms:created>
  <dcterms:modified xsi:type="dcterms:W3CDTF">2023-10-17T19:25:49Z</dcterms:modified>
</cp:coreProperties>
</file>