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àctica 1" sheetId="1" r:id="rId4"/>
    <sheet state="visible" name="Pràctica 2" sheetId="2" r:id="rId5"/>
    <sheet state="visible" name="Hoja 4" sheetId="3" r:id="rId6"/>
    <sheet state="visible" name="Pràctica 3" sheetId="4" r:id="rId7"/>
    <sheet state="visible" name="Pràctica 4" sheetId="5" r:id="rId8"/>
  </sheets>
  <definedNames/>
  <calcPr/>
</workbook>
</file>

<file path=xl/sharedStrings.xml><?xml version="1.0" encoding="utf-8"?>
<sst xmlns="http://schemas.openxmlformats.org/spreadsheetml/2006/main" count="330" uniqueCount="164">
  <si>
    <t>1a: Corba característica</t>
  </si>
  <si>
    <t>1b: Temps de resolució</t>
  </si>
  <si>
    <t>Mesura de la taxa de fons</t>
  </si>
  <si>
    <t>Taula 1</t>
  </si>
  <si>
    <t>nº mesura</t>
  </si>
  <si>
    <t>temps (s)</t>
  </si>
  <si>
    <t>Comptes N</t>
  </si>
  <si>
    <t>u N</t>
  </si>
  <si>
    <t>Taxa comptes n</t>
  </si>
  <si>
    <t>u n</t>
  </si>
  <si>
    <t>Tensió (V)</t>
  </si>
  <si>
    <t>Mostra</t>
  </si>
  <si>
    <t>Comptes M</t>
  </si>
  <si>
    <t>u M</t>
  </si>
  <si>
    <t>Taxa comptes m</t>
  </si>
  <si>
    <t>u m</t>
  </si>
  <si>
    <t>fons (b)</t>
  </si>
  <si>
    <t>Mitja</t>
  </si>
  <si>
    <t>-</t>
  </si>
  <si>
    <t>voltatge a 795</t>
  </si>
  <si>
    <t>voltatge 840</t>
  </si>
  <si>
    <t>Temps de resolució</t>
  </si>
  <si>
    <t>Paràmetres de Plateau</t>
  </si>
  <si>
    <t>X</t>
  </si>
  <si>
    <t>u X</t>
  </si>
  <si>
    <t xml:space="preserve">Y </t>
  </si>
  <si>
    <t>u Y</t>
  </si>
  <si>
    <t>Z</t>
  </si>
  <si>
    <t>u Z</t>
  </si>
  <si>
    <t>Tensió llindar</t>
  </si>
  <si>
    <t>Vs</t>
  </si>
  <si>
    <t>V2</t>
  </si>
  <si>
    <t>V1</t>
  </si>
  <si>
    <t>tau</t>
  </si>
  <si>
    <t>u tau</t>
  </si>
  <si>
    <t>tau menyspreant mb</t>
  </si>
  <si>
    <t>u tau menyspreant mb</t>
  </si>
  <si>
    <t>Longitud</t>
  </si>
  <si>
    <t>V2 - V1</t>
  </si>
  <si>
    <t>Punt mig (tensió de treball)</t>
  </si>
  <si>
    <t>Vm</t>
  </si>
  <si>
    <t>uP</t>
  </si>
  <si>
    <t>Pendent (per a 100V)</t>
  </si>
  <si>
    <t>P</t>
  </si>
  <si>
    <t>a</t>
  </si>
  <si>
    <t>b</t>
  </si>
  <si>
    <t>c</t>
  </si>
  <si>
    <t>d</t>
  </si>
  <si>
    <t>2a: Factor Geomètric</t>
  </si>
  <si>
    <t>nº pis</t>
  </si>
  <si>
    <t>distancia d (cm)</t>
  </si>
  <si>
    <t>Distancia D (cm)</t>
  </si>
  <si>
    <t>m tau</t>
  </si>
  <si>
    <t>1/d^2</t>
  </si>
  <si>
    <t>u 1/d^2</t>
  </si>
  <si>
    <t>2Gp</t>
  </si>
  <si>
    <t>u 2Gp</t>
  </si>
  <si>
    <t>2G</t>
  </si>
  <si>
    <t>u2G</t>
  </si>
  <si>
    <t>incertesa u</t>
  </si>
  <si>
    <t>radi tub Geiger-Müller:</t>
  </si>
  <si>
    <t>a (cm)</t>
  </si>
  <si>
    <t>radi de la font:</t>
  </si>
  <si>
    <t>s (cm)</t>
  </si>
  <si>
    <t>temps mort detector:</t>
  </si>
  <si>
    <t>tau (s)</t>
  </si>
  <si>
    <t>Taxa de fons:</t>
  </si>
  <si>
    <t>n fons</t>
  </si>
  <si>
    <t xml:space="preserve">2b: </t>
  </si>
  <si>
    <t>Mesura sense filtre</t>
  </si>
  <si>
    <t>Baix</t>
  </si>
  <si>
    <t>Mesura amb filtre</t>
  </si>
  <si>
    <t>Nostre</t>
  </si>
  <si>
    <t>filtre 18</t>
  </si>
  <si>
    <t>Dalt</t>
  </si>
  <si>
    <t>Percdentatge</t>
  </si>
  <si>
    <t>Determinació de l'eficiencia absoluta</t>
  </si>
  <si>
    <t>Determinació de l'eficiencia intrínseca</t>
  </si>
  <si>
    <t>Mode d'emissió</t>
  </si>
  <si>
    <t>Energia (keV)</t>
  </si>
  <si>
    <t>Intensitat absoluta (%)</t>
  </si>
  <si>
    <t>Taxa d'emissió</t>
  </si>
  <si>
    <t>e</t>
  </si>
  <si>
    <t>~ 4</t>
  </si>
  <si>
    <t>~ 30</t>
  </si>
  <si>
    <t>655.65</t>
  </si>
  <si>
    <t>660.35</t>
  </si>
  <si>
    <t>~ 5</t>
  </si>
  <si>
    <t>~ 35</t>
  </si>
  <si>
    <t>3a: Absorció</t>
  </si>
  <si>
    <t>3b: Retrodispersió</t>
  </si>
  <si>
    <t>(correcció temps mort)</t>
  </si>
  <si>
    <t>Nº filtre</t>
  </si>
  <si>
    <t>Gruix Al (mg/cm^2)</t>
  </si>
  <si>
    <t>Gruix total (mg/cm^2)</t>
  </si>
  <si>
    <t>Taxa comptes experimental m</t>
  </si>
  <si>
    <t>Taxa comptes netes</t>
  </si>
  <si>
    <t>u netes</t>
  </si>
  <si>
    <t>ln</t>
  </si>
  <si>
    <t>u ln</t>
  </si>
  <si>
    <t>Temps (s)</t>
  </si>
  <si>
    <t>fr</t>
  </si>
  <si>
    <t>u fr</t>
  </si>
  <si>
    <t>(mg/cm^2)</t>
  </si>
  <si>
    <t>gruix aire</t>
  </si>
  <si>
    <t>gruix finestra</t>
  </si>
  <si>
    <t>gruix plastic</t>
  </si>
  <si>
    <t>d_0</t>
  </si>
  <si>
    <t>Voltatge (V)</t>
  </si>
  <si>
    <t>Em (MeV)</t>
  </si>
  <si>
    <t>https://www.nndc.bnl.gov/nudat3/dec_searchi.jsp</t>
  </si>
  <si>
    <t>rang apropiat</t>
  </si>
  <si>
    <t>g/cm^2</t>
  </si>
  <si>
    <t>Feather</t>
  </si>
  <si>
    <t>no</t>
  </si>
  <si>
    <t>Flammersfeld</t>
  </si>
  <si>
    <t>si</t>
  </si>
  <si>
    <t>katz n</t>
  </si>
  <si>
    <t>mg/cm^2</t>
  </si>
  <si>
    <t>Katz</t>
  </si>
  <si>
    <t>Penfold</t>
  </si>
  <si>
    <t>Material</t>
  </si>
  <si>
    <t>Massa atòmica M (uma)</t>
  </si>
  <si>
    <t>\sqrt</t>
  </si>
  <si>
    <t>Alumini</t>
  </si>
  <si>
    <t>Ferro</t>
  </si>
  <si>
    <t>Coure</t>
  </si>
  <si>
    <t>Zinc</t>
  </si>
  <si>
    <t>Cadmi</t>
  </si>
  <si>
    <t>Plom</t>
  </si>
  <si>
    <t>Mesura de la taxa de fons retrodispersió</t>
  </si>
  <si>
    <t>Mesura de la taxa de fons absorció</t>
  </si>
  <si>
    <t>Calibratge en energia</t>
  </si>
  <si>
    <t>Resolució en energia</t>
  </si>
  <si>
    <t>Fotopics</t>
  </si>
  <si>
    <t>Bora compton</t>
  </si>
  <si>
    <t>Retrodispersió</t>
  </si>
  <si>
    <t>Font</t>
  </si>
  <si>
    <t>Canal</t>
  </si>
  <si>
    <t>u Canal</t>
  </si>
  <si>
    <t>u Energia (keV)</t>
  </si>
  <si>
    <t>Energia teòrica (keV)</t>
  </si>
  <si>
    <t>u Energia teòrica (keV)</t>
  </si>
  <si>
    <t>FWHM</t>
  </si>
  <si>
    <t>E (canal)</t>
  </si>
  <si>
    <t>R</t>
  </si>
  <si>
    <t>R (percentatge)</t>
  </si>
  <si>
    <t>Na-22</t>
  </si>
  <si>
    <t>Co-60</t>
  </si>
  <si>
    <t>no es veu</t>
  </si>
  <si>
    <t>Ba-133</t>
  </si>
  <si>
    <t>Cs-137</t>
  </si>
  <si>
    <t>Font Problema</t>
  </si>
  <si>
    <t>fotopic</t>
  </si>
  <si>
    <t>Promig</t>
  </si>
  <si>
    <t>Problema</t>
  </si>
  <si>
    <t>Recta de regressió (python)</t>
  </si>
  <si>
    <t>y = A + Bx</t>
  </si>
  <si>
    <t>y = energia</t>
  </si>
  <si>
    <t>x = canal</t>
  </si>
  <si>
    <t>A</t>
  </si>
  <si>
    <t>u A</t>
  </si>
  <si>
    <t>B</t>
  </si>
  <si>
    <t>u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</si>
</sst>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0.0"/>
    <numFmt numFmtId="165" formatCode="0.000"/>
    <numFmt numFmtId="166" formatCode="0.0000000"/>
    <numFmt numFmtId="167" formatCode="d.m"/>
    <numFmt numFmtId="168" formatCode="0.0000"/>
    <numFmt numFmtId="169" formatCode="0.0%"/>
    <numFmt numFmtId="170" formatCode="#,##0.000"/>
  </numFmts>
  <fonts count="13">
    <font>
      <sz val="10.0"/>
      <color rgb="FF000000"/>
      <name val="Arial"/>
      <scheme val="minor"/>
    </font>
    <font>
      <sz val="14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1155CC"/>
      <name val="Inconsolata"/>
    </font>
    <font>
      <color theme="1"/>
      <name val="Sans-serif"/>
    </font>
    <font>
      <color theme="1"/>
      <name val="Arial"/>
    </font>
    <font>
      <b/>
      <sz val="14.0"/>
      <color theme="1"/>
      <name val="Arial"/>
      <scheme val="minor"/>
    </font>
    <font>
      <b/>
      <sz val="14.0"/>
      <color theme="1"/>
      <name val="Arial"/>
    </font>
    <font>
      <b/>
      <color theme="1"/>
      <name val="Arial"/>
    </font>
    <font>
      <color rgb="FF000000"/>
      <name val="Arial"/>
    </font>
    <font>
      <u/>
      <color rgb="FF0000FF"/>
    </font>
    <font>
      <sz val="10.0"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</fills>
  <borders count="7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2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4" fontId="2" numFmtId="0" xfId="0" applyAlignment="1" applyFill="1" applyFont="1">
      <alignment horizontal="center" readingOrder="0" vertical="center"/>
    </xf>
    <xf borderId="0" fillId="5" fontId="2" numFmtId="0" xfId="0" applyAlignment="1" applyFill="1" applyFont="1">
      <alignment horizontal="center" readingOrder="0" vertical="center"/>
    </xf>
    <xf borderId="0" fillId="6" fontId="3" numFmtId="0" xfId="0" applyAlignment="1" applyFill="1" applyFont="1">
      <alignment horizontal="center" readingOrder="0" vertical="center"/>
    </xf>
    <xf borderId="0" fillId="6" fontId="3" numFmtId="164" xfId="0" applyAlignment="1" applyFont="1" applyNumberFormat="1">
      <alignment horizontal="center" vertical="center"/>
    </xf>
    <xf borderId="0" fillId="6" fontId="3" numFmtId="165" xfId="0" applyAlignment="1" applyFont="1" applyNumberFormat="1">
      <alignment horizontal="center" vertical="center"/>
    </xf>
    <xf borderId="0" fillId="6" fontId="3" numFmtId="165" xfId="0" applyAlignment="1" applyFont="1" applyNumberFormat="1">
      <alignment horizontal="center" readingOrder="0" vertical="center"/>
    </xf>
    <xf borderId="0" fillId="6" fontId="3" numFmtId="0" xfId="0" applyAlignment="1" applyFont="1">
      <alignment horizontal="center" vertical="center"/>
    </xf>
    <xf borderId="0" fillId="5" fontId="3" numFmtId="0" xfId="0" applyAlignment="1" applyFont="1">
      <alignment horizontal="center" readingOrder="0" vertical="center"/>
    </xf>
    <xf borderId="0" fillId="6" fontId="3" numFmtId="1" xfId="0" applyAlignment="1" applyFont="1" applyNumberFormat="1">
      <alignment horizontal="center" vertical="center"/>
    </xf>
    <xf borderId="0" fillId="6" fontId="3" numFmtId="2" xfId="0" applyAlignment="1" applyFont="1" applyNumberFormat="1">
      <alignment horizontal="center" vertical="center"/>
    </xf>
    <xf borderId="0" fillId="7" fontId="3" numFmtId="0" xfId="0" applyAlignment="1" applyFill="1" applyFont="1">
      <alignment horizontal="center" readingOrder="0" vertical="center"/>
    </xf>
    <xf borderId="0" fillId="7" fontId="3" numFmtId="1" xfId="0" applyAlignment="1" applyFont="1" applyNumberFormat="1">
      <alignment horizontal="center" vertical="center"/>
    </xf>
    <xf borderId="0" fillId="7" fontId="3" numFmtId="2" xfId="0" applyAlignment="1" applyFont="1" applyNumberFormat="1">
      <alignment horizontal="center" vertical="center"/>
    </xf>
    <xf borderId="0" fillId="0" fontId="3" numFmtId="0" xfId="0" applyAlignment="1" applyFont="1">
      <alignment readingOrder="0"/>
    </xf>
    <xf borderId="0" fillId="0" fontId="3" numFmtId="0" xfId="0" applyFont="1"/>
    <xf borderId="0" fillId="6" fontId="3" numFmtId="0" xfId="0" applyAlignment="1" applyFont="1">
      <alignment horizontal="left" readingOrder="0" vertical="center"/>
    </xf>
    <xf borderId="0" fillId="6" fontId="3" numFmtId="164" xfId="0" applyAlignment="1" applyFont="1" applyNumberFormat="1">
      <alignment horizontal="center" readingOrder="0" vertical="center"/>
    </xf>
    <xf borderId="0" fillId="6" fontId="3" numFmtId="0" xfId="0" applyAlignment="1" applyFont="1">
      <alignment horizontal="left" vertical="center"/>
    </xf>
    <xf borderId="0" fillId="4" fontId="3" numFmtId="0" xfId="0" applyAlignment="1" applyFont="1">
      <alignment horizontal="center" vertical="center"/>
    </xf>
    <xf borderId="0" fillId="6" fontId="3" numFmtId="166" xfId="0" applyAlignment="1" applyFont="1" applyNumberFormat="1">
      <alignment horizontal="center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vertical="center"/>
    </xf>
    <xf borderId="0" fillId="6" fontId="2" numFmtId="0" xfId="0" applyAlignment="1" applyFont="1">
      <alignment horizontal="left" readingOrder="0" vertical="center"/>
    </xf>
    <xf borderId="0" fillId="6" fontId="3" numFmtId="10" xfId="0" applyAlignment="1" applyFont="1" applyNumberFormat="1">
      <alignment horizontal="center" vertical="center"/>
    </xf>
    <xf borderId="0" fillId="0" fontId="3" numFmtId="10" xfId="0" applyFont="1" applyNumberFormat="1"/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5" fontId="1" numFmtId="0" xfId="0" applyAlignment="1" applyFont="1">
      <alignment horizontal="center" readingOrder="0" vertical="center"/>
    </xf>
    <xf borderId="0" fillId="3" fontId="3" numFmtId="0" xfId="0" applyAlignment="1" applyFont="1">
      <alignment horizontal="center" readingOrder="0" vertical="center"/>
    </xf>
    <xf borderId="0" fillId="6" fontId="3" numFmtId="2" xfId="0" applyAlignment="1" applyFont="1" applyNumberFormat="1">
      <alignment horizontal="center" readingOrder="0" vertical="center"/>
    </xf>
    <xf borderId="0" fillId="6" fontId="3" numFmtId="1" xfId="0" applyAlignment="1" applyFont="1" applyNumberFormat="1">
      <alignment horizontal="center" readingOrder="0" vertical="center"/>
    </xf>
    <xf borderId="0" fillId="6" fontId="0" numFmtId="164" xfId="0" applyAlignment="1" applyFont="1" applyNumberFormat="1">
      <alignment horizontal="center"/>
    </xf>
    <xf borderId="0" fillId="3" fontId="3" numFmtId="0" xfId="0" applyAlignment="1" applyFont="1">
      <alignment horizontal="center" vertical="center"/>
    </xf>
    <xf borderId="0" fillId="6" fontId="0" numFmtId="2" xfId="0" applyAlignment="1" applyFont="1" applyNumberFormat="1">
      <alignment horizontal="center"/>
    </xf>
    <xf borderId="0" fillId="3" fontId="2" numFmtId="0" xfId="0" applyAlignment="1" applyFont="1">
      <alignment horizontal="left" readingOrder="0" vertical="center"/>
    </xf>
    <xf borderId="0" fillId="3" fontId="2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6" fontId="0" numFmtId="165" xfId="0" applyFont="1" applyNumberFormat="1"/>
    <xf borderId="0" fillId="0" fontId="3" numFmtId="3" xfId="0" applyAlignment="1" applyFont="1" applyNumberFormat="1">
      <alignment readingOrder="0"/>
    </xf>
    <xf borderId="0" fillId="5" fontId="4" numFmtId="0" xfId="0" applyFont="1"/>
    <xf borderId="0" fillId="0" fontId="3" numFmtId="1" xfId="0" applyFont="1" applyNumberFormat="1"/>
    <xf borderId="0" fillId="0" fontId="3" numFmtId="165" xfId="0" applyFont="1" applyNumberFormat="1"/>
    <xf borderId="0" fillId="0" fontId="3" numFmtId="167" xfId="0" applyAlignment="1" applyFont="1" applyNumberFormat="1">
      <alignment readingOrder="0"/>
    </xf>
    <xf borderId="0" fillId="0" fontId="3" numFmtId="167" xfId="0" applyFont="1" applyNumberFormat="1"/>
    <xf borderId="0" fillId="5" fontId="5" numFmtId="0" xfId="0" applyAlignment="1" applyFont="1">
      <alignment readingOrder="0"/>
    </xf>
    <xf borderId="0" fillId="5" fontId="6" numFmtId="0" xfId="0" applyAlignment="1" applyFont="1">
      <alignment readingOrder="0"/>
    </xf>
    <xf borderId="0" fillId="0" fontId="7" numFmtId="0" xfId="0" applyAlignment="1" applyFont="1">
      <alignment horizontal="center" readingOrder="0"/>
    </xf>
    <xf borderId="0" fillId="3" fontId="7" numFmtId="0" xfId="0" applyAlignment="1" applyFont="1">
      <alignment horizontal="center" readingOrder="0"/>
    </xf>
    <xf borderId="0" fillId="3" fontId="8" numFmtId="0" xfId="0" applyAlignment="1" applyFont="1">
      <alignment horizontal="center" readingOrder="0" vertical="bottom"/>
    </xf>
    <xf borderId="0" fillId="6" fontId="3" numFmtId="0" xfId="0" applyAlignment="1" applyFont="1">
      <alignment horizontal="center"/>
    </xf>
    <xf borderId="0" fillId="6" fontId="3" numFmtId="0" xfId="0" applyAlignment="1" applyFont="1">
      <alignment horizontal="center" readingOrder="0"/>
    </xf>
    <xf borderId="0" fillId="6" fontId="3" numFmtId="0" xfId="0" applyFont="1"/>
    <xf borderId="0" fillId="6" fontId="2" numFmtId="0" xfId="0" applyAlignment="1" applyFont="1">
      <alignment horizontal="center" readingOrder="0"/>
    </xf>
    <xf borderId="0" fillId="6" fontId="9" numFmtId="0" xfId="0" applyAlignment="1" applyFont="1">
      <alignment horizontal="center" readingOrder="0" vertical="bottom"/>
    </xf>
    <xf borderId="0" fillId="6" fontId="3" numFmtId="1" xfId="0" applyAlignment="1" applyFont="1" applyNumberFormat="1">
      <alignment horizontal="center"/>
    </xf>
    <xf borderId="0" fillId="6" fontId="3" numFmtId="2" xfId="0" applyAlignment="1" applyFont="1" applyNumberFormat="1">
      <alignment horizontal="center"/>
    </xf>
    <xf borderId="0" fillId="6" fontId="3" numFmtId="2" xfId="0" applyAlignment="1" applyFont="1" applyNumberFormat="1">
      <alignment horizontal="center" readingOrder="0"/>
    </xf>
    <xf borderId="0" fillId="6" fontId="3" numFmtId="168" xfId="0" applyAlignment="1" applyFont="1" applyNumberFormat="1">
      <alignment horizontal="center"/>
    </xf>
    <xf borderId="0" fillId="6" fontId="3" numFmtId="165" xfId="0" applyAlignment="1" applyFont="1" applyNumberFormat="1">
      <alignment horizontal="center" readingOrder="0"/>
    </xf>
    <xf borderId="0" fillId="6" fontId="3" numFmtId="165" xfId="0" applyAlignment="1" applyFont="1" applyNumberFormat="1">
      <alignment horizontal="center"/>
    </xf>
    <xf borderId="0" fillId="6" fontId="6" numFmtId="0" xfId="0" applyAlignment="1" applyFont="1">
      <alignment horizontal="center" vertical="bottom"/>
    </xf>
    <xf borderId="0" fillId="6" fontId="6" numFmtId="2" xfId="0" applyAlignment="1" applyFont="1" applyNumberFormat="1">
      <alignment horizontal="center" vertical="bottom"/>
    </xf>
    <xf borderId="1" fillId="0" fontId="3" numFmtId="0" xfId="0" applyBorder="1" applyFont="1"/>
    <xf borderId="2" fillId="5" fontId="10" numFmtId="0" xfId="0" applyAlignment="1" applyBorder="1" applyFont="1">
      <alignment horizontal="center" readingOrder="0"/>
    </xf>
    <xf borderId="3" fillId="0" fontId="3" numFmtId="0" xfId="0" applyAlignment="1" applyBorder="1" applyFont="1">
      <alignment readingOrder="0"/>
    </xf>
    <xf borderId="4" fillId="0" fontId="3" numFmtId="0" xfId="0" applyAlignment="1" applyBorder="1" applyFont="1">
      <alignment horizontal="center" readingOrder="0"/>
    </xf>
    <xf borderId="5" fillId="0" fontId="3" numFmtId="0" xfId="0" applyAlignment="1" applyBorder="1" applyFont="1">
      <alignment readingOrder="0"/>
    </xf>
    <xf borderId="6" fillId="0" fontId="3" numFmtId="0" xfId="0" applyAlignment="1" applyBorder="1" applyFont="1">
      <alignment horizontal="center"/>
    </xf>
    <xf borderId="0" fillId="6" fontId="6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11" numFmtId="0" xfId="0" applyAlignment="1" applyFont="1">
      <alignment readingOrder="0"/>
    </xf>
    <xf borderId="0" fillId="6" fontId="3" numFmtId="0" xfId="0" applyAlignment="1" applyFont="1">
      <alignment horizontal="center" readingOrder="0" shrinkToFit="0" vertical="center" wrapText="1"/>
    </xf>
    <xf borderId="0" fillId="6" fontId="12" numFmtId="0" xfId="0" applyAlignment="1" applyFont="1">
      <alignment readingOrder="0"/>
    </xf>
    <xf borderId="0" fillId="6" fontId="3" numFmtId="0" xfId="0" applyAlignment="1" applyFont="1">
      <alignment horizontal="left"/>
    </xf>
    <xf borderId="0" fillId="6" fontId="0" numFmtId="0" xfId="0" applyAlignment="1" applyFont="1">
      <alignment readingOrder="0"/>
    </xf>
    <xf borderId="0" fillId="0" fontId="6" numFmtId="0" xfId="0" applyAlignment="1" applyFont="1">
      <alignment horizontal="center" readingOrder="0" vertical="bottom"/>
    </xf>
    <xf borderId="0" fillId="5" fontId="3" numFmtId="0" xfId="0" applyAlignment="1" applyFont="1">
      <alignment horizontal="center"/>
    </xf>
    <xf borderId="0" fillId="0" fontId="6" numFmtId="0" xfId="0" applyAlignment="1" applyFont="1">
      <alignment horizontal="center" vertical="bottom"/>
    </xf>
    <xf borderId="0" fillId="5" fontId="0" numFmtId="0" xfId="0" applyAlignment="1" applyFont="1">
      <alignment horizontal="center"/>
    </xf>
    <xf borderId="0" fillId="5" fontId="6" numFmtId="0" xfId="0" applyAlignment="1" applyFont="1">
      <alignment horizontal="center" vertical="bottom"/>
    </xf>
    <xf borderId="0" fillId="6" fontId="3" numFmtId="0" xfId="0" applyAlignment="1" applyFont="1">
      <alignment horizontal="right" readingOrder="0"/>
    </xf>
    <xf borderId="0" fillId="5" fontId="2" numFmtId="0" xfId="0" applyAlignment="1" applyFont="1">
      <alignment horizontal="center" readingOrder="0"/>
    </xf>
    <xf borderId="0" fillId="6" fontId="6" numFmtId="0" xfId="0" applyAlignment="1" applyFont="1">
      <alignment horizontal="center" vertical="bottom"/>
    </xf>
    <xf borderId="0" fillId="6" fontId="6" numFmtId="0" xfId="0" applyAlignment="1" applyFont="1">
      <alignment horizontal="center" readingOrder="0" vertical="bottom"/>
    </xf>
    <xf borderId="0" fillId="5" fontId="3" numFmtId="1" xfId="0" applyAlignment="1" applyFont="1" applyNumberFormat="1">
      <alignment horizontal="center" vertical="center"/>
    </xf>
    <xf borderId="0" fillId="5" fontId="3" numFmtId="165" xfId="0" applyAlignment="1" applyFont="1" applyNumberFormat="1">
      <alignment horizontal="center" vertical="center"/>
    </xf>
    <xf borderId="0" fillId="5" fontId="3" numFmtId="165" xfId="0" applyAlignment="1" applyFont="1" applyNumberFormat="1">
      <alignment horizontal="center" readingOrder="0" vertical="center"/>
    </xf>
    <xf borderId="0" fillId="0" fontId="6" numFmtId="0" xfId="0" applyAlignment="1" applyFont="1">
      <alignment vertical="bottom"/>
    </xf>
    <xf borderId="0" fillId="6" fontId="3" numFmtId="168" xfId="0" applyAlignment="1" applyFont="1" applyNumberFormat="1">
      <alignment horizontal="center" vertical="center"/>
    </xf>
    <xf borderId="0" fillId="6" fontId="3" numFmtId="168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vertical="center"/>
    </xf>
    <xf borderId="0" fillId="3" fontId="2" numFmtId="0" xfId="0" applyAlignment="1" applyFont="1">
      <alignment horizontal="center" readingOrder="0" shrinkToFit="0" vertical="center" wrapText="1"/>
    </xf>
    <xf borderId="0" fillId="4" fontId="2" numFmtId="0" xfId="0" applyAlignment="1" applyFont="1">
      <alignment horizontal="center" readingOrder="0" shrinkToFit="0" vertical="center" wrapText="1"/>
    </xf>
    <xf borderId="0" fillId="5" fontId="2" numFmtId="0" xfId="0" applyAlignment="1" applyFont="1">
      <alignment horizontal="center" readingOrder="0" shrinkToFit="0" vertical="center" wrapText="1"/>
    </xf>
    <xf borderId="0" fillId="4" fontId="9" numFmtId="0" xfId="0" applyAlignment="1" applyFont="1">
      <alignment horizontal="center"/>
    </xf>
    <xf borderId="0" fillId="4" fontId="9" numFmtId="165" xfId="0" applyAlignment="1" applyFont="1" applyNumberFormat="1">
      <alignment horizontal="center"/>
    </xf>
    <xf borderId="0" fillId="4" fontId="9" numFmtId="169" xfId="0" applyAlignment="1" applyFont="1" applyNumberFormat="1">
      <alignment horizontal="center"/>
    </xf>
    <xf borderId="0" fillId="6" fontId="3" numFmtId="1" xfId="0" applyAlignment="1" applyFont="1" applyNumberFormat="1">
      <alignment horizontal="center" shrinkToFit="0" vertical="center" wrapText="1"/>
    </xf>
    <xf borderId="0" fillId="6" fontId="3" numFmtId="1" xfId="0" applyAlignment="1" applyFont="1" applyNumberFormat="1">
      <alignment horizontal="center" readingOrder="0" shrinkToFit="0" vertical="center" wrapText="1"/>
    </xf>
    <xf borderId="0" fillId="6" fontId="3" numFmtId="164" xfId="0" applyAlignment="1" applyFont="1" applyNumberFormat="1">
      <alignment horizontal="center" shrinkToFit="0" vertical="center" wrapText="1"/>
    </xf>
    <xf borderId="0" fillId="6" fontId="6" numFmtId="0" xfId="0" applyAlignment="1" applyFont="1">
      <alignment horizontal="center"/>
    </xf>
    <xf borderId="0" fillId="6" fontId="6" numFmtId="0" xfId="0" applyAlignment="1" applyFont="1">
      <alignment horizontal="center" readingOrder="0"/>
    </xf>
    <xf borderId="0" fillId="6" fontId="6" numFmtId="165" xfId="0" applyAlignment="1" applyFont="1" applyNumberFormat="1">
      <alignment horizontal="center"/>
    </xf>
    <xf borderId="0" fillId="6" fontId="6" numFmtId="169" xfId="0" applyAlignment="1" applyFont="1" applyNumberFormat="1">
      <alignment horizontal="right"/>
    </xf>
    <xf borderId="0" fillId="6" fontId="3" numFmtId="0" xfId="0" applyAlignment="1" applyFont="1">
      <alignment horizontal="center" shrinkToFit="0" vertical="center" wrapText="1"/>
    </xf>
    <xf borderId="0" fillId="6" fontId="3" numFmtId="3" xfId="0" applyAlignment="1" applyFont="1" applyNumberFormat="1">
      <alignment horizontal="center" shrinkToFit="0" vertical="center" wrapText="1"/>
    </xf>
    <xf borderId="0" fillId="6" fontId="2" numFmtId="0" xfId="0" applyAlignment="1" applyFont="1">
      <alignment horizontal="center" readingOrder="0" shrinkToFit="0" vertical="center" wrapText="1"/>
    </xf>
    <xf borderId="0" fillId="6" fontId="2" numFmtId="0" xfId="0" applyAlignment="1" applyFont="1">
      <alignment horizontal="center" readingOrder="0" vertical="center"/>
    </xf>
    <xf borderId="0" fillId="6" fontId="0" numFmtId="3" xfId="0" applyAlignment="1" applyFont="1" applyNumberFormat="1">
      <alignment horizontal="center" vertical="center"/>
    </xf>
    <xf borderId="0" fillId="6" fontId="6" numFmtId="0" xfId="0" applyAlignment="1" applyFont="1">
      <alignment horizontal="center" shrinkToFit="0" wrapText="1"/>
    </xf>
    <xf borderId="0" fillId="6" fontId="6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 shrinkToFit="0" vertical="center" wrapText="1"/>
    </xf>
    <xf borderId="0" fillId="6" fontId="3" numFmtId="169" xfId="0" applyAlignment="1" applyFont="1" applyNumberFormat="1">
      <alignment horizontal="center" shrinkToFit="0" vertical="center" wrapText="1"/>
    </xf>
    <xf borderId="0" fillId="6" fontId="3" numFmtId="3" xfId="0" applyAlignment="1" applyFont="1" applyNumberFormat="1">
      <alignment horizontal="center" readingOrder="0" shrinkToFit="0" vertical="center" wrapText="1"/>
    </xf>
    <xf borderId="0" fillId="6" fontId="3" numFmtId="170" xfId="0" applyAlignment="1" applyFont="1" applyNumberFormat="1">
      <alignment horizontal="center" readingOrder="0" shrinkToFit="0" vertical="center" wrapText="1"/>
    </xf>
    <xf borderId="0" fillId="6" fontId="0" numFmtId="170" xfId="0" applyAlignment="1" applyFont="1" applyNumberFormat="1">
      <alignment readingOrder="0"/>
    </xf>
    <xf borderId="0" fillId="6" fontId="0" numFmtId="170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nº mesura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'Pràctica 1'!$M$8:$M$9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'Pràctica 1'!$J$10:$J$30</c:f>
            </c:numRef>
          </c:xVal>
          <c:yVal>
            <c:numRef>
              <c:f>'Pràctica 1'!$M$10:$M$30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3853416"/>
        <c:axId val="2081335530"/>
      </c:scatterChart>
      <c:valAx>
        <c:axId val="1123853416"/>
        <c:scaling>
          <c:orientation val="minMax"/>
        </c:scaling>
        <c:delete val="0"/>
        <c:axPos val="b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81335530"/>
      </c:valAx>
      <c:valAx>
        <c:axId val="2081335530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nº mesura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2385341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dPt>
            <c:idx val="5"/>
            <c:marker>
              <c:symbol val="none"/>
            </c:marker>
          </c:dPt>
          <c:cat>
            <c:strRef>
              <c:f>'Pràctica 3'!$G$5:$G$19</c:f>
            </c:strRef>
          </c:cat>
          <c:val>
            <c:numRef>
              <c:f>'Pràctica 3'!$O$5:$O$19</c:f>
              <c:numCache/>
            </c:numRef>
          </c:val>
          <c:smooth val="0"/>
        </c:ser>
        <c:axId val="482893289"/>
        <c:axId val="1063765422"/>
      </c:lineChart>
      <c:catAx>
        <c:axId val="4828932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grosor alumini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63765422"/>
      </c:catAx>
      <c:valAx>
        <c:axId val="1063765422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taxa de comptes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8289328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1"/>
          </c:trendline>
          <c:xVal>
            <c:numRef>
              <c:f>'Pràctica 3'!$AJ$26:$AJ$31</c:f>
            </c:numRef>
          </c:xVal>
          <c:yVal>
            <c:numRef>
              <c:f>'Pràctica 3'!$AH$26:$AH$31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9543498"/>
        <c:axId val="1470182242"/>
      </c:scatterChart>
      <c:valAx>
        <c:axId val="98954349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70182242"/>
      </c:valAx>
      <c:valAx>
        <c:axId val="14701822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8954349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942975</xdr:colOff>
      <xdr:row>37</xdr:row>
      <xdr:rowOff>190500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37</xdr:row>
      <xdr:rowOff>0</xdr:rowOff>
    </xdr:from>
    <xdr:ext cx="2286000" cy="30480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0</xdr:colOff>
      <xdr:row>20</xdr:row>
      <xdr:rowOff>0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28</xdr:col>
      <xdr:colOff>238125</xdr:colOff>
      <xdr:row>33</xdr:row>
      <xdr:rowOff>19050</xdr:rowOff>
    </xdr:from>
    <xdr:ext cx="5715000" cy="35337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ndc.bnl.gov/nudat3/dec_searchi.jsp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5" max="5" width="14.5"/>
    <col customWidth="1" min="13" max="13" width="17.0"/>
    <col customWidth="1" min="18" max="18" width="17.0"/>
    <col customWidth="1" min="19" max="19" width="18.63"/>
    <col customWidth="1" min="20" max="20" width="19.75"/>
    <col customWidth="1" min="21" max="21" width="19.5"/>
    <col customWidth="1" min="22" max="22" width="14.75"/>
  </cols>
  <sheetData>
    <row r="3">
      <c r="A3" s="1" t="s">
        <v>0</v>
      </c>
      <c r="R3" s="1" t="s">
        <v>1</v>
      </c>
    </row>
    <row r="5">
      <c r="A5" s="2" t="s">
        <v>2</v>
      </c>
      <c r="G5" s="3"/>
      <c r="H5" s="2" t="s">
        <v>3</v>
      </c>
      <c r="R5" s="2" t="s">
        <v>3</v>
      </c>
      <c r="Y5" s="2" t="s">
        <v>2</v>
      </c>
    </row>
    <row r="6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H6" s="4" t="s">
        <v>4</v>
      </c>
      <c r="I6" s="4" t="s">
        <v>5</v>
      </c>
      <c r="J6" s="4" t="s">
        <v>10</v>
      </c>
      <c r="K6" s="4" t="s">
        <v>6</v>
      </c>
      <c r="L6" s="4" t="s">
        <v>7</v>
      </c>
      <c r="M6" s="4" t="s">
        <v>8</v>
      </c>
      <c r="N6" s="4" t="s">
        <v>9</v>
      </c>
      <c r="O6" s="5"/>
      <c r="P6" s="5"/>
      <c r="R6" s="4" t="s">
        <v>11</v>
      </c>
      <c r="S6" s="4" t="s">
        <v>5</v>
      </c>
      <c r="T6" s="4" t="s">
        <v>12</v>
      </c>
      <c r="U6" s="4" t="s">
        <v>13</v>
      </c>
      <c r="V6" s="4" t="s">
        <v>14</v>
      </c>
      <c r="W6" s="4" t="s">
        <v>15</v>
      </c>
      <c r="Y6" s="4" t="s">
        <v>4</v>
      </c>
      <c r="Z6" s="4" t="s">
        <v>5</v>
      </c>
      <c r="AA6" s="4" t="s">
        <v>6</v>
      </c>
      <c r="AB6" s="4" t="s">
        <v>7</v>
      </c>
      <c r="AC6" s="4" t="s">
        <v>8</v>
      </c>
      <c r="AD6" s="4" t="s">
        <v>9</v>
      </c>
    </row>
    <row r="7">
      <c r="A7" s="6">
        <v>1.0</v>
      </c>
      <c r="B7" s="6">
        <v>300.0</v>
      </c>
      <c r="C7" s="6">
        <v>84.0</v>
      </c>
      <c r="D7" s="7">
        <f t="shared" ref="D7:D11" si="2">SQRT(C7)</f>
        <v>9.16515139</v>
      </c>
      <c r="E7" s="8">
        <f t="shared" ref="E7:E11" si="3">C7/B7</f>
        <v>0.28</v>
      </c>
      <c r="F7" s="9">
        <f t="shared" ref="F7:F11" si="4">(1/B7)*D7</f>
        <v>0.03055050463</v>
      </c>
      <c r="H7" s="6">
        <v>1.0</v>
      </c>
      <c r="I7" s="6">
        <v>90.0</v>
      </c>
      <c r="J7" s="6">
        <v>630.0</v>
      </c>
      <c r="K7" s="6">
        <v>0.0</v>
      </c>
      <c r="L7" s="10">
        <f t="shared" ref="L7:L36" si="5">SQRT(K7)</f>
        <v>0</v>
      </c>
      <c r="M7" s="10">
        <f t="shared" ref="M7:M36" si="6">K7/I7</f>
        <v>0</v>
      </c>
      <c r="N7" s="10">
        <f t="shared" ref="N7:N36" si="7">(1/I7)*L7</f>
        <v>0</v>
      </c>
      <c r="O7" s="11"/>
      <c r="P7" s="11"/>
      <c r="R7" s="6" t="s">
        <v>16</v>
      </c>
      <c r="S7" s="10"/>
      <c r="T7" s="10">
        <f t="shared" ref="T7:W7" si="1">AA12</f>
        <v>64.2</v>
      </c>
      <c r="U7" s="7">
        <f t="shared" si="1"/>
        <v>7.995180845</v>
      </c>
      <c r="V7" s="9">
        <f t="shared" si="1"/>
        <v>0.214</v>
      </c>
      <c r="W7" s="9">
        <f t="shared" si="1"/>
        <v>0.02665060282</v>
      </c>
      <c r="Y7" s="6">
        <v>1.0</v>
      </c>
      <c r="Z7" s="6">
        <v>300.0</v>
      </c>
      <c r="AA7" s="6">
        <v>80.0</v>
      </c>
      <c r="AB7" s="7">
        <f t="shared" ref="AB7:AB11" si="8">SQRT(AA7)</f>
        <v>8.94427191</v>
      </c>
      <c r="AC7" s="8">
        <f t="shared" ref="AC7:AC11" si="9">AA7/Z7</f>
        <v>0.2666666667</v>
      </c>
      <c r="AD7" s="9">
        <f t="shared" ref="AD7:AD11" si="10">(1/Z7)*AB7</f>
        <v>0.0298142397</v>
      </c>
    </row>
    <row r="8">
      <c r="A8" s="6">
        <v>2.0</v>
      </c>
      <c r="B8" s="6">
        <v>300.0</v>
      </c>
      <c r="C8" s="6">
        <v>70.0</v>
      </c>
      <c r="D8" s="7">
        <f t="shared" si="2"/>
        <v>8.366600265</v>
      </c>
      <c r="E8" s="8">
        <f t="shared" si="3"/>
        <v>0.2333333333</v>
      </c>
      <c r="F8" s="9">
        <f t="shared" si="4"/>
        <v>0.02788866755</v>
      </c>
      <c r="H8" s="6">
        <v>2.0</v>
      </c>
      <c r="I8" s="6">
        <v>121.0</v>
      </c>
      <c r="J8" s="6">
        <v>635.0</v>
      </c>
      <c r="K8" s="6">
        <v>2709.0</v>
      </c>
      <c r="L8" s="12">
        <f t="shared" si="5"/>
        <v>52.04805472</v>
      </c>
      <c r="M8" s="13">
        <f t="shared" si="6"/>
        <v>22.38842975</v>
      </c>
      <c r="N8" s="13">
        <f t="shared" si="7"/>
        <v>0.4301492126</v>
      </c>
      <c r="O8" s="11"/>
      <c r="P8" s="11"/>
      <c r="R8" s="6">
        <v>1.0</v>
      </c>
      <c r="S8" s="6">
        <v>1200.0</v>
      </c>
      <c r="T8" s="6">
        <f>15380</f>
        <v>15380</v>
      </c>
      <c r="U8" s="12">
        <f t="shared" ref="U8:U10" si="11">SQRT(T8)</f>
        <v>124.016128</v>
      </c>
      <c r="V8" s="13">
        <f t="shared" ref="V8:V10" si="12">T8/S8</f>
        <v>12.81666667</v>
      </c>
      <c r="W8" s="13">
        <f t="shared" ref="W8:W10" si="13">(1/S8)*U8</f>
        <v>0.1033467733</v>
      </c>
      <c r="Y8" s="6">
        <v>2.0</v>
      </c>
      <c r="Z8" s="6">
        <v>300.0</v>
      </c>
      <c r="AA8" s="6">
        <v>59.0</v>
      </c>
      <c r="AB8" s="7">
        <f t="shared" si="8"/>
        <v>7.681145748</v>
      </c>
      <c r="AC8" s="8">
        <f t="shared" si="9"/>
        <v>0.1966666667</v>
      </c>
      <c r="AD8" s="9">
        <f t="shared" si="10"/>
        <v>0.02560381916</v>
      </c>
    </row>
    <row r="9">
      <c r="A9" s="6">
        <v>3.0</v>
      </c>
      <c r="B9" s="6">
        <v>300.0</v>
      </c>
      <c r="C9" s="6">
        <v>71.0</v>
      </c>
      <c r="D9" s="7">
        <f t="shared" si="2"/>
        <v>8.426149773</v>
      </c>
      <c r="E9" s="8">
        <f t="shared" si="3"/>
        <v>0.2366666667</v>
      </c>
      <c r="F9" s="9">
        <f t="shared" si="4"/>
        <v>0.02808716591</v>
      </c>
      <c r="H9" s="6">
        <v>3.0</v>
      </c>
      <c r="I9" s="6">
        <v>120.0</v>
      </c>
      <c r="J9" s="6">
        <v>640.0</v>
      </c>
      <c r="K9" s="6">
        <v>3021.0</v>
      </c>
      <c r="L9" s="12">
        <f t="shared" si="5"/>
        <v>54.96362433</v>
      </c>
      <c r="M9" s="13">
        <f t="shared" si="6"/>
        <v>25.175</v>
      </c>
      <c r="N9" s="13">
        <f t="shared" si="7"/>
        <v>0.4580302028</v>
      </c>
      <c r="O9" s="11"/>
      <c r="P9" s="11"/>
      <c r="R9" s="6">
        <v>12.0</v>
      </c>
      <c r="S9" s="6">
        <v>1200.0</v>
      </c>
      <c r="T9" s="6">
        <v>34396.0</v>
      </c>
      <c r="U9" s="12">
        <f t="shared" si="11"/>
        <v>185.4615863</v>
      </c>
      <c r="V9" s="13">
        <f t="shared" si="12"/>
        <v>28.66333333</v>
      </c>
      <c r="W9" s="13">
        <f t="shared" si="13"/>
        <v>0.1545513219</v>
      </c>
      <c r="Y9" s="6">
        <v>3.0</v>
      </c>
      <c r="Z9" s="6">
        <v>300.0</v>
      </c>
      <c r="AA9" s="6">
        <v>61.0</v>
      </c>
      <c r="AB9" s="7">
        <f t="shared" si="8"/>
        <v>7.810249676</v>
      </c>
      <c r="AC9" s="8">
        <f t="shared" si="9"/>
        <v>0.2033333333</v>
      </c>
      <c r="AD9" s="9">
        <f t="shared" si="10"/>
        <v>0.02603416559</v>
      </c>
    </row>
    <row r="10">
      <c r="A10" s="6">
        <v>4.0</v>
      </c>
      <c r="B10" s="6">
        <v>300.0</v>
      </c>
      <c r="C10" s="6">
        <v>86.0</v>
      </c>
      <c r="D10" s="7">
        <f t="shared" si="2"/>
        <v>9.273618495</v>
      </c>
      <c r="E10" s="8">
        <f t="shared" si="3"/>
        <v>0.2866666667</v>
      </c>
      <c r="F10" s="9">
        <f t="shared" si="4"/>
        <v>0.03091206165</v>
      </c>
      <c r="H10" s="14">
        <v>4.0</v>
      </c>
      <c r="I10" s="14">
        <v>70.0</v>
      </c>
      <c r="J10" s="14">
        <v>795.0</v>
      </c>
      <c r="K10" s="14">
        <v>2509.0</v>
      </c>
      <c r="L10" s="15">
        <f t="shared" si="5"/>
        <v>50.08991915</v>
      </c>
      <c r="M10" s="16">
        <f t="shared" si="6"/>
        <v>35.84285714</v>
      </c>
      <c r="N10" s="16">
        <f t="shared" si="7"/>
        <v>0.7155702735</v>
      </c>
      <c r="O10" s="11"/>
      <c r="P10" s="11"/>
      <c r="R10" s="6">
        <v>2.0</v>
      </c>
      <c r="S10" s="6">
        <v>1200.0</v>
      </c>
      <c r="T10" s="6">
        <v>19163.0</v>
      </c>
      <c r="U10" s="12">
        <f t="shared" si="11"/>
        <v>138.430488</v>
      </c>
      <c r="V10" s="13">
        <f t="shared" si="12"/>
        <v>15.96916667</v>
      </c>
      <c r="W10" s="13">
        <f t="shared" si="13"/>
        <v>0.11535874</v>
      </c>
      <c r="Y10" s="6">
        <v>4.0</v>
      </c>
      <c r="Z10" s="6">
        <v>300.0</v>
      </c>
      <c r="AA10" s="6">
        <v>66.0</v>
      </c>
      <c r="AB10" s="7">
        <f t="shared" si="8"/>
        <v>8.124038405</v>
      </c>
      <c r="AC10" s="8">
        <f t="shared" si="9"/>
        <v>0.22</v>
      </c>
      <c r="AD10" s="9">
        <f t="shared" si="10"/>
        <v>0.02708012802</v>
      </c>
    </row>
    <row r="11">
      <c r="A11" s="6">
        <v>5.0</v>
      </c>
      <c r="B11" s="6">
        <v>300.0</v>
      </c>
      <c r="C11" s="6">
        <v>55.0</v>
      </c>
      <c r="D11" s="7">
        <f t="shared" si="2"/>
        <v>7.416198487</v>
      </c>
      <c r="E11" s="8">
        <f t="shared" si="3"/>
        <v>0.1833333333</v>
      </c>
      <c r="F11" s="9">
        <f t="shared" si="4"/>
        <v>0.02472066162</v>
      </c>
      <c r="H11" s="6">
        <v>5.0</v>
      </c>
      <c r="I11" s="6">
        <v>110.0</v>
      </c>
      <c r="J11" s="6">
        <v>660.0</v>
      </c>
      <c r="K11" s="6">
        <v>2835.0</v>
      </c>
      <c r="L11" s="12">
        <f t="shared" si="5"/>
        <v>53.24471805</v>
      </c>
      <c r="M11" s="13">
        <f t="shared" si="6"/>
        <v>25.77272727</v>
      </c>
      <c r="N11" s="13">
        <f t="shared" si="7"/>
        <v>0.4840428913</v>
      </c>
      <c r="O11" s="11"/>
      <c r="P11" s="11"/>
      <c r="Y11" s="6">
        <v>5.0</v>
      </c>
      <c r="Z11" s="6">
        <v>300.0</v>
      </c>
      <c r="AA11" s="6">
        <v>55.0</v>
      </c>
      <c r="AB11" s="7">
        <f t="shared" si="8"/>
        <v>7.416198487</v>
      </c>
      <c r="AC11" s="8">
        <f t="shared" si="9"/>
        <v>0.1833333333</v>
      </c>
      <c r="AD11" s="9">
        <f t="shared" si="10"/>
        <v>0.02472066162</v>
      </c>
    </row>
    <row r="12">
      <c r="A12" s="6" t="s">
        <v>17</v>
      </c>
      <c r="B12" s="6" t="s">
        <v>18</v>
      </c>
      <c r="C12" s="10">
        <f t="shared" ref="C12:F12" si="14">SUM(C7:C11)/5</f>
        <v>73.2</v>
      </c>
      <c r="D12" s="7">
        <f t="shared" si="14"/>
        <v>8.529543682</v>
      </c>
      <c r="E12" s="8">
        <f t="shared" si="14"/>
        <v>0.244</v>
      </c>
      <c r="F12" s="8">
        <f t="shared" si="14"/>
        <v>0.02843181227</v>
      </c>
      <c r="H12" s="6">
        <v>6.0</v>
      </c>
      <c r="I12" s="6">
        <v>90.0</v>
      </c>
      <c r="J12" s="6">
        <v>680.0</v>
      </c>
      <c r="K12" s="6">
        <v>2538.0</v>
      </c>
      <c r="L12" s="12">
        <f t="shared" si="5"/>
        <v>50.37856687</v>
      </c>
      <c r="M12" s="13">
        <f t="shared" si="6"/>
        <v>28.2</v>
      </c>
      <c r="N12" s="13">
        <f t="shared" si="7"/>
        <v>0.5597618541</v>
      </c>
      <c r="O12" s="11"/>
      <c r="P12" s="11"/>
      <c r="Y12" s="6" t="s">
        <v>17</v>
      </c>
      <c r="Z12" s="6" t="s">
        <v>18</v>
      </c>
      <c r="AA12" s="10">
        <f t="shared" ref="AA12:AD12" si="15">SUM(AA7:AA11)/5</f>
        <v>64.2</v>
      </c>
      <c r="AB12" s="7">
        <f t="shared" si="15"/>
        <v>7.995180845</v>
      </c>
      <c r="AC12" s="8">
        <f t="shared" si="15"/>
        <v>0.214</v>
      </c>
      <c r="AD12" s="8">
        <f t="shared" si="15"/>
        <v>0.02665060282</v>
      </c>
    </row>
    <row r="13">
      <c r="A13" s="17" t="s">
        <v>19</v>
      </c>
      <c r="H13" s="6">
        <v>7.0</v>
      </c>
      <c r="I13" s="6">
        <v>90.0</v>
      </c>
      <c r="J13" s="6">
        <v>700.0</v>
      </c>
      <c r="K13" s="6">
        <v>2785.0</v>
      </c>
      <c r="L13" s="12">
        <f t="shared" si="5"/>
        <v>52.77309921</v>
      </c>
      <c r="M13" s="13">
        <f t="shared" si="6"/>
        <v>30.94444444</v>
      </c>
      <c r="N13" s="13">
        <f t="shared" si="7"/>
        <v>0.586367769</v>
      </c>
      <c r="O13" s="11"/>
      <c r="P13" s="11"/>
      <c r="Y13" s="17" t="s">
        <v>20</v>
      </c>
    </row>
    <row r="14">
      <c r="H14" s="6">
        <v>8.0</v>
      </c>
      <c r="I14" s="6">
        <v>90.0</v>
      </c>
      <c r="J14" s="6">
        <v>720.0</v>
      </c>
      <c r="K14" s="6">
        <v>2923.0</v>
      </c>
      <c r="L14" s="12">
        <f t="shared" si="5"/>
        <v>54.06477596</v>
      </c>
      <c r="M14" s="13">
        <f t="shared" si="6"/>
        <v>32.47777778</v>
      </c>
      <c r="N14" s="13">
        <f t="shared" si="7"/>
        <v>0.6007197329</v>
      </c>
      <c r="O14" s="11"/>
      <c r="P14" s="11"/>
      <c r="R14" s="2" t="s">
        <v>21</v>
      </c>
      <c r="AA14" s="18">
        <f>300*5</f>
        <v>1500</v>
      </c>
    </row>
    <row r="15">
      <c r="A15" s="2" t="s">
        <v>22</v>
      </c>
      <c r="H15" s="6">
        <v>9.0</v>
      </c>
      <c r="I15" s="6">
        <v>90.0</v>
      </c>
      <c r="J15" s="6">
        <v>740.0</v>
      </c>
      <c r="K15" s="6">
        <v>3027.0</v>
      </c>
      <c r="L15" s="12">
        <f t="shared" si="5"/>
        <v>55.01817881</v>
      </c>
      <c r="M15" s="13">
        <f t="shared" si="6"/>
        <v>33.63333333</v>
      </c>
      <c r="N15" s="13">
        <f t="shared" si="7"/>
        <v>0.6113130979</v>
      </c>
      <c r="O15" s="11"/>
      <c r="P15" s="11"/>
      <c r="R15" s="4" t="s">
        <v>23</v>
      </c>
      <c r="S15" s="4" t="s">
        <v>24</v>
      </c>
      <c r="T15" s="4" t="s">
        <v>25</v>
      </c>
      <c r="U15" s="4" t="s">
        <v>26</v>
      </c>
      <c r="V15" s="4" t="s">
        <v>27</v>
      </c>
      <c r="W15" s="4" t="s">
        <v>28</v>
      </c>
    </row>
    <row r="16">
      <c r="A16" s="19" t="s">
        <v>29</v>
      </c>
      <c r="B16" s="19" t="s">
        <v>30</v>
      </c>
      <c r="C16" s="6">
        <v>635.0</v>
      </c>
      <c r="H16" s="6">
        <v>10.0</v>
      </c>
      <c r="I16" s="6">
        <v>90.0</v>
      </c>
      <c r="J16" s="6">
        <v>760.0</v>
      </c>
      <c r="K16" s="6">
        <v>3127.0</v>
      </c>
      <c r="L16" s="12">
        <f t="shared" si="5"/>
        <v>55.91958512</v>
      </c>
      <c r="M16" s="13">
        <f t="shared" si="6"/>
        <v>34.74444444</v>
      </c>
      <c r="N16" s="13">
        <f t="shared" si="7"/>
        <v>0.6213287236</v>
      </c>
      <c r="O16" s="11"/>
      <c r="P16" s="11"/>
      <c r="R16" s="20">
        <f>V8*V10-V7*V9</f>
        <v>198.5375328</v>
      </c>
      <c r="S16" s="7">
        <f> SQRT( V10^2 * W8^2 + V8^2 * W10 + V9^2 * W7^2 + V7^2 * W9^2)</f>
        <v>4.717833358</v>
      </c>
      <c r="T16" s="12">
        <f>V8*V10*(V9+V7)-V7*V9*(V8+V10)</f>
        <v>5733.79577</v>
      </c>
      <c r="U16" s="12">
        <f> SQRT(T22^2 * W8^2 + T23^2 * W10^2 + T24^2 * W7^2 + T25^2 *W9^2)</f>
        <v>72.0342129</v>
      </c>
      <c r="V16" s="8">
        <f>(T16*(V8+V10-V9-V7))/(R16^2)</f>
        <v>-0.01331000053</v>
      </c>
      <c r="W16" s="8">
        <f> SQRT( ((V8+V10-V9-V7)/(R16^2))^2 * (U16^2 + 4*((T16^2)/(R16^2))*S16^2) + ((T16)^2/(R16)^4) * (W8^2 + W10^2 + W9^2 + W7^2))</f>
        <v>0.03206982008</v>
      </c>
    </row>
    <row r="17">
      <c r="A17" s="21"/>
      <c r="B17" s="19" t="s">
        <v>31</v>
      </c>
      <c r="C17" s="10">
        <f>J27</f>
        <v>980</v>
      </c>
      <c r="H17" s="6">
        <v>11.0</v>
      </c>
      <c r="I17" s="6">
        <v>90.0</v>
      </c>
      <c r="J17" s="6">
        <v>780.0</v>
      </c>
      <c r="K17" s="6">
        <v>3221.0</v>
      </c>
      <c r="L17" s="12">
        <f t="shared" si="5"/>
        <v>56.75385449</v>
      </c>
      <c r="M17" s="13">
        <f t="shared" si="6"/>
        <v>35.78888889</v>
      </c>
      <c r="N17" s="13">
        <f t="shared" si="7"/>
        <v>0.6305983833</v>
      </c>
      <c r="O17" s="11"/>
      <c r="P17" s="11"/>
      <c r="R17" s="6"/>
      <c r="S17" s="10"/>
      <c r="T17" s="10"/>
      <c r="U17" s="10"/>
      <c r="V17" s="10"/>
      <c r="W17" s="10"/>
    </row>
    <row r="18">
      <c r="A18" s="21"/>
      <c r="B18" s="19" t="s">
        <v>32</v>
      </c>
      <c r="C18" s="10">
        <f>J9</f>
        <v>640</v>
      </c>
      <c r="H18" s="6">
        <v>12.0</v>
      </c>
      <c r="I18" s="6">
        <v>90.0</v>
      </c>
      <c r="J18" s="6">
        <v>800.0</v>
      </c>
      <c r="K18" s="6">
        <v>3336.0</v>
      </c>
      <c r="L18" s="12">
        <f t="shared" si="5"/>
        <v>57.75811631</v>
      </c>
      <c r="M18" s="13">
        <f t="shared" si="6"/>
        <v>37.06666667</v>
      </c>
      <c r="N18" s="13">
        <f t="shared" si="7"/>
        <v>0.6417568479</v>
      </c>
      <c r="O18" s="11"/>
      <c r="P18" s="11"/>
      <c r="R18" s="4" t="s">
        <v>33</v>
      </c>
      <c r="S18" s="4" t="s">
        <v>34</v>
      </c>
      <c r="T18" s="4" t="s">
        <v>35</v>
      </c>
      <c r="U18" s="4" t="s">
        <v>36</v>
      </c>
      <c r="V18" s="22"/>
      <c r="W18" s="22"/>
    </row>
    <row r="19">
      <c r="A19" s="19" t="s">
        <v>37</v>
      </c>
      <c r="B19" s="19" t="s">
        <v>38</v>
      </c>
      <c r="C19" s="10">
        <f>C17-C18</f>
        <v>340</v>
      </c>
      <c r="H19" s="6">
        <v>13.0</v>
      </c>
      <c r="I19" s="6">
        <v>90.0</v>
      </c>
      <c r="J19" s="6">
        <v>820.0</v>
      </c>
      <c r="K19" s="6">
        <v>3381.0</v>
      </c>
      <c r="L19" s="12">
        <f t="shared" si="5"/>
        <v>58.14636704</v>
      </c>
      <c r="M19" s="13">
        <f t="shared" si="6"/>
        <v>37.56666667</v>
      </c>
      <c r="N19" s="13">
        <f t="shared" si="7"/>
        <v>0.6460707449</v>
      </c>
      <c r="O19" s="11"/>
      <c r="P19" s="11"/>
      <c r="R19" s="23">
        <f> (R16 * ( 1- SQRT(1-V16) ) )/T16</f>
        <v>-0.0002296733066</v>
      </c>
      <c r="S19" s="23">
        <f> SQRT( ((1-SQRT(1-V16))/(T16))^2 * (S16^2 + ((R16^2)/(T16^2)) *U16^2 + ((R16)/(2*T16*SQRT(1-V16)))^2 *W16^2 ) )</f>
        <v>0.000006173506283</v>
      </c>
      <c r="T19" s="10">
        <f>(V8*V10-SQRT(V8*V10*(V9-V8)*(V9-V10)))/(V8*V10*V9)</f>
        <v>0.0003005546782</v>
      </c>
      <c r="U19" s="10"/>
      <c r="V19" s="10"/>
      <c r="W19" s="10"/>
    </row>
    <row r="20">
      <c r="A20" s="19" t="s">
        <v>39</v>
      </c>
      <c r="B20" s="19" t="s">
        <v>40</v>
      </c>
      <c r="C20" s="10">
        <f>(C17+C18)/2</f>
        <v>810</v>
      </c>
      <c r="D20" s="24" t="s">
        <v>41</v>
      </c>
      <c r="H20" s="6">
        <v>14.0</v>
      </c>
      <c r="I20" s="6">
        <v>90.0</v>
      </c>
      <c r="J20" s="6">
        <v>840.0</v>
      </c>
      <c r="K20" s="6">
        <v>3613.0</v>
      </c>
      <c r="L20" s="12">
        <f t="shared" si="5"/>
        <v>60.10823571</v>
      </c>
      <c r="M20" s="13">
        <f t="shared" si="6"/>
        <v>40.14444444</v>
      </c>
      <c r="N20" s="13">
        <f t="shared" si="7"/>
        <v>0.6678692857</v>
      </c>
      <c r="O20" s="11"/>
      <c r="P20" s="11"/>
      <c r="R20" s="25"/>
      <c r="S20" s="25"/>
      <c r="T20" s="25"/>
      <c r="U20" s="25"/>
      <c r="V20" s="25"/>
      <c r="W20" s="25"/>
    </row>
    <row r="21">
      <c r="A21" s="19" t="s">
        <v>42</v>
      </c>
      <c r="B21" s="26" t="s">
        <v>43</v>
      </c>
      <c r="C21" s="27">
        <f>((200)/(C19)) * ((M27-M9)/(M27+M9))</f>
        <v>0.158284371</v>
      </c>
      <c r="D21" s="28">
        <f>((20)/(17))*((1)/(M9+M27)^2)*SQRT(M27^2 *N27^2 + M9^2 *N9^2)</f>
        <v>0.008075345165</v>
      </c>
      <c r="H21" s="6">
        <v>15.0</v>
      </c>
      <c r="I21" s="6">
        <v>90.0</v>
      </c>
      <c r="J21" s="6">
        <v>860.0</v>
      </c>
      <c r="K21" s="6">
        <v>3572.0</v>
      </c>
      <c r="L21" s="12">
        <f t="shared" si="5"/>
        <v>59.76621119</v>
      </c>
      <c r="M21" s="13">
        <f t="shared" si="6"/>
        <v>39.68888889</v>
      </c>
      <c r="N21" s="13">
        <f t="shared" si="7"/>
        <v>0.6640690132</v>
      </c>
      <c r="O21" s="11"/>
      <c r="P21" s="11"/>
      <c r="R21" s="25"/>
      <c r="S21" s="25"/>
      <c r="T21" s="25"/>
      <c r="U21" s="25"/>
      <c r="V21" s="25"/>
      <c r="W21" s="25"/>
    </row>
    <row r="22">
      <c r="H22" s="6">
        <v>16.0</v>
      </c>
      <c r="I22" s="6">
        <v>90.0</v>
      </c>
      <c r="J22" s="6">
        <v>880.0</v>
      </c>
      <c r="K22" s="6">
        <v>3653.0</v>
      </c>
      <c r="L22" s="12">
        <f t="shared" si="5"/>
        <v>60.44005295</v>
      </c>
      <c r="M22" s="13">
        <f t="shared" si="6"/>
        <v>40.58888889</v>
      </c>
      <c r="N22" s="13">
        <f t="shared" si="7"/>
        <v>0.6715561438</v>
      </c>
      <c r="O22" s="11"/>
      <c r="P22" s="11"/>
      <c r="S22" s="29" t="s">
        <v>44</v>
      </c>
      <c r="T22" s="30">
        <f> V9*V10 + V7*V10 - V9*V7</f>
        <v>455.0129956</v>
      </c>
    </row>
    <row r="23">
      <c r="H23" s="6">
        <v>17.0</v>
      </c>
      <c r="I23" s="6">
        <v>90.0</v>
      </c>
      <c r="J23" s="6">
        <v>900.0</v>
      </c>
      <c r="K23" s="6">
        <v>3728.0</v>
      </c>
      <c r="L23" s="12">
        <f t="shared" si="5"/>
        <v>61.05735009</v>
      </c>
      <c r="M23" s="13">
        <f t="shared" si="6"/>
        <v>41.42222222</v>
      </c>
      <c r="N23" s="13">
        <f t="shared" si="7"/>
        <v>0.678415001</v>
      </c>
      <c r="O23" s="11"/>
      <c r="P23" s="11"/>
      <c r="S23" s="29" t="s">
        <v>45</v>
      </c>
      <c r="T23" s="30">
        <f> V9*V8 + V7*V8 - V9*V7</f>
        <v>363.9772022</v>
      </c>
    </row>
    <row r="24">
      <c r="D24" s="17">
        <f>1/0.02^2/35.84</f>
        <v>69.75446429</v>
      </c>
      <c r="H24" s="6">
        <v>18.0</v>
      </c>
      <c r="I24" s="6">
        <v>90.0</v>
      </c>
      <c r="J24" s="6">
        <v>920.0</v>
      </c>
      <c r="K24" s="6">
        <v>3749.0</v>
      </c>
      <c r="L24" s="12">
        <f t="shared" si="5"/>
        <v>61.22907806</v>
      </c>
      <c r="M24" s="13">
        <f t="shared" si="6"/>
        <v>41.65555556</v>
      </c>
      <c r="N24" s="13">
        <f t="shared" si="7"/>
        <v>0.6803230895</v>
      </c>
      <c r="O24" s="11"/>
      <c r="P24" s="11"/>
      <c r="S24" s="29" t="s">
        <v>46</v>
      </c>
      <c r="T24" s="30">
        <f>V8*V10 - V9*V8 - V9*V10</f>
        <v>-620.42645</v>
      </c>
    </row>
    <row r="25">
      <c r="D25" s="18">
        <f>1020-635</f>
        <v>385</v>
      </c>
      <c r="E25" s="18">
        <f>635+D25/2</f>
        <v>827.5</v>
      </c>
      <c r="H25" s="6">
        <v>19.0</v>
      </c>
      <c r="I25" s="6">
        <v>90.0</v>
      </c>
      <c r="J25" s="6">
        <v>940.0</v>
      </c>
      <c r="K25" s="6">
        <v>3830.0</v>
      </c>
      <c r="L25" s="12">
        <f t="shared" si="5"/>
        <v>61.88699379</v>
      </c>
      <c r="M25" s="13">
        <f t="shared" si="6"/>
        <v>42.55555556</v>
      </c>
      <c r="N25" s="13">
        <f t="shared" si="7"/>
        <v>0.6876332643</v>
      </c>
      <c r="O25" s="11"/>
      <c r="P25" s="11"/>
      <c r="S25" s="29" t="s">
        <v>47</v>
      </c>
      <c r="T25" s="30">
        <f>V8*V10 - V7*V8 - V7*V10</f>
        <v>198.5113178</v>
      </c>
    </row>
    <row r="26">
      <c r="H26" s="6">
        <v>20.0</v>
      </c>
      <c r="I26" s="6">
        <v>90.0</v>
      </c>
      <c r="J26" s="6">
        <v>960.0</v>
      </c>
      <c r="K26" s="6">
        <v>4000.0</v>
      </c>
      <c r="L26" s="12">
        <f t="shared" si="5"/>
        <v>63.2455532</v>
      </c>
      <c r="M26" s="13">
        <f t="shared" si="6"/>
        <v>44.44444444</v>
      </c>
      <c r="N26" s="13">
        <f t="shared" si="7"/>
        <v>0.7027283689</v>
      </c>
      <c r="O26" s="11"/>
      <c r="P26" s="11"/>
    </row>
    <row r="27">
      <c r="D27" s="18">
        <f>(M29-M8)/D25*100</f>
        <v>12.43590569</v>
      </c>
      <c r="H27" s="6">
        <v>21.0</v>
      </c>
      <c r="I27" s="6">
        <v>90.0</v>
      </c>
      <c r="J27" s="6">
        <v>980.0</v>
      </c>
      <c r="K27" s="6">
        <v>3934.0</v>
      </c>
      <c r="L27" s="12">
        <f t="shared" si="5"/>
        <v>62.72160712</v>
      </c>
      <c r="M27" s="13">
        <f t="shared" si="6"/>
        <v>43.71111111</v>
      </c>
      <c r="N27" s="13">
        <f t="shared" si="7"/>
        <v>0.6969067458</v>
      </c>
      <c r="O27" s="11"/>
      <c r="P27" s="11"/>
    </row>
    <row r="28">
      <c r="D28" s="18">
        <f>SQRT(N29^2+N8^2)/D25*100</f>
        <v>0.255255977</v>
      </c>
      <c r="H28" s="6">
        <v>22.0</v>
      </c>
      <c r="I28" s="6">
        <v>90.0</v>
      </c>
      <c r="J28" s="6">
        <v>1000.0</v>
      </c>
      <c r="K28" s="6">
        <v>4934.0</v>
      </c>
      <c r="L28" s="12">
        <f t="shared" si="5"/>
        <v>70.24243732</v>
      </c>
      <c r="M28" s="13">
        <f t="shared" si="6"/>
        <v>54.82222222</v>
      </c>
      <c r="N28" s="13">
        <f t="shared" si="7"/>
        <v>0.7804715257</v>
      </c>
      <c r="O28" s="11"/>
      <c r="P28" s="11"/>
    </row>
    <row r="29">
      <c r="H29" s="6">
        <v>23.0</v>
      </c>
      <c r="I29" s="6">
        <v>90.0</v>
      </c>
      <c r="J29" s="6">
        <v>1020.0</v>
      </c>
      <c r="K29" s="6">
        <v>6324.0</v>
      </c>
      <c r="L29" s="12">
        <f t="shared" si="5"/>
        <v>79.52358141</v>
      </c>
      <c r="M29" s="13">
        <f t="shared" si="6"/>
        <v>70.26666667</v>
      </c>
      <c r="N29" s="13">
        <f t="shared" si="7"/>
        <v>0.883595349</v>
      </c>
      <c r="O29" s="11"/>
      <c r="P29" s="11"/>
    </row>
    <row r="30">
      <c r="H30" s="6">
        <v>24.0</v>
      </c>
      <c r="I30" s="6">
        <v>90.0</v>
      </c>
      <c r="J30" s="6">
        <v>1040.0</v>
      </c>
      <c r="K30" s="6">
        <v>20249.0</v>
      </c>
      <c r="L30" s="12">
        <f t="shared" si="5"/>
        <v>142.298981</v>
      </c>
      <c r="M30" s="13">
        <f t="shared" si="6"/>
        <v>224.9888889</v>
      </c>
      <c r="N30" s="13">
        <f t="shared" si="7"/>
        <v>1.581099789</v>
      </c>
      <c r="O30" s="11"/>
      <c r="P30" s="11"/>
    </row>
    <row r="31">
      <c r="H31" s="6">
        <v>25.0</v>
      </c>
      <c r="I31" s="10"/>
      <c r="J31" s="6"/>
      <c r="K31" s="10"/>
      <c r="L31" s="10">
        <f t="shared" si="5"/>
        <v>0</v>
      </c>
      <c r="M31" s="10" t="str">
        <f t="shared" si="6"/>
        <v>#DIV/0!</v>
      </c>
      <c r="N31" s="10" t="str">
        <f t="shared" si="7"/>
        <v>#DIV/0!</v>
      </c>
    </row>
    <row r="32">
      <c r="H32" s="6">
        <v>26.0</v>
      </c>
      <c r="I32" s="10"/>
      <c r="J32" s="6"/>
      <c r="K32" s="10"/>
      <c r="L32" s="10">
        <f t="shared" si="5"/>
        <v>0</v>
      </c>
      <c r="M32" s="10" t="str">
        <f t="shared" si="6"/>
        <v>#DIV/0!</v>
      </c>
      <c r="N32" s="10" t="str">
        <f t="shared" si="7"/>
        <v>#DIV/0!</v>
      </c>
    </row>
    <row r="33">
      <c r="H33" s="6">
        <v>27.0</v>
      </c>
      <c r="I33" s="10"/>
      <c r="J33" s="6"/>
      <c r="K33" s="10"/>
      <c r="L33" s="10">
        <f t="shared" si="5"/>
        <v>0</v>
      </c>
      <c r="M33" s="10" t="str">
        <f t="shared" si="6"/>
        <v>#DIV/0!</v>
      </c>
      <c r="N33" s="10" t="str">
        <f t="shared" si="7"/>
        <v>#DIV/0!</v>
      </c>
    </row>
    <row r="34">
      <c r="H34" s="6">
        <v>28.0</v>
      </c>
      <c r="I34" s="10"/>
      <c r="J34" s="6"/>
      <c r="K34" s="10"/>
      <c r="L34" s="10">
        <f t="shared" si="5"/>
        <v>0</v>
      </c>
      <c r="M34" s="10" t="str">
        <f t="shared" si="6"/>
        <v>#DIV/0!</v>
      </c>
      <c r="N34" s="10" t="str">
        <f t="shared" si="7"/>
        <v>#DIV/0!</v>
      </c>
    </row>
    <row r="35">
      <c r="H35" s="6">
        <v>29.0</v>
      </c>
      <c r="I35" s="10"/>
      <c r="J35" s="6"/>
      <c r="K35" s="10"/>
      <c r="L35" s="10">
        <f t="shared" si="5"/>
        <v>0</v>
      </c>
      <c r="M35" s="10" t="str">
        <f t="shared" si="6"/>
        <v>#DIV/0!</v>
      </c>
      <c r="N35" s="10" t="str">
        <f t="shared" si="7"/>
        <v>#DIV/0!</v>
      </c>
    </row>
    <row r="36">
      <c r="H36" s="6">
        <v>30.0</v>
      </c>
      <c r="I36" s="10"/>
      <c r="J36" s="6"/>
      <c r="K36" s="10"/>
      <c r="L36" s="10">
        <f t="shared" si="5"/>
        <v>0</v>
      </c>
      <c r="M36" s="10" t="str">
        <f t="shared" si="6"/>
        <v>#DIV/0!</v>
      </c>
      <c r="N36" s="10" t="str">
        <f t="shared" si="7"/>
        <v>#DIV/0!</v>
      </c>
    </row>
  </sheetData>
  <mergeCells count="8">
    <mergeCell ref="A3:N3"/>
    <mergeCell ref="R3:AD3"/>
    <mergeCell ref="A5:F5"/>
    <mergeCell ref="H5:N5"/>
    <mergeCell ref="R5:W5"/>
    <mergeCell ref="Y5:AD5"/>
    <mergeCell ref="R14:W14"/>
    <mergeCell ref="A15:C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  <col customWidth="1" min="8" max="8" width="16.13"/>
    <col customWidth="1" min="9" max="9" width="14.38"/>
    <col customWidth="1" min="13" max="13" width="14.63"/>
    <col customWidth="1" min="15" max="16" width="14.25"/>
  </cols>
  <sheetData>
    <row r="2">
      <c r="B2" s="1" t="s">
        <v>48</v>
      </c>
    </row>
    <row r="3"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</row>
    <row r="4">
      <c r="G4" s="32" t="s">
        <v>3</v>
      </c>
    </row>
    <row r="5">
      <c r="A5" s="25"/>
      <c r="B5" s="25"/>
      <c r="C5" s="25"/>
      <c r="D5" s="25"/>
      <c r="E5" s="25"/>
      <c r="F5" s="25"/>
      <c r="G5" s="4" t="s">
        <v>49</v>
      </c>
      <c r="H5" s="4" t="s">
        <v>50</v>
      </c>
      <c r="I5" s="4" t="s">
        <v>51</v>
      </c>
      <c r="J5" s="4" t="s">
        <v>5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52</v>
      </c>
      <c r="P5" s="4" t="s">
        <v>8</v>
      </c>
      <c r="Q5" s="4" t="s">
        <v>9</v>
      </c>
      <c r="R5" s="4" t="s">
        <v>53</v>
      </c>
      <c r="S5" s="4" t="s">
        <v>54</v>
      </c>
      <c r="T5" s="4" t="s">
        <v>55</v>
      </c>
      <c r="U5" s="4" t="s">
        <v>56</v>
      </c>
      <c r="V5" s="4" t="s">
        <v>57</v>
      </c>
      <c r="W5" s="4" t="s">
        <v>58</v>
      </c>
    </row>
    <row r="6">
      <c r="A6" s="25"/>
      <c r="B6" s="25"/>
      <c r="C6" s="25"/>
      <c r="D6" s="25"/>
      <c r="E6" s="25"/>
      <c r="F6" s="25"/>
      <c r="G6" s="6">
        <v>1.0</v>
      </c>
      <c r="H6" s="33">
        <v>1.0</v>
      </c>
      <c r="I6" s="13">
        <f t="shared" ref="I6:I15" si="1">SQRT(H6^2 + $D$8^2)</f>
        <v>2.015564437</v>
      </c>
      <c r="J6" s="6">
        <v>81.0</v>
      </c>
      <c r="K6" s="34">
        <v>12338.0</v>
      </c>
      <c r="L6" s="12">
        <f t="shared" ref="L6:L15" si="2">SQRT(K6)</f>
        <v>111.0765502</v>
      </c>
      <c r="M6" s="7">
        <f t="shared" ref="M6:M15" si="3">K6/J6</f>
        <v>152.3209877</v>
      </c>
      <c r="N6" s="7">
        <f t="shared" ref="N6:N15" si="4">(1/J6)*L6</f>
        <v>1.371315434</v>
      </c>
      <c r="O6" s="8">
        <f t="shared" ref="O6:O15" si="5">M6*$D$11</f>
        <v>0.03046419753</v>
      </c>
      <c r="P6" s="7">
        <f t="shared" ref="P6:P15" si="6">M6/(1-O6)</f>
        <v>157.1071303</v>
      </c>
      <c r="Q6" s="35">
        <f t="shared" ref="Q6:Q15" si="7"> ( 1 / (1-M6*$D$11)^(2) ) * N6</f>
        <v>1.458846715</v>
      </c>
      <c r="R6" s="8">
        <f t="shared" ref="R6:R15" si="8">1/(H6^2)</f>
        <v>1</v>
      </c>
      <c r="S6" s="6">
        <v>0.0</v>
      </c>
      <c r="T6" s="8">
        <f t="shared" ref="T6:T15" si="9"> 1 - (H6/I6)</f>
        <v>0.5038610616</v>
      </c>
      <c r="U6" s="6">
        <v>0.0</v>
      </c>
      <c r="V6" s="8">
        <f t="shared" ref="V6:V15" si="10"> T6 * (1 - (3/8) * $D$9^2 * ((H6*(H6+I6))/I6^4))</f>
        <v>0.5007538815</v>
      </c>
      <c r="W6" s="6">
        <v>0.0</v>
      </c>
    </row>
    <row r="7">
      <c r="A7" s="25"/>
      <c r="B7" s="36"/>
      <c r="C7" s="36"/>
      <c r="D7" s="36"/>
      <c r="E7" s="2" t="s">
        <v>59</v>
      </c>
      <c r="F7" s="25"/>
      <c r="G7" s="6">
        <v>2.0</v>
      </c>
      <c r="H7" s="33">
        <v>2.0</v>
      </c>
      <c r="I7" s="13">
        <f t="shared" si="1"/>
        <v>2.657536453</v>
      </c>
      <c r="J7" s="6">
        <v>130.0</v>
      </c>
      <c r="K7" s="34">
        <v>11468.0</v>
      </c>
      <c r="L7" s="12">
        <f t="shared" si="2"/>
        <v>107.0887482</v>
      </c>
      <c r="M7" s="13">
        <f t="shared" si="3"/>
        <v>88.21538462</v>
      </c>
      <c r="N7" s="13">
        <f t="shared" si="4"/>
        <v>0.8237596019</v>
      </c>
      <c r="O7" s="8">
        <f t="shared" si="5"/>
        <v>0.01764307692</v>
      </c>
      <c r="P7" s="13">
        <f t="shared" si="6"/>
        <v>89.79972813</v>
      </c>
      <c r="Q7" s="37">
        <f t="shared" si="7"/>
        <v>0.8536146688</v>
      </c>
      <c r="R7" s="8">
        <f t="shared" si="8"/>
        <v>0.25</v>
      </c>
      <c r="S7" s="6">
        <v>0.0</v>
      </c>
      <c r="T7" s="8">
        <f t="shared" si="9"/>
        <v>0.2474233053</v>
      </c>
      <c r="U7" s="6">
        <v>0.0</v>
      </c>
      <c r="V7" s="8">
        <f t="shared" si="10"/>
        <v>0.2458638113</v>
      </c>
      <c r="W7" s="6">
        <v>0.0</v>
      </c>
    </row>
    <row r="8">
      <c r="A8" s="25"/>
      <c r="B8" s="38" t="s">
        <v>60</v>
      </c>
      <c r="C8" s="6" t="s">
        <v>61</v>
      </c>
      <c r="D8" s="6">
        <v>1.75</v>
      </c>
      <c r="E8" s="6">
        <v>0.0</v>
      </c>
      <c r="F8" s="25"/>
      <c r="G8" s="6">
        <v>3.0</v>
      </c>
      <c r="H8" s="33">
        <v>3.0</v>
      </c>
      <c r="I8" s="13">
        <f t="shared" si="1"/>
        <v>3.473110997</v>
      </c>
      <c r="J8" s="6">
        <v>191.0</v>
      </c>
      <c r="K8" s="34">
        <v>10903.0</v>
      </c>
      <c r="L8" s="12">
        <f t="shared" si="2"/>
        <v>104.4174315</v>
      </c>
      <c r="M8" s="13">
        <f t="shared" si="3"/>
        <v>57.08376963</v>
      </c>
      <c r="N8" s="13">
        <f t="shared" si="4"/>
        <v>0.546688123</v>
      </c>
      <c r="O8" s="8">
        <f t="shared" si="5"/>
        <v>0.01141675393</v>
      </c>
      <c r="P8" s="13">
        <f t="shared" si="6"/>
        <v>57.74300734</v>
      </c>
      <c r="Q8" s="37">
        <f t="shared" si="7"/>
        <v>0.5593880014</v>
      </c>
      <c r="R8" s="8">
        <f t="shared" si="8"/>
        <v>0.1111111111</v>
      </c>
      <c r="S8" s="6">
        <v>0.0</v>
      </c>
      <c r="T8" s="8">
        <f t="shared" si="9"/>
        <v>0.1362210991</v>
      </c>
      <c r="U8" s="6">
        <v>0.0</v>
      </c>
      <c r="V8" s="8">
        <f t="shared" si="10"/>
        <v>0.1356075098</v>
      </c>
      <c r="W8" s="6">
        <v>0.0</v>
      </c>
    </row>
    <row r="9">
      <c r="A9" s="25"/>
      <c r="B9" s="38" t="s">
        <v>62</v>
      </c>
      <c r="C9" s="6" t="s">
        <v>63</v>
      </c>
      <c r="D9" s="6">
        <v>0.3</v>
      </c>
      <c r="E9" s="6">
        <v>0.1</v>
      </c>
      <c r="F9" s="25"/>
      <c r="G9" s="6">
        <v>4.0</v>
      </c>
      <c r="H9" s="33">
        <v>4.0</v>
      </c>
      <c r="I9" s="13">
        <f t="shared" si="1"/>
        <v>4.366062299</v>
      </c>
      <c r="J9" s="6">
        <v>265.0</v>
      </c>
      <c r="K9" s="34">
        <v>10320.0</v>
      </c>
      <c r="L9" s="12">
        <f t="shared" si="2"/>
        <v>101.5874008</v>
      </c>
      <c r="M9" s="13">
        <f t="shared" si="3"/>
        <v>38.94339623</v>
      </c>
      <c r="N9" s="13">
        <f t="shared" si="4"/>
        <v>0.3833486822</v>
      </c>
      <c r="O9" s="8">
        <f t="shared" si="5"/>
        <v>0.007788679245</v>
      </c>
      <c r="P9" s="13">
        <f t="shared" si="6"/>
        <v>39.24909484</v>
      </c>
      <c r="Q9" s="37">
        <f t="shared" si="7"/>
        <v>0.3893907396</v>
      </c>
      <c r="R9" s="8">
        <f t="shared" si="8"/>
        <v>0.0625</v>
      </c>
      <c r="S9" s="6">
        <v>0.0</v>
      </c>
      <c r="T9" s="8">
        <f t="shared" si="9"/>
        <v>0.0838426651</v>
      </c>
      <c r="U9" s="6">
        <v>0.0</v>
      </c>
      <c r="V9" s="8">
        <f t="shared" si="10"/>
        <v>0.08358207361</v>
      </c>
      <c r="W9" s="6">
        <v>0.0</v>
      </c>
    </row>
    <row r="10">
      <c r="A10" s="25"/>
      <c r="B10" s="39"/>
      <c r="C10" s="10"/>
      <c r="D10" s="10"/>
      <c r="E10" s="10"/>
      <c r="F10" s="25"/>
      <c r="G10" s="6">
        <v>5.0</v>
      </c>
      <c r="H10" s="33">
        <v>5.0</v>
      </c>
      <c r="I10" s="13">
        <f t="shared" si="1"/>
        <v>5.297405025</v>
      </c>
      <c r="J10" s="6">
        <v>343.0</v>
      </c>
      <c r="K10" s="34">
        <v>10017.0</v>
      </c>
      <c r="L10" s="12">
        <f t="shared" si="2"/>
        <v>100.0849639</v>
      </c>
      <c r="M10" s="13">
        <f t="shared" si="3"/>
        <v>29.20408163</v>
      </c>
      <c r="N10" s="13">
        <f t="shared" si="4"/>
        <v>0.2917928977</v>
      </c>
      <c r="O10" s="8">
        <f t="shared" si="5"/>
        <v>0.005840816327</v>
      </c>
      <c r="P10" s="13">
        <f t="shared" si="6"/>
        <v>29.37565946</v>
      </c>
      <c r="Q10" s="37">
        <f t="shared" si="7"/>
        <v>0.2952316131</v>
      </c>
      <c r="R10" s="8">
        <f t="shared" si="8"/>
        <v>0.04</v>
      </c>
      <c r="S10" s="6">
        <v>0.0</v>
      </c>
      <c r="T10" s="8">
        <f t="shared" si="9"/>
        <v>0.05614164363</v>
      </c>
      <c r="U10" s="6">
        <v>0.0</v>
      </c>
      <c r="V10" s="8">
        <f t="shared" si="10"/>
        <v>0.05601776284</v>
      </c>
      <c r="W10" s="6">
        <v>0.0</v>
      </c>
    </row>
    <row r="11">
      <c r="A11" s="25"/>
      <c r="B11" s="38" t="s">
        <v>64</v>
      </c>
      <c r="C11" s="6" t="s">
        <v>65</v>
      </c>
      <c r="D11" s="6">
        <v>2.0E-4</v>
      </c>
      <c r="E11" s="10"/>
      <c r="F11" s="25"/>
      <c r="G11" s="6">
        <v>6.0</v>
      </c>
      <c r="H11" s="33">
        <v>6.0</v>
      </c>
      <c r="I11" s="13">
        <f t="shared" si="1"/>
        <v>6.25</v>
      </c>
      <c r="J11" s="6">
        <v>485.0</v>
      </c>
      <c r="K11" s="34">
        <v>10571.0</v>
      </c>
      <c r="L11" s="12">
        <f t="shared" si="2"/>
        <v>102.8153685</v>
      </c>
      <c r="M11" s="13">
        <f t="shared" si="3"/>
        <v>21.79587629</v>
      </c>
      <c r="N11" s="13">
        <f t="shared" si="4"/>
        <v>0.2119904505</v>
      </c>
      <c r="O11" s="8">
        <f t="shared" si="5"/>
        <v>0.004359175258</v>
      </c>
      <c r="P11" s="13">
        <f t="shared" si="6"/>
        <v>21.89130432</v>
      </c>
      <c r="Q11" s="37">
        <f t="shared" si="7"/>
        <v>0.2138508132</v>
      </c>
      <c r="R11" s="8">
        <f t="shared" si="8"/>
        <v>0.02777777778</v>
      </c>
      <c r="S11" s="6">
        <v>0.0</v>
      </c>
      <c r="T11" s="8">
        <f t="shared" si="9"/>
        <v>0.04</v>
      </c>
      <c r="U11" s="6">
        <v>0.0</v>
      </c>
      <c r="V11" s="8">
        <f t="shared" si="10"/>
        <v>0.0399349719</v>
      </c>
      <c r="W11" s="6">
        <v>0.0</v>
      </c>
    </row>
    <row r="12">
      <c r="A12" s="25"/>
      <c r="B12" s="38" t="s">
        <v>66</v>
      </c>
      <c r="C12" s="6" t="s">
        <v>67</v>
      </c>
      <c r="D12" s="10"/>
      <c r="E12" s="10"/>
      <c r="F12" s="25"/>
      <c r="G12" s="6">
        <v>7.0</v>
      </c>
      <c r="H12" s="33">
        <v>7.0</v>
      </c>
      <c r="I12" s="13">
        <f t="shared" si="1"/>
        <v>7.215434845</v>
      </c>
      <c r="J12" s="6">
        <v>621.0</v>
      </c>
      <c r="K12" s="34">
        <v>10558.0</v>
      </c>
      <c r="L12" s="12">
        <f t="shared" si="2"/>
        <v>102.7521289</v>
      </c>
      <c r="M12" s="13">
        <f t="shared" si="3"/>
        <v>17.00161031</v>
      </c>
      <c r="N12" s="13">
        <f t="shared" si="4"/>
        <v>0.1654623654</v>
      </c>
      <c r="O12" s="8">
        <f t="shared" si="5"/>
        <v>0.003400322061</v>
      </c>
      <c r="P12" s="13">
        <f t="shared" si="6"/>
        <v>17.0596185</v>
      </c>
      <c r="Q12" s="37">
        <f t="shared" si="7"/>
        <v>0.1665933815</v>
      </c>
      <c r="R12" s="8">
        <f t="shared" si="8"/>
        <v>0.02040816327</v>
      </c>
      <c r="S12" s="6">
        <v>0.0</v>
      </c>
      <c r="T12" s="8">
        <f t="shared" si="9"/>
        <v>0.02985749985</v>
      </c>
      <c r="U12" s="6">
        <v>0.0</v>
      </c>
      <c r="V12" s="8">
        <f t="shared" si="10"/>
        <v>0.02982050551</v>
      </c>
      <c r="W12" s="6">
        <v>0.0</v>
      </c>
    </row>
    <row r="13">
      <c r="A13" s="25"/>
      <c r="B13" s="25"/>
      <c r="C13" s="25"/>
      <c r="D13" s="25"/>
      <c r="E13" s="25"/>
      <c r="F13" s="25"/>
      <c r="G13" s="6">
        <v>8.0</v>
      </c>
      <c r="H13" s="33">
        <v>8.0</v>
      </c>
      <c r="I13" s="13">
        <f t="shared" si="1"/>
        <v>8.189169677</v>
      </c>
      <c r="J13" s="6">
        <v>751.0</v>
      </c>
      <c r="K13" s="34">
        <v>10668.0</v>
      </c>
      <c r="L13" s="12">
        <f t="shared" si="2"/>
        <v>103.2860107</v>
      </c>
      <c r="M13" s="13">
        <f t="shared" si="3"/>
        <v>14.20505992</v>
      </c>
      <c r="N13" s="13">
        <f t="shared" si="4"/>
        <v>0.1375313058</v>
      </c>
      <c r="O13" s="8">
        <f t="shared" si="5"/>
        <v>0.002841011984</v>
      </c>
      <c r="P13" s="13">
        <f t="shared" si="6"/>
        <v>14.24553165</v>
      </c>
      <c r="Q13" s="37">
        <f t="shared" si="7"/>
        <v>0.1383161048</v>
      </c>
      <c r="R13" s="8">
        <f t="shared" si="8"/>
        <v>0.015625</v>
      </c>
      <c r="S13" s="6">
        <v>0.0</v>
      </c>
      <c r="T13" s="8">
        <f t="shared" si="9"/>
        <v>0.0230999826</v>
      </c>
      <c r="U13" s="6">
        <v>0.0</v>
      </c>
      <c r="V13" s="8">
        <f t="shared" si="10"/>
        <v>0.02307753135</v>
      </c>
      <c r="W13" s="6">
        <v>0.0</v>
      </c>
    </row>
    <row r="14">
      <c r="A14" s="25"/>
      <c r="B14" s="25"/>
      <c r="C14" s="25"/>
      <c r="D14" s="25"/>
      <c r="E14" s="25"/>
      <c r="F14" s="25"/>
      <c r="G14" s="6">
        <v>9.0</v>
      </c>
      <c r="H14" s="33">
        <v>9.0</v>
      </c>
      <c r="I14" s="13">
        <f t="shared" si="1"/>
        <v>9.16856041</v>
      </c>
      <c r="J14" s="6">
        <v>840.0</v>
      </c>
      <c r="K14" s="34">
        <v>10128.0</v>
      </c>
      <c r="L14" s="12">
        <f t="shared" si="2"/>
        <v>100.637965</v>
      </c>
      <c r="M14" s="13">
        <f t="shared" si="3"/>
        <v>12.05714286</v>
      </c>
      <c r="N14" s="13">
        <f t="shared" si="4"/>
        <v>0.1198071012</v>
      </c>
      <c r="O14" s="8">
        <f t="shared" si="5"/>
        <v>0.002411428571</v>
      </c>
      <c r="P14" s="13">
        <f t="shared" si="6"/>
        <v>12.08628808</v>
      </c>
      <c r="Q14" s="37">
        <f t="shared" si="7"/>
        <v>0.1203870105</v>
      </c>
      <c r="R14" s="8">
        <f t="shared" si="8"/>
        <v>0.01234567901</v>
      </c>
      <c r="S14" s="6">
        <v>0.0</v>
      </c>
      <c r="T14" s="8">
        <f t="shared" si="9"/>
        <v>0.01838461033</v>
      </c>
      <c r="U14" s="6">
        <v>0.0</v>
      </c>
      <c r="V14" s="8">
        <f t="shared" si="10"/>
        <v>0.01837025257</v>
      </c>
      <c r="W14" s="6">
        <v>0.0</v>
      </c>
    </row>
    <row r="15">
      <c r="A15" s="25"/>
      <c r="B15" s="25"/>
      <c r="C15" s="25"/>
      <c r="D15" s="25"/>
      <c r="E15" s="25"/>
      <c r="F15" s="25"/>
      <c r="G15" s="6">
        <v>10.0</v>
      </c>
      <c r="H15" s="33">
        <v>10.0</v>
      </c>
      <c r="I15" s="13">
        <f t="shared" si="1"/>
        <v>10.15197025</v>
      </c>
      <c r="J15" s="6">
        <v>990.0</v>
      </c>
      <c r="K15" s="34">
        <v>10018.0</v>
      </c>
      <c r="L15" s="12">
        <f t="shared" si="2"/>
        <v>100.0899595</v>
      </c>
      <c r="M15" s="13">
        <f t="shared" si="3"/>
        <v>10.11919192</v>
      </c>
      <c r="N15" s="13">
        <f t="shared" si="4"/>
        <v>0.1011009692</v>
      </c>
      <c r="O15" s="8">
        <f t="shared" si="5"/>
        <v>0.002023838384</v>
      </c>
      <c r="P15" s="13">
        <f t="shared" si="6"/>
        <v>10.13971306</v>
      </c>
      <c r="Q15" s="37">
        <f t="shared" si="7"/>
        <v>0.1015114389</v>
      </c>
      <c r="R15" s="8">
        <f t="shared" si="8"/>
        <v>0.01</v>
      </c>
      <c r="S15" s="6">
        <v>0.0</v>
      </c>
      <c r="T15" s="8">
        <f t="shared" si="9"/>
        <v>0.01496953284</v>
      </c>
      <c r="U15" s="6">
        <v>0.0</v>
      </c>
      <c r="V15" s="8">
        <f t="shared" si="10"/>
        <v>0.01495994771</v>
      </c>
      <c r="W15" s="6">
        <v>0.0</v>
      </c>
    </row>
    <row r="16">
      <c r="A16" s="25"/>
      <c r="B16" s="25"/>
      <c r="C16" s="25"/>
      <c r="D16" s="25"/>
      <c r="E16" s="25"/>
      <c r="F16" s="25"/>
      <c r="P16" s="18">
        <f>1/0.02^2/P15</f>
        <v>246.5553005</v>
      </c>
      <c r="Q16" s="18">
        <f>P16*Q15</f>
        <v>25.02818333</v>
      </c>
      <c r="W16" s="6"/>
    </row>
    <row r="17">
      <c r="A17" s="25"/>
      <c r="B17" s="25"/>
      <c r="C17" s="25"/>
      <c r="D17" s="25"/>
      <c r="E17" s="25"/>
      <c r="F17" s="25"/>
    </row>
    <row r="18">
      <c r="A18" s="25"/>
      <c r="B18" s="25"/>
      <c r="C18" s="25"/>
      <c r="D18" s="25"/>
      <c r="E18" s="25"/>
      <c r="F18" s="25"/>
    </row>
    <row r="19">
      <c r="A19" s="25"/>
      <c r="B19" s="1" t="s">
        <v>68</v>
      </c>
    </row>
    <row r="20">
      <c r="A20" s="25"/>
      <c r="B20" s="25"/>
      <c r="C20" s="25"/>
      <c r="D20" s="25"/>
      <c r="E20" s="25"/>
      <c r="F20" s="25"/>
    </row>
    <row r="21">
      <c r="A21" s="25"/>
      <c r="B21" s="25"/>
      <c r="C21" s="40" t="s">
        <v>69</v>
      </c>
      <c r="D21" s="25"/>
      <c r="E21" s="25"/>
      <c r="F21" s="25"/>
    </row>
    <row r="22">
      <c r="A22" s="25"/>
      <c r="B22" s="25"/>
      <c r="C22" s="25"/>
      <c r="D22" s="25"/>
      <c r="E22" s="25"/>
      <c r="F22" s="25"/>
      <c r="G22" s="4" t="s">
        <v>49</v>
      </c>
      <c r="H22" s="4" t="s">
        <v>50</v>
      </c>
      <c r="I22" s="4" t="s">
        <v>51</v>
      </c>
      <c r="J22" s="4" t="s">
        <v>5</v>
      </c>
      <c r="K22" s="4" t="s">
        <v>12</v>
      </c>
      <c r="L22" s="4" t="s">
        <v>13</v>
      </c>
      <c r="M22" s="4" t="s">
        <v>14</v>
      </c>
      <c r="N22" s="4" t="s">
        <v>15</v>
      </c>
      <c r="O22" s="4" t="s">
        <v>52</v>
      </c>
      <c r="P22" s="4" t="s">
        <v>8</v>
      </c>
      <c r="Q22" s="4" t="s">
        <v>9</v>
      </c>
      <c r="R22" s="4" t="s">
        <v>53</v>
      </c>
      <c r="S22" s="4" t="s">
        <v>54</v>
      </c>
      <c r="T22" s="4" t="s">
        <v>55</v>
      </c>
      <c r="U22" s="4" t="s">
        <v>56</v>
      </c>
      <c r="V22" s="4" t="s">
        <v>57</v>
      </c>
      <c r="W22" s="4" t="s">
        <v>58</v>
      </c>
    </row>
    <row r="23">
      <c r="A23" s="25"/>
      <c r="B23" s="25"/>
      <c r="C23" s="25"/>
      <c r="D23" s="25"/>
      <c r="E23" s="25"/>
      <c r="F23" s="25"/>
      <c r="G23" s="6">
        <v>2.0</v>
      </c>
      <c r="H23" s="33">
        <v>2.0</v>
      </c>
      <c r="I23" s="13">
        <f>SQRT(H23^2 + $D$8^2)</f>
        <v>2.657536453</v>
      </c>
      <c r="J23" s="6">
        <v>125.0</v>
      </c>
      <c r="K23" s="6">
        <v>94917.0</v>
      </c>
      <c r="L23" s="10">
        <f>SQRT(K23)</f>
        <v>308.0860269</v>
      </c>
      <c r="M23" s="10">
        <f>K23/J23</f>
        <v>759.336</v>
      </c>
      <c r="N23" s="10">
        <f>(1/J23)*L23</f>
        <v>2.464688216</v>
      </c>
      <c r="O23" s="8">
        <f>M23*$D$11</f>
        <v>0.1518672</v>
      </c>
      <c r="P23" s="8">
        <f>M23/(1-O23)</f>
        <v>895.3031884</v>
      </c>
      <c r="Q23" s="41">
        <f> ( 1 / (1-M23*$D$11)^(2) ) * N23</f>
        <v>3.426370091</v>
      </c>
      <c r="R23" s="8">
        <f>1/(H23^2)</f>
        <v>0.25</v>
      </c>
      <c r="S23" s="10"/>
      <c r="T23" s="8">
        <f> 1 - (H23/I23)</f>
        <v>0.2474233053</v>
      </c>
      <c r="U23" s="10"/>
      <c r="V23" s="8">
        <f> T23 * (1 - (3/8) * $D$9^2 * ((H23*(H23+I23))/I23^4))</f>
        <v>0.2458638113</v>
      </c>
      <c r="W23" s="10"/>
    </row>
    <row r="24">
      <c r="A24" s="25"/>
      <c r="B24" s="25"/>
      <c r="C24" s="25"/>
      <c r="D24" s="25"/>
      <c r="E24" s="25"/>
      <c r="F24" s="25"/>
      <c r="T24" s="18">
        <f>T23/2</f>
        <v>0.1237116526</v>
      </c>
    </row>
    <row r="25">
      <c r="K25" s="18">
        <f>L23/K23</f>
        <v>0.003245846655</v>
      </c>
    </row>
    <row r="28">
      <c r="F28" s="17" t="s">
        <v>70</v>
      </c>
      <c r="G28" s="17">
        <v>1.0</v>
      </c>
      <c r="H28" s="17">
        <v>0.5546</v>
      </c>
    </row>
    <row r="29">
      <c r="C29" s="17" t="s">
        <v>71</v>
      </c>
      <c r="F29" s="17" t="s">
        <v>72</v>
      </c>
      <c r="G29" s="17">
        <v>1.173</v>
      </c>
      <c r="H29" s="18">
        <f>H28*G32+H30*(1-G32)</f>
        <v>0.606498</v>
      </c>
      <c r="I29" s="17" t="s">
        <v>73</v>
      </c>
    </row>
    <row r="30">
      <c r="F30" s="17" t="s">
        <v>74</v>
      </c>
      <c r="G30" s="17">
        <v>1.25</v>
      </c>
      <c r="H30" s="17">
        <v>0.7231</v>
      </c>
    </row>
    <row r="32">
      <c r="F32" s="17" t="s">
        <v>75</v>
      </c>
      <c r="G32" s="18">
        <f>(G29-G28)/(G30-G28)</f>
        <v>0.692</v>
      </c>
    </row>
    <row r="34">
      <c r="G34" s="4" t="s">
        <v>49</v>
      </c>
      <c r="H34" s="4" t="s">
        <v>50</v>
      </c>
      <c r="I34" s="4" t="s">
        <v>51</v>
      </c>
      <c r="J34" s="4" t="s">
        <v>5</v>
      </c>
      <c r="K34" s="4" t="s">
        <v>12</v>
      </c>
      <c r="L34" s="4" t="s">
        <v>13</v>
      </c>
      <c r="M34" s="4" t="s">
        <v>14</v>
      </c>
      <c r="N34" s="4" t="s">
        <v>15</v>
      </c>
      <c r="O34" s="4" t="s">
        <v>52</v>
      </c>
      <c r="P34" s="4" t="s">
        <v>8</v>
      </c>
      <c r="Q34" s="4" t="s">
        <v>9</v>
      </c>
      <c r="R34" s="4" t="s">
        <v>53</v>
      </c>
      <c r="S34" s="4" t="s">
        <v>54</v>
      </c>
      <c r="T34" s="4" t="s">
        <v>55</v>
      </c>
      <c r="U34" s="4" t="s">
        <v>56</v>
      </c>
      <c r="V34" s="4" t="s">
        <v>57</v>
      </c>
      <c r="W34" s="4" t="s">
        <v>58</v>
      </c>
    </row>
    <row r="35">
      <c r="G35" s="6">
        <v>2.0</v>
      </c>
      <c r="H35" s="33">
        <v>2.0</v>
      </c>
      <c r="I35" s="13">
        <f>SQRT(H35^2 + $D$8^2)</f>
        <v>2.657536453</v>
      </c>
      <c r="J35" s="6">
        <v>900.0</v>
      </c>
      <c r="K35" s="6">
        <v>21011.0</v>
      </c>
      <c r="L35" s="10">
        <f>SQRT(K35)</f>
        <v>144.9517161</v>
      </c>
      <c r="M35" s="10">
        <f>K35/J35</f>
        <v>23.34555556</v>
      </c>
      <c r="N35" s="10">
        <f>(1/J35)*L35</f>
        <v>0.1610574623</v>
      </c>
      <c r="O35" s="8">
        <f>M35*$D$11</f>
        <v>0.004669111111</v>
      </c>
      <c r="P35" s="8">
        <f>M35/(1-O35)</f>
        <v>23.45506988</v>
      </c>
      <c r="Q35" s="41">
        <f> ( 1 / (1-M35*$D$11)^(2) ) * N35</f>
        <v>0.1625720521</v>
      </c>
      <c r="R35" s="8">
        <f>1/(H35^2)</f>
        <v>0.25</v>
      </c>
      <c r="S35" s="10"/>
      <c r="T35" s="8">
        <f> 1 - (H35/I35)</f>
        <v>0.2474233053</v>
      </c>
      <c r="U35" s="10"/>
      <c r="V35" s="8">
        <f> T35 * (1 - (3/8) * $D$9^2 * ((H35*(H35+I35))/I35^4))</f>
        <v>0.2458638113</v>
      </c>
      <c r="W35" s="10"/>
    </row>
    <row r="38">
      <c r="C38" s="17" t="s">
        <v>76</v>
      </c>
    </row>
    <row r="44">
      <c r="M44" s="17">
        <v>1189551.0</v>
      </c>
      <c r="N44" s="18">
        <f t="shared" ref="N44:N45" si="11">M44*2.2</f>
        <v>2617012.2</v>
      </c>
      <c r="P44" s="18">
        <f t="shared" ref="P44:P45" si="12">N44/100000</f>
        <v>26.170122</v>
      </c>
    </row>
    <row r="45">
      <c r="M45" s="17">
        <v>425402.0</v>
      </c>
      <c r="N45" s="18">
        <f t="shared" si="11"/>
        <v>935884.4</v>
      </c>
      <c r="P45" s="18">
        <f t="shared" si="12"/>
        <v>9.358844</v>
      </c>
    </row>
    <row r="47">
      <c r="C47" s="17" t="s">
        <v>77</v>
      </c>
    </row>
    <row r="49">
      <c r="K49" s="17">
        <v>22.99</v>
      </c>
      <c r="L49" s="17">
        <v>0.17</v>
      </c>
    </row>
    <row r="50">
      <c r="K50" s="18">
        <f t="shared" ref="K50:L50" si="13">K49*900</f>
        <v>20691</v>
      </c>
      <c r="L50" s="18">
        <f t="shared" si="13"/>
        <v>153</v>
      </c>
    </row>
    <row r="52">
      <c r="O52" s="17">
        <v>0.56</v>
      </c>
    </row>
    <row r="53">
      <c r="O53" s="17">
        <v>26.1</v>
      </c>
      <c r="P53" s="18">
        <f>O52/O53</f>
        <v>0.0214559387</v>
      </c>
    </row>
    <row r="58">
      <c r="Q58" s="17" t="s">
        <v>78</v>
      </c>
      <c r="R58" s="17" t="s">
        <v>79</v>
      </c>
      <c r="S58" s="17" t="s">
        <v>80</v>
      </c>
      <c r="T58" s="17" t="s">
        <v>81</v>
      </c>
    </row>
    <row r="59">
      <c r="Q59" s="17" t="s">
        <v>82</v>
      </c>
      <c r="R59" s="17" t="s">
        <v>83</v>
      </c>
      <c r="S59" s="17">
        <v>7.4</v>
      </c>
    </row>
    <row r="60">
      <c r="Q60" s="17" t="s">
        <v>82</v>
      </c>
      <c r="R60" s="17" t="s">
        <v>84</v>
      </c>
      <c r="S60" s="17">
        <v>0.8</v>
      </c>
    </row>
    <row r="61">
      <c r="L61" s="17">
        <v>0.8</v>
      </c>
      <c r="Q61" s="17" t="s">
        <v>82</v>
      </c>
      <c r="R61" s="42">
        <v>624206.0</v>
      </c>
      <c r="S61" s="17">
        <v>7.7</v>
      </c>
    </row>
    <row r="62">
      <c r="L62" s="17">
        <v>6.9</v>
      </c>
      <c r="Q62" s="17" t="s">
        <v>82</v>
      </c>
      <c r="R62" s="17" t="s">
        <v>85</v>
      </c>
      <c r="S62" s="17">
        <v>1.43</v>
      </c>
    </row>
    <row r="63">
      <c r="B63" s="2" t="s">
        <v>2</v>
      </c>
      <c r="L63" s="17">
        <v>85.4</v>
      </c>
      <c r="R63" s="17" t="s">
        <v>86</v>
      </c>
      <c r="S63" s="17">
        <v>0.28</v>
      </c>
    </row>
    <row r="64">
      <c r="B64" s="4" t="s">
        <v>4</v>
      </c>
      <c r="C64" s="4" t="s">
        <v>5</v>
      </c>
      <c r="D64" s="4" t="s">
        <v>6</v>
      </c>
      <c r="E64" s="4" t="s">
        <v>7</v>
      </c>
      <c r="F64" s="4" t="s">
        <v>8</v>
      </c>
      <c r="G64" s="4" t="s">
        <v>9</v>
      </c>
      <c r="L64" s="18">
        <f>SUM(L61:L63)</f>
        <v>93.1</v>
      </c>
      <c r="M64" s="43">
        <f>127835*L64/100</f>
        <v>119014.385</v>
      </c>
      <c r="R64" s="17">
        <v>511.0</v>
      </c>
      <c r="S64" s="17">
        <v>94.8</v>
      </c>
    </row>
    <row r="65">
      <c r="B65" s="6">
        <v>1.0</v>
      </c>
      <c r="C65" s="6">
        <v>316.0</v>
      </c>
      <c r="D65" s="6">
        <v>126.0</v>
      </c>
      <c r="E65" s="12">
        <f t="shared" ref="E65:E69" si="14">SQRT(D65)</f>
        <v>11.22497216</v>
      </c>
      <c r="F65" s="8">
        <f t="shared" ref="F65:F69" si="15">D65/C65</f>
        <v>0.3987341772</v>
      </c>
      <c r="G65" s="9">
        <f t="shared" ref="G65:G69" si="16">(1/C65)*E65</f>
        <v>0.0355220638</v>
      </c>
      <c r="O65" s="17">
        <v>0.0095</v>
      </c>
      <c r="P65" s="44">
        <f t="shared" ref="P65:P77" si="17">127835*O65</f>
        <v>1214.4325</v>
      </c>
      <c r="R65" s="17">
        <v>1173.0</v>
      </c>
      <c r="S65" s="17">
        <v>5.2</v>
      </c>
    </row>
    <row r="66">
      <c r="B66" s="6">
        <v>2.0</v>
      </c>
      <c r="C66" s="6">
        <v>368.0</v>
      </c>
      <c r="D66" s="6">
        <v>154.0</v>
      </c>
      <c r="E66" s="12">
        <f t="shared" si="14"/>
        <v>12.40967365</v>
      </c>
      <c r="F66" s="8">
        <f t="shared" si="15"/>
        <v>0.4184782609</v>
      </c>
      <c r="G66" s="9">
        <f t="shared" si="16"/>
        <v>0.03372193926</v>
      </c>
      <c r="O66" s="17">
        <v>0.0018</v>
      </c>
      <c r="P66" s="44">
        <f t="shared" si="17"/>
        <v>230.103</v>
      </c>
      <c r="S66" s="18">
        <f>SUM(S59:S65)</f>
        <v>117.61</v>
      </c>
      <c r="T66" s="44">
        <f>127835*S66/100</f>
        <v>150346.7435</v>
      </c>
    </row>
    <row r="67">
      <c r="B67" s="6">
        <v>3.0</v>
      </c>
      <c r="C67" s="6">
        <v>304.0</v>
      </c>
      <c r="D67" s="6">
        <v>137.0</v>
      </c>
      <c r="E67" s="12">
        <f t="shared" si="14"/>
        <v>11.70469991</v>
      </c>
      <c r="F67" s="8">
        <f t="shared" si="15"/>
        <v>0.4506578947</v>
      </c>
      <c r="G67" s="9">
        <f t="shared" si="16"/>
        <v>0.03850230234</v>
      </c>
      <c r="O67" s="17">
        <v>3.5E-4</v>
      </c>
      <c r="P67" s="44">
        <f t="shared" si="17"/>
        <v>44.74225</v>
      </c>
      <c r="R67" s="17" t="s">
        <v>87</v>
      </c>
    </row>
    <row r="68">
      <c r="B68" s="6">
        <v>4.0</v>
      </c>
      <c r="C68" s="6">
        <v>336.0</v>
      </c>
      <c r="D68" s="6">
        <v>162.0</v>
      </c>
      <c r="E68" s="12">
        <f t="shared" si="14"/>
        <v>12.72792206</v>
      </c>
      <c r="F68" s="8">
        <f t="shared" si="15"/>
        <v>0.4821428571</v>
      </c>
      <c r="G68" s="9">
        <f t="shared" si="16"/>
        <v>0.03788072042</v>
      </c>
      <c r="O68" s="17">
        <v>0.117</v>
      </c>
      <c r="P68" s="44">
        <f t="shared" si="17"/>
        <v>14956.695</v>
      </c>
      <c r="R68" s="17" t="s">
        <v>88</v>
      </c>
    </row>
    <row r="69">
      <c r="B69" s="6">
        <v>5.0</v>
      </c>
      <c r="C69" s="6">
        <v>306.0</v>
      </c>
      <c r="D69" s="6">
        <v>150.0</v>
      </c>
      <c r="E69" s="12">
        <f t="shared" si="14"/>
        <v>12.24744871</v>
      </c>
      <c r="F69" s="8">
        <f t="shared" si="15"/>
        <v>0.4901960784</v>
      </c>
      <c r="G69" s="9">
        <f t="shared" si="16"/>
        <v>0.0400243422</v>
      </c>
      <c r="O69" s="17">
        <v>0.0064</v>
      </c>
      <c r="P69" s="44">
        <f t="shared" si="17"/>
        <v>818.144</v>
      </c>
      <c r="R69" s="42">
        <v>661646.0</v>
      </c>
    </row>
    <row r="70">
      <c r="B70" s="6" t="s">
        <v>17</v>
      </c>
      <c r="C70" s="6" t="s">
        <v>18</v>
      </c>
      <c r="D70" s="12">
        <f t="shared" ref="D70:G70" si="18">SUM(D65:D69)/5</f>
        <v>145.8</v>
      </c>
      <c r="E70" s="12">
        <f t="shared" si="18"/>
        <v>12.0629433</v>
      </c>
      <c r="F70" s="8">
        <f t="shared" si="18"/>
        <v>0.4480418537</v>
      </c>
      <c r="G70" s="8">
        <f t="shared" si="18"/>
        <v>0.0371302736</v>
      </c>
      <c r="H70" s="45">
        <f>23.34-F70</f>
        <v>22.89195815</v>
      </c>
      <c r="O70" s="17">
        <v>0.019</v>
      </c>
      <c r="P70" s="44">
        <f t="shared" si="17"/>
        <v>2428.865</v>
      </c>
      <c r="Q70" s="44">
        <f>P70*125</f>
        <v>303608.125</v>
      </c>
    </row>
    <row r="71">
      <c r="P71" s="44">
        <f t="shared" si="17"/>
        <v>0</v>
      </c>
    </row>
    <row r="72">
      <c r="O72" s="17">
        <v>0.0022</v>
      </c>
      <c r="P72" s="44">
        <f t="shared" si="17"/>
        <v>281.237</v>
      </c>
    </row>
    <row r="73">
      <c r="H73" s="17">
        <v>894.8</v>
      </c>
      <c r="I73" s="46">
        <v>45019.0</v>
      </c>
      <c r="O73" s="17">
        <v>4.0E-4</v>
      </c>
      <c r="P73" s="44">
        <f t="shared" si="17"/>
        <v>51.134</v>
      </c>
    </row>
    <row r="74">
      <c r="H74" s="18">
        <f t="shared" ref="H74:I74" si="19">H73*125</f>
        <v>111850</v>
      </c>
      <c r="I74" s="47">
        <f t="shared" si="19"/>
        <v>5627375</v>
      </c>
      <c r="K74" s="18">
        <f>LN(2)/30.07</f>
        <v>0.02305112007</v>
      </c>
      <c r="L74" s="18" t="str">
        <f>POW(2,(23-7))</f>
        <v>#ERROR!</v>
      </c>
      <c r="O74" s="17">
        <v>8.0E-5</v>
      </c>
      <c r="P74" s="44">
        <f t="shared" si="17"/>
        <v>10.2268</v>
      </c>
    </row>
    <row r="75">
      <c r="K75" s="18">
        <f>185000*0.691</f>
        <v>127835</v>
      </c>
      <c r="O75" s="17">
        <v>0.028</v>
      </c>
      <c r="P75" s="44">
        <f t="shared" si="17"/>
        <v>3579.38</v>
      </c>
    </row>
    <row r="76">
      <c r="O76" s="17">
        <v>0.0019</v>
      </c>
      <c r="P76" s="44">
        <f t="shared" si="17"/>
        <v>242.8865</v>
      </c>
    </row>
    <row r="77">
      <c r="O77" s="17">
        <v>0.004</v>
      </c>
      <c r="P77" s="44">
        <f t="shared" si="17"/>
        <v>511.34</v>
      </c>
      <c r="Q77" s="18">
        <f>P77*125</f>
        <v>63917.5</v>
      </c>
    </row>
    <row r="83">
      <c r="L83" s="48">
        <v>8.0E-4</v>
      </c>
      <c r="M83" s="44">
        <f t="shared" ref="M83:M87" si="20">127835*L83</f>
        <v>102.268</v>
      </c>
    </row>
    <row r="84">
      <c r="L84" s="49">
        <v>0.009</v>
      </c>
      <c r="M84" s="44">
        <f t="shared" si="20"/>
        <v>1150.515</v>
      </c>
    </row>
    <row r="85">
      <c r="L85" s="17">
        <v>0.106</v>
      </c>
      <c r="M85" s="44">
        <f t="shared" si="20"/>
        <v>13550.51</v>
      </c>
    </row>
    <row r="86">
      <c r="M86" s="44">
        <f t="shared" si="20"/>
        <v>0</v>
      </c>
    </row>
    <row r="87">
      <c r="M87" s="44">
        <f t="shared" si="20"/>
        <v>0</v>
      </c>
    </row>
    <row r="88">
      <c r="L88" s="17">
        <v>0.019</v>
      </c>
      <c r="M88" s="44">
        <f>SUM(M83:M85)</f>
        <v>14803.293</v>
      </c>
      <c r="N88" s="44">
        <f>M88*125</f>
        <v>1850411.625</v>
      </c>
    </row>
    <row r="89">
      <c r="M89" s="44">
        <f t="shared" ref="M89:M95" si="21">127835*L89</f>
        <v>0</v>
      </c>
    </row>
    <row r="90">
      <c r="L90" s="17">
        <v>0.0022</v>
      </c>
      <c r="M90" s="44">
        <f t="shared" si="21"/>
        <v>281.237</v>
      </c>
    </row>
    <row r="91">
      <c r="L91" s="17">
        <v>4.0E-4</v>
      </c>
      <c r="M91" s="44">
        <f t="shared" si="21"/>
        <v>51.134</v>
      </c>
    </row>
    <row r="92">
      <c r="L92" s="17">
        <v>8.0E-5</v>
      </c>
      <c r="M92" s="44">
        <f t="shared" si="21"/>
        <v>10.2268</v>
      </c>
    </row>
    <row r="93">
      <c r="L93" s="17">
        <v>0.028</v>
      </c>
      <c r="M93" s="44">
        <f t="shared" si="21"/>
        <v>3579.38</v>
      </c>
    </row>
    <row r="94">
      <c r="L94" s="17">
        <v>0.0019</v>
      </c>
      <c r="M94" s="44">
        <f t="shared" si="21"/>
        <v>242.8865</v>
      </c>
    </row>
    <row r="95">
      <c r="L95" s="17">
        <v>0.004</v>
      </c>
      <c r="M95" s="44">
        <f t="shared" si="21"/>
        <v>511.34</v>
      </c>
      <c r="N95" s="18">
        <f>M95*125</f>
        <v>63917.5</v>
      </c>
    </row>
  </sheetData>
  <mergeCells count="4">
    <mergeCell ref="B2:W2"/>
    <mergeCell ref="G4:W4"/>
    <mergeCell ref="B19:W19"/>
    <mergeCell ref="B63:G6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2" t="s">
        <v>3</v>
      </c>
    </row>
    <row r="2">
      <c r="A2" s="4" t="s">
        <v>49</v>
      </c>
      <c r="B2" s="4" t="s">
        <v>50</v>
      </c>
      <c r="C2" s="4" t="s">
        <v>51</v>
      </c>
      <c r="D2" s="4" t="s">
        <v>5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52</v>
      </c>
      <c r="J2" s="4" t="s">
        <v>8</v>
      </c>
      <c r="K2" s="4" t="s">
        <v>53</v>
      </c>
      <c r="L2" s="4" t="s">
        <v>55</v>
      </c>
      <c r="M2" s="4" t="s">
        <v>57</v>
      </c>
    </row>
    <row r="3">
      <c r="A3" s="6">
        <v>1.0</v>
      </c>
      <c r="B3" s="33">
        <v>1.0</v>
      </c>
      <c r="C3" s="13">
        <f t="shared" ref="C3:C12" si="1">SQRT(B3^2 + $D$8^2)</f>
        <v>485.0010309</v>
      </c>
      <c r="D3" s="6">
        <v>81.0</v>
      </c>
      <c r="E3" s="6">
        <v>12338.0</v>
      </c>
      <c r="F3" s="10">
        <f t="shared" ref="F3:F12" si="2">SQRT(E3)</f>
        <v>111.0765502</v>
      </c>
      <c r="G3" s="10">
        <f t="shared" ref="G3:G12" si="3">E3/D3</f>
        <v>152.3209877</v>
      </c>
      <c r="H3" s="10">
        <f t="shared" ref="H3:H12" si="4">(1/D3)*F3</f>
        <v>1.371315434</v>
      </c>
      <c r="I3" s="8">
        <f t="shared" ref="I3:I12" si="5">G3*$D$11</f>
        <v>127949.6296</v>
      </c>
      <c r="J3" s="8">
        <f t="shared" ref="J3:J12" si="6">G3/(1-I3)</f>
        <v>-0.001190485495</v>
      </c>
      <c r="K3" s="8">
        <f t="shared" ref="K3:K12" si="7">1/(B3^2)</f>
        <v>1</v>
      </c>
      <c r="L3" s="8">
        <f t="shared" ref="L3:L12" si="8"> 1 - (B3/C3)</f>
        <v>0.9979381487</v>
      </c>
      <c r="M3" s="8">
        <f t="shared" ref="M3:M12" si="9"> L3 * (1 - (3/8) * $D$9^2 * ((B3*(B3+C3))/C3^4))</f>
        <v>0.9966705417</v>
      </c>
    </row>
    <row r="4">
      <c r="A4" s="6">
        <v>2.0</v>
      </c>
      <c r="B4" s="33">
        <v>2.0</v>
      </c>
      <c r="C4" s="13">
        <f t="shared" si="1"/>
        <v>485.0041237</v>
      </c>
      <c r="D4" s="6">
        <v>130.0</v>
      </c>
      <c r="E4" s="6">
        <v>11468.0</v>
      </c>
      <c r="F4" s="10">
        <f t="shared" si="2"/>
        <v>107.0887482</v>
      </c>
      <c r="G4" s="10">
        <f t="shared" si="3"/>
        <v>88.21538462</v>
      </c>
      <c r="H4" s="10">
        <f t="shared" si="4"/>
        <v>0.8237596019</v>
      </c>
      <c r="I4" s="8">
        <f t="shared" si="5"/>
        <v>74100.92308</v>
      </c>
      <c r="J4" s="8">
        <f t="shared" si="6"/>
        <v>-0.001190492256</v>
      </c>
      <c r="K4" s="8">
        <f t="shared" si="7"/>
        <v>0.25</v>
      </c>
      <c r="L4" s="8">
        <f t="shared" si="8"/>
        <v>0.9958763237</v>
      </c>
      <c r="M4" s="8">
        <f t="shared" si="9"/>
        <v>0.9933411905</v>
      </c>
    </row>
    <row r="5">
      <c r="A5" s="6">
        <v>3.0</v>
      </c>
      <c r="B5" s="33">
        <v>3.0</v>
      </c>
      <c r="C5" s="13">
        <f t="shared" si="1"/>
        <v>485.0092783</v>
      </c>
      <c r="D5" s="6">
        <v>191.0</v>
      </c>
      <c r="E5" s="6">
        <v>10903.0</v>
      </c>
      <c r="F5" s="10">
        <f t="shared" si="2"/>
        <v>104.4174315</v>
      </c>
      <c r="G5" s="10">
        <f t="shared" si="3"/>
        <v>57.08376963</v>
      </c>
      <c r="H5" s="10">
        <f t="shared" si="4"/>
        <v>0.546688123</v>
      </c>
      <c r="I5" s="8">
        <f t="shared" si="5"/>
        <v>47950.36649</v>
      </c>
      <c r="J5" s="8">
        <f t="shared" si="6"/>
        <v>-0.001190501018</v>
      </c>
      <c r="K5" s="8">
        <f t="shared" si="7"/>
        <v>0.1111111111</v>
      </c>
      <c r="L5" s="8">
        <f t="shared" si="8"/>
        <v>0.9938145513</v>
      </c>
      <c r="M5" s="8">
        <f t="shared" si="9"/>
        <v>0.9900120536</v>
      </c>
    </row>
    <row r="6">
      <c r="A6" s="6">
        <v>4.0</v>
      </c>
      <c r="B6" s="33">
        <v>4.0</v>
      </c>
      <c r="C6" s="13">
        <f t="shared" si="1"/>
        <v>485.0164946</v>
      </c>
      <c r="D6" s="6">
        <v>265.0</v>
      </c>
      <c r="E6" s="6">
        <v>10320.0</v>
      </c>
      <c r="F6" s="10">
        <f t="shared" si="2"/>
        <v>101.5874008</v>
      </c>
      <c r="G6" s="10">
        <f t="shared" si="3"/>
        <v>38.94339623</v>
      </c>
      <c r="H6" s="10">
        <f t="shared" si="4"/>
        <v>0.3833486822</v>
      </c>
      <c r="I6" s="8">
        <f t="shared" si="5"/>
        <v>32712.45283</v>
      </c>
      <c r="J6" s="8">
        <f t="shared" si="6"/>
        <v>-0.001190512584</v>
      </c>
      <c r="K6" s="8">
        <f t="shared" si="7"/>
        <v>0.0625</v>
      </c>
      <c r="L6" s="8">
        <f t="shared" si="8"/>
        <v>0.9917528578</v>
      </c>
      <c r="M6" s="8">
        <f t="shared" si="9"/>
        <v>0.986683238</v>
      </c>
    </row>
    <row r="7">
      <c r="A7" s="6">
        <v>5.0</v>
      </c>
      <c r="B7" s="33">
        <v>5.0</v>
      </c>
      <c r="C7" s="13">
        <f t="shared" si="1"/>
        <v>485.0257725</v>
      </c>
      <c r="D7" s="6">
        <v>343.0</v>
      </c>
      <c r="E7" s="6">
        <v>10017.0</v>
      </c>
      <c r="F7" s="10">
        <f t="shared" si="2"/>
        <v>100.0849639</v>
      </c>
      <c r="G7" s="10">
        <f t="shared" si="3"/>
        <v>29.20408163</v>
      </c>
      <c r="H7" s="10">
        <f t="shared" si="4"/>
        <v>0.2917928977</v>
      </c>
      <c r="I7" s="8">
        <f t="shared" si="5"/>
        <v>24531.42857</v>
      </c>
      <c r="J7" s="8">
        <f t="shared" si="6"/>
        <v>-0.001190524721</v>
      </c>
      <c r="K7" s="8">
        <f t="shared" si="7"/>
        <v>0.04</v>
      </c>
      <c r="L7" s="8">
        <f t="shared" si="8"/>
        <v>0.9896912694</v>
      </c>
      <c r="M7" s="8">
        <f t="shared" si="9"/>
        <v>0.9833548507</v>
      </c>
    </row>
    <row r="8">
      <c r="A8" s="6">
        <v>6.0</v>
      </c>
      <c r="B8" s="33">
        <v>6.0</v>
      </c>
      <c r="C8" s="13">
        <f t="shared" si="1"/>
        <v>485.037112</v>
      </c>
      <c r="D8" s="6">
        <v>485.0</v>
      </c>
      <c r="E8" s="6">
        <v>10571.0</v>
      </c>
      <c r="F8" s="10">
        <f t="shared" si="2"/>
        <v>102.8153685</v>
      </c>
      <c r="G8" s="10">
        <f t="shared" si="3"/>
        <v>21.79587629</v>
      </c>
      <c r="H8" s="10">
        <f t="shared" si="4"/>
        <v>0.2119904505</v>
      </c>
      <c r="I8" s="8">
        <f t="shared" si="5"/>
        <v>18308.53608</v>
      </c>
      <c r="J8" s="8">
        <f t="shared" si="6"/>
        <v>-0.001190541217</v>
      </c>
      <c r="K8" s="8">
        <f t="shared" si="7"/>
        <v>0.02777777778</v>
      </c>
      <c r="L8" s="8">
        <f t="shared" si="8"/>
        <v>0.9876298125</v>
      </c>
      <c r="M8" s="8">
        <f t="shared" si="9"/>
        <v>0.9800269988</v>
      </c>
    </row>
    <row r="9">
      <c r="A9" s="6">
        <v>7.0</v>
      </c>
      <c r="B9" s="33">
        <v>7.0</v>
      </c>
      <c r="C9" s="13">
        <f t="shared" si="1"/>
        <v>485.0505128</v>
      </c>
      <c r="D9" s="6">
        <v>621.0</v>
      </c>
      <c r="E9" s="6">
        <v>10558.0</v>
      </c>
      <c r="F9" s="10">
        <f t="shared" si="2"/>
        <v>102.7521289</v>
      </c>
      <c r="G9" s="10">
        <f t="shared" si="3"/>
        <v>17.00161031</v>
      </c>
      <c r="H9" s="10">
        <f t="shared" si="4"/>
        <v>0.1654623654</v>
      </c>
      <c r="I9" s="8">
        <f t="shared" si="5"/>
        <v>14281.35266</v>
      </c>
      <c r="J9" s="8">
        <f t="shared" si="6"/>
        <v>-0.001190559555</v>
      </c>
      <c r="K9" s="8">
        <f t="shared" si="7"/>
        <v>0.02040816327</v>
      </c>
      <c r="L9" s="8">
        <f t="shared" si="8"/>
        <v>0.9855685134</v>
      </c>
      <c r="M9" s="8">
        <f t="shared" si="9"/>
        <v>0.9766997892</v>
      </c>
    </row>
    <row r="10">
      <c r="A10" s="6">
        <v>8.0</v>
      </c>
      <c r="B10" s="33">
        <v>8.0</v>
      </c>
      <c r="C10" s="13">
        <f t="shared" si="1"/>
        <v>485.0659749</v>
      </c>
      <c r="D10" s="6">
        <v>751.0</v>
      </c>
      <c r="E10" s="6">
        <v>10668.0</v>
      </c>
      <c r="F10" s="10">
        <f t="shared" si="2"/>
        <v>103.2860107</v>
      </c>
      <c r="G10" s="10">
        <f t="shared" si="3"/>
        <v>14.20505992</v>
      </c>
      <c r="H10" s="10">
        <f t="shared" si="4"/>
        <v>0.1375313058</v>
      </c>
      <c r="I10" s="8">
        <f t="shared" si="5"/>
        <v>11932.25033</v>
      </c>
      <c r="J10" s="8">
        <f t="shared" si="6"/>
        <v>-0.001190575968</v>
      </c>
      <c r="K10" s="8">
        <f t="shared" si="7"/>
        <v>0.015625</v>
      </c>
      <c r="L10" s="8">
        <f t="shared" si="8"/>
        <v>0.9835073981</v>
      </c>
      <c r="M10" s="8">
        <f t="shared" si="9"/>
        <v>0.9733733288</v>
      </c>
    </row>
    <row r="11">
      <c r="A11" s="6">
        <v>9.0</v>
      </c>
      <c r="B11" s="33">
        <v>9.0</v>
      </c>
      <c r="C11" s="13">
        <f t="shared" si="1"/>
        <v>485.083498</v>
      </c>
      <c r="D11" s="6">
        <v>840.0</v>
      </c>
      <c r="E11" s="6">
        <v>10128.0</v>
      </c>
      <c r="F11" s="10">
        <f t="shared" si="2"/>
        <v>100.637965</v>
      </c>
      <c r="G11" s="10">
        <f t="shared" si="3"/>
        <v>12.05714286</v>
      </c>
      <c r="H11" s="10">
        <f t="shared" si="4"/>
        <v>0.1198071012</v>
      </c>
      <c r="I11" s="8">
        <f t="shared" si="5"/>
        <v>10128</v>
      </c>
      <c r="J11" s="8">
        <f t="shared" si="6"/>
        <v>-0.001190593745</v>
      </c>
      <c r="K11" s="8">
        <f t="shared" si="7"/>
        <v>0.01234567901</v>
      </c>
      <c r="L11" s="8">
        <f t="shared" si="8"/>
        <v>0.9814464932</v>
      </c>
      <c r="M11" s="8">
        <f t="shared" si="9"/>
        <v>0.9700477242</v>
      </c>
    </row>
    <row r="12">
      <c r="A12" s="6">
        <v>10.0</v>
      </c>
      <c r="B12" s="33">
        <v>10.0</v>
      </c>
      <c r="C12" s="13">
        <f t="shared" si="1"/>
        <v>485.1030818</v>
      </c>
      <c r="D12" s="6">
        <v>990.0</v>
      </c>
      <c r="E12" s="6">
        <v>10018.0</v>
      </c>
      <c r="F12" s="10">
        <f t="shared" si="2"/>
        <v>100.0899595</v>
      </c>
      <c r="G12" s="10">
        <f t="shared" si="3"/>
        <v>10.11919192</v>
      </c>
      <c r="H12" s="10">
        <f t="shared" si="4"/>
        <v>0.1011009692</v>
      </c>
      <c r="I12" s="8">
        <f t="shared" si="5"/>
        <v>8500.121212</v>
      </c>
      <c r="J12" s="8">
        <f t="shared" si="6"/>
        <v>-0.001190616261</v>
      </c>
      <c r="K12" s="8">
        <f t="shared" si="7"/>
        <v>0.01</v>
      </c>
      <c r="L12" s="8">
        <f t="shared" si="8"/>
        <v>0.9793858246</v>
      </c>
      <c r="M12" s="8">
        <f t="shared" si="9"/>
        <v>0.9667230821</v>
      </c>
    </row>
  </sheetData>
  <mergeCells count="1">
    <mergeCell ref="A1:M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7.0"/>
    <col customWidth="1" min="8" max="8" width="19.13"/>
    <col customWidth="1" min="12" max="12" width="10.75"/>
    <col customWidth="1" min="13" max="13" width="25.5"/>
    <col customWidth="1" min="14" max="14" width="12.13"/>
    <col customWidth="1" min="15" max="15" width="14.25"/>
    <col customWidth="1" min="16" max="16" width="11.38"/>
    <col customWidth="1" min="17" max="18" width="18.0"/>
    <col customWidth="1" min="23" max="24" width="19.25"/>
    <col customWidth="1" min="27" max="27" width="25.75"/>
    <col customWidth="1" min="29" max="29" width="17.38"/>
    <col customWidth="1" min="31" max="31" width="17.25"/>
    <col customWidth="1" min="32" max="32" width="20.13"/>
  </cols>
  <sheetData>
    <row r="1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</row>
    <row r="2">
      <c r="A2" s="30"/>
      <c r="B2" s="30"/>
      <c r="C2" s="30"/>
      <c r="D2" s="30"/>
      <c r="E2" s="50"/>
      <c r="F2" s="50"/>
      <c r="G2" s="29"/>
      <c r="H2" s="30"/>
      <c r="I2" s="50"/>
      <c r="J2" s="51" t="s">
        <v>89</v>
      </c>
      <c r="V2" s="30"/>
      <c r="W2" s="52" t="s">
        <v>90</v>
      </c>
    </row>
    <row r="3">
      <c r="A3" s="30"/>
      <c r="B3" s="30"/>
      <c r="C3" s="30"/>
      <c r="D3" s="30"/>
      <c r="E3" s="24"/>
      <c r="F3" s="24"/>
      <c r="G3" s="30"/>
      <c r="H3" s="30"/>
      <c r="I3" s="30"/>
      <c r="J3" s="53"/>
      <c r="K3" s="53"/>
      <c r="L3" s="53"/>
      <c r="M3" s="53"/>
      <c r="N3" s="53"/>
      <c r="O3" s="53"/>
      <c r="P3" s="54"/>
      <c r="Q3" s="54" t="s">
        <v>91</v>
      </c>
      <c r="R3" s="53"/>
      <c r="S3" s="53"/>
      <c r="T3" s="53"/>
      <c r="U3" s="53"/>
      <c r="V3" s="30"/>
      <c r="W3" s="53"/>
      <c r="X3" s="53"/>
      <c r="Y3" s="55"/>
      <c r="Z3" s="55"/>
      <c r="AA3" s="55"/>
      <c r="AB3" s="55"/>
      <c r="AC3" s="55"/>
      <c r="AD3" s="55"/>
      <c r="AE3" s="54" t="s">
        <v>91</v>
      </c>
      <c r="AF3" s="55"/>
      <c r="AG3" s="55"/>
      <c r="AH3" s="55"/>
      <c r="AI3" s="55"/>
    </row>
    <row r="4">
      <c r="A4" s="30"/>
      <c r="B4" s="30"/>
      <c r="C4" s="30"/>
      <c r="D4" s="29"/>
      <c r="E4" s="24"/>
      <c r="F4" s="24" t="s">
        <v>92</v>
      </c>
      <c r="G4" s="24" t="s">
        <v>93</v>
      </c>
      <c r="H4" s="24" t="s">
        <v>94</v>
      </c>
      <c r="I4" s="24"/>
      <c r="J4" s="56" t="s">
        <v>5</v>
      </c>
      <c r="K4" s="56" t="s">
        <v>12</v>
      </c>
      <c r="L4" s="56" t="s">
        <v>13</v>
      </c>
      <c r="M4" s="56" t="s">
        <v>95</v>
      </c>
      <c r="N4" s="56" t="s">
        <v>15</v>
      </c>
      <c r="O4" s="56" t="s">
        <v>8</v>
      </c>
      <c r="P4" s="56" t="s">
        <v>9</v>
      </c>
      <c r="Q4" s="56" t="s">
        <v>52</v>
      </c>
      <c r="R4" s="56" t="s">
        <v>96</v>
      </c>
      <c r="S4" s="56" t="s">
        <v>97</v>
      </c>
      <c r="T4" s="56" t="s">
        <v>98</v>
      </c>
      <c r="U4" s="56" t="s">
        <v>99</v>
      </c>
      <c r="V4" s="24" t="s">
        <v>92</v>
      </c>
      <c r="W4" s="57"/>
      <c r="X4" s="57" t="s">
        <v>100</v>
      </c>
      <c r="Y4" s="57" t="s">
        <v>12</v>
      </c>
      <c r="Z4" s="56" t="s">
        <v>13</v>
      </c>
      <c r="AA4" s="56" t="s">
        <v>95</v>
      </c>
      <c r="AB4" s="56" t="s">
        <v>15</v>
      </c>
      <c r="AC4" s="56" t="s">
        <v>8</v>
      </c>
      <c r="AD4" s="56" t="s">
        <v>9</v>
      </c>
      <c r="AE4" s="56" t="s">
        <v>52</v>
      </c>
      <c r="AF4" s="56" t="s">
        <v>96</v>
      </c>
      <c r="AG4" s="56" t="s">
        <v>97</v>
      </c>
      <c r="AH4" s="56" t="s">
        <v>101</v>
      </c>
      <c r="AI4" s="56" t="s">
        <v>102</v>
      </c>
    </row>
    <row r="5">
      <c r="E5" s="29"/>
      <c r="F5" s="29">
        <v>1.0</v>
      </c>
      <c r="G5" s="29">
        <v>0.0</v>
      </c>
      <c r="H5" s="30">
        <f>G5+D10</f>
        <v>6.38</v>
      </c>
      <c r="I5" s="29"/>
      <c r="J5" s="54">
        <v>200.0</v>
      </c>
      <c r="K5" s="54">
        <v>4931.0</v>
      </c>
      <c r="L5" s="58">
        <f t="shared" ref="L5:L19" si="1">SQRT(K5)</f>
        <v>70.22107946</v>
      </c>
      <c r="M5" s="59">
        <f t="shared" ref="M5:M19" si="2">K5/J5</f>
        <v>24.655</v>
      </c>
      <c r="N5" s="60">
        <f t="shared" ref="N5:N19" si="3">(1/J5) * L5</f>
        <v>0.3511053973</v>
      </c>
      <c r="O5" s="60">
        <f t="shared" ref="O5:O19" si="4">M5/(1-Q5)</f>
        <v>24.77717626</v>
      </c>
      <c r="P5" s="59">
        <f t="shared" ref="P5:P19" si="5"> ( 1 / (1-M5*$D$12)^(2) ) * N5</f>
        <v>0.3545937793</v>
      </c>
      <c r="Q5" s="61">
        <f t="shared" ref="Q5:Q19" si="6">M5*$D$12</f>
        <v>0.004931</v>
      </c>
      <c r="R5" s="59">
        <f t="shared" ref="R5:R19" si="7">O5-$N$41</f>
        <v>24.42857057</v>
      </c>
      <c r="S5" s="60">
        <f t="shared" ref="S5:S19" si="8">SQRT(P5^2 + $O$41^2)</f>
        <v>0.3545983485</v>
      </c>
      <c r="T5" s="62">
        <f t="shared" ref="T5:T19" si="9">LN(R5)/LN($R$5)</f>
        <v>1</v>
      </c>
      <c r="U5" s="63">
        <f t="shared" ref="U5:U19" si="10">SQRT( (1/(R5*$T$5))^2 * S5^2  + (T5/($R$5 * ($T$5)^2 ))^2 * $S$5^2 )</f>
        <v>0.02052833146</v>
      </c>
      <c r="V5" s="29">
        <v>1.0</v>
      </c>
      <c r="W5" s="64"/>
      <c r="X5" s="64">
        <v>180.0</v>
      </c>
      <c r="Y5" s="64">
        <v>1878.0</v>
      </c>
      <c r="Z5" s="58">
        <f t="shared" ref="Z5:Z11" si="11">SQRT(Y5)</f>
        <v>43.33589736</v>
      </c>
      <c r="AA5" s="59">
        <f t="shared" ref="AA5:AA11" si="12">Y5/X5</f>
        <v>10.43333333</v>
      </c>
      <c r="AB5" s="65">
        <f t="shared" ref="AB5:AB11" si="13">(1/X5) * Z5</f>
        <v>0.2407549853</v>
      </c>
      <c r="AC5" s="37">
        <f t="shared" ref="AC5:AC11" si="14">AA5/(1-AE5)</f>
        <v>10.45514975</v>
      </c>
      <c r="AD5" s="65">
        <f t="shared" ref="AD5:AD11" si="15"> ( 1 / (1-AA5*$D$12)^(2) ) * AB5</f>
        <v>0.2417628898</v>
      </c>
      <c r="AE5" s="63">
        <f t="shared" ref="AE5:AE11" si="16">AA5*$D$12</f>
        <v>0.002086666667</v>
      </c>
      <c r="AF5" s="59">
        <f t="shared" ref="AF5:AF11" si="17">AC5-$AA$37</f>
        <v>10.13296161</v>
      </c>
      <c r="AG5" s="60">
        <f t="shared" ref="AG5:AG11" si="18">SQRT(AD5^2 + $AB$37^2)</f>
        <v>0.2417690835</v>
      </c>
      <c r="AH5" s="63">
        <f t="shared" ref="AH5:AH11" si="19">(AC5-$AC$5)/$AC$5</f>
        <v>0</v>
      </c>
      <c r="AI5" s="63">
        <f t="shared" ref="AI5:AI11" si="20">(1/$AC$5)*SQRT(AD5^2 + (AC5/$AC$5)^2 * $AD$5^2)</f>
        <v>0.03270200484</v>
      </c>
    </row>
    <row r="6">
      <c r="C6" s="66"/>
      <c r="D6" s="67" t="s">
        <v>103</v>
      </c>
      <c r="E6" s="29"/>
      <c r="F6" s="29">
        <v>3.0</v>
      </c>
      <c r="G6" s="29">
        <v>5.4</v>
      </c>
      <c r="H6" s="30">
        <f>G6+D10</f>
        <v>11.78</v>
      </c>
      <c r="I6" s="29"/>
      <c r="J6" s="54">
        <v>200.0</v>
      </c>
      <c r="K6" s="54">
        <v>4593.0</v>
      </c>
      <c r="L6" s="58">
        <f t="shared" si="1"/>
        <v>67.7716755</v>
      </c>
      <c r="M6" s="59">
        <f t="shared" si="2"/>
        <v>22.965</v>
      </c>
      <c r="N6" s="60">
        <f t="shared" si="3"/>
        <v>0.3388583775</v>
      </c>
      <c r="O6" s="60">
        <f t="shared" si="4"/>
        <v>23.07096494</v>
      </c>
      <c r="P6" s="59">
        <f t="shared" si="5"/>
        <v>0.341992708</v>
      </c>
      <c r="Q6" s="61">
        <f t="shared" si="6"/>
        <v>0.004593</v>
      </c>
      <c r="R6" s="59">
        <f t="shared" si="7"/>
        <v>22.72235925</v>
      </c>
      <c r="S6" s="60">
        <f t="shared" si="8"/>
        <v>0.3419974455</v>
      </c>
      <c r="T6" s="62">
        <f t="shared" si="9"/>
        <v>0.9773437012</v>
      </c>
      <c r="U6" s="63">
        <f t="shared" si="10"/>
        <v>0.02068341292</v>
      </c>
      <c r="V6" s="29">
        <v>3.0</v>
      </c>
      <c r="W6" s="64"/>
      <c r="X6" s="64">
        <v>180.0</v>
      </c>
      <c r="Y6" s="64">
        <v>2444.0</v>
      </c>
      <c r="Z6" s="58">
        <f t="shared" si="11"/>
        <v>49.43682838</v>
      </c>
      <c r="AA6" s="59">
        <f t="shared" si="12"/>
        <v>13.57777778</v>
      </c>
      <c r="AB6" s="65">
        <f t="shared" si="13"/>
        <v>0.2746490465</v>
      </c>
      <c r="AC6" s="37">
        <f t="shared" si="14"/>
        <v>13.61474939</v>
      </c>
      <c r="AD6" s="65">
        <f t="shared" si="15"/>
        <v>0.2761467941</v>
      </c>
      <c r="AE6" s="63">
        <f t="shared" si="16"/>
        <v>0.002715555556</v>
      </c>
      <c r="AF6" s="59">
        <f t="shared" si="17"/>
        <v>13.29256125</v>
      </c>
      <c r="AG6" s="60">
        <f t="shared" si="18"/>
        <v>0.2761522166</v>
      </c>
      <c r="AH6" s="63">
        <f t="shared" si="19"/>
        <v>0.3022051063</v>
      </c>
      <c r="AI6" s="63">
        <f t="shared" si="20"/>
        <v>0.04005433824</v>
      </c>
    </row>
    <row r="7">
      <c r="A7" s="17"/>
      <c r="B7" s="17"/>
      <c r="C7" s="68" t="s">
        <v>104</v>
      </c>
      <c r="D7" s="69">
        <v>3.88</v>
      </c>
      <c r="E7" s="29"/>
      <c r="F7" s="29">
        <v>4.0</v>
      </c>
      <c r="G7" s="29">
        <v>9.45</v>
      </c>
      <c r="H7" s="30">
        <f t="shared" ref="H7:H22" si="21">G7+$D$10</f>
        <v>15.83</v>
      </c>
      <c r="I7" s="29"/>
      <c r="J7" s="54">
        <v>200.0</v>
      </c>
      <c r="K7" s="54">
        <v>4351.0</v>
      </c>
      <c r="L7" s="58">
        <f t="shared" si="1"/>
        <v>65.96211034</v>
      </c>
      <c r="M7" s="59">
        <f t="shared" si="2"/>
        <v>21.755</v>
      </c>
      <c r="N7" s="60">
        <f t="shared" si="3"/>
        <v>0.3298105517</v>
      </c>
      <c r="O7" s="60">
        <f t="shared" si="4"/>
        <v>21.85006965</v>
      </c>
      <c r="P7" s="59">
        <f t="shared" si="5"/>
        <v>0.3326994035</v>
      </c>
      <c r="Q7" s="61">
        <f t="shared" si="6"/>
        <v>0.004351</v>
      </c>
      <c r="R7" s="59">
        <f t="shared" si="7"/>
        <v>21.50146396</v>
      </c>
      <c r="S7" s="60">
        <f t="shared" si="8"/>
        <v>0.3327042734</v>
      </c>
      <c r="T7" s="62">
        <f t="shared" si="9"/>
        <v>0.9600618905</v>
      </c>
      <c r="U7" s="63">
        <f t="shared" si="10"/>
        <v>0.02082409769</v>
      </c>
      <c r="V7" s="29">
        <v>4.0</v>
      </c>
      <c r="W7" s="64"/>
      <c r="X7" s="64">
        <v>180.0</v>
      </c>
      <c r="Y7" s="64">
        <v>2663.0</v>
      </c>
      <c r="Z7" s="58">
        <f t="shared" si="11"/>
        <v>51.60426339</v>
      </c>
      <c r="AA7" s="59">
        <f t="shared" si="12"/>
        <v>14.79444444</v>
      </c>
      <c r="AB7" s="65">
        <f t="shared" si="13"/>
        <v>0.2866903522</v>
      </c>
      <c r="AC7" s="37">
        <f t="shared" si="14"/>
        <v>14.83834947</v>
      </c>
      <c r="AD7" s="65">
        <f t="shared" si="15"/>
        <v>0.2883944817</v>
      </c>
      <c r="AE7" s="63">
        <f t="shared" si="16"/>
        <v>0.002958888889</v>
      </c>
      <c r="AF7" s="59">
        <f t="shared" si="17"/>
        <v>14.51616133</v>
      </c>
      <c r="AG7" s="60">
        <f t="shared" si="18"/>
        <v>0.288399674</v>
      </c>
      <c r="AH7" s="63">
        <f t="shared" si="19"/>
        <v>0.4192383498</v>
      </c>
      <c r="AI7" s="63">
        <f t="shared" si="20"/>
        <v>0.04287084287</v>
      </c>
    </row>
    <row r="8">
      <c r="A8" s="17"/>
      <c r="B8" s="17"/>
      <c r="C8" s="68" t="s">
        <v>105</v>
      </c>
      <c r="D8" s="69">
        <v>2.0</v>
      </c>
      <c r="E8" s="29"/>
      <c r="F8" s="29">
        <v>5.0</v>
      </c>
      <c r="G8" s="29">
        <v>13.51</v>
      </c>
      <c r="H8" s="30">
        <f t="shared" si="21"/>
        <v>19.89</v>
      </c>
      <c r="I8" s="29"/>
      <c r="J8" s="54">
        <v>200.0</v>
      </c>
      <c r="K8" s="54">
        <v>3846.0</v>
      </c>
      <c r="L8" s="58">
        <f t="shared" si="1"/>
        <v>62.01612693</v>
      </c>
      <c r="M8" s="53">
        <f t="shared" si="2"/>
        <v>19.23</v>
      </c>
      <c r="N8" s="60">
        <f t="shared" si="3"/>
        <v>0.3100806347</v>
      </c>
      <c r="O8" s="60">
        <f t="shared" si="4"/>
        <v>19.30424412</v>
      </c>
      <c r="P8" s="59">
        <f t="shared" si="5"/>
        <v>0.3124796057</v>
      </c>
      <c r="Q8" s="61">
        <f t="shared" si="6"/>
        <v>0.003846</v>
      </c>
      <c r="R8" s="59">
        <f t="shared" si="7"/>
        <v>18.95563843</v>
      </c>
      <c r="S8" s="60">
        <f t="shared" si="8"/>
        <v>0.3124847907</v>
      </c>
      <c r="T8" s="62">
        <f t="shared" si="9"/>
        <v>0.9206284363</v>
      </c>
      <c r="U8" s="63">
        <f t="shared" si="10"/>
        <v>0.02122127647</v>
      </c>
      <c r="V8" s="29">
        <v>5.0</v>
      </c>
      <c r="W8" s="64"/>
      <c r="X8" s="64">
        <v>180.0</v>
      </c>
      <c r="Y8" s="64">
        <v>2881.0</v>
      </c>
      <c r="Z8" s="58">
        <f t="shared" si="11"/>
        <v>53.6749476</v>
      </c>
      <c r="AA8" s="59">
        <f t="shared" si="12"/>
        <v>16.00555556</v>
      </c>
      <c r="AB8" s="65">
        <f t="shared" si="13"/>
        <v>0.2981941533</v>
      </c>
      <c r="AC8" s="37">
        <f t="shared" si="14"/>
        <v>16.05695565</v>
      </c>
      <c r="AD8" s="65">
        <f t="shared" si="15"/>
        <v>0.3001124647</v>
      </c>
      <c r="AE8" s="63">
        <f t="shared" si="16"/>
        <v>0.003201111111</v>
      </c>
      <c r="AF8" s="59">
        <f t="shared" si="17"/>
        <v>15.73476752</v>
      </c>
      <c r="AG8" s="60">
        <f t="shared" si="18"/>
        <v>0.3001174543</v>
      </c>
      <c r="AH8" s="63">
        <f t="shared" si="19"/>
        <v>0.5357939432</v>
      </c>
      <c r="AI8" s="63">
        <f t="shared" si="20"/>
        <v>0.04566360404</v>
      </c>
    </row>
    <row r="9">
      <c r="A9" s="17"/>
      <c r="B9" s="17"/>
      <c r="C9" s="68" t="s">
        <v>106</v>
      </c>
      <c r="D9" s="69">
        <v>0.5</v>
      </c>
      <c r="E9" s="29"/>
      <c r="F9" s="29">
        <v>6.0</v>
      </c>
      <c r="G9" s="29">
        <v>25.67</v>
      </c>
      <c r="H9" s="30">
        <f t="shared" si="21"/>
        <v>32.05</v>
      </c>
      <c r="I9" s="29"/>
      <c r="J9" s="54">
        <v>200.0</v>
      </c>
      <c r="K9" s="54">
        <v>3091.0</v>
      </c>
      <c r="L9" s="58">
        <f t="shared" si="1"/>
        <v>55.5967625</v>
      </c>
      <c r="M9" s="59">
        <f t="shared" si="2"/>
        <v>15.455</v>
      </c>
      <c r="N9" s="60">
        <f t="shared" si="3"/>
        <v>0.2779838125</v>
      </c>
      <c r="O9" s="60">
        <f t="shared" si="4"/>
        <v>15.50291952</v>
      </c>
      <c r="P9" s="59">
        <f t="shared" si="5"/>
        <v>0.2797103092</v>
      </c>
      <c r="Q9" s="61">
        <f t="shared" si="6"/>
        <v>0.003091</v>
      </c>
      <c r="R9" s="59">
        <f t="shared" si="7"/>
        <v>15.15431384</v>
      </c>
      <c r="S9" s="60">
        <f t="shared" si="8"/>
        <v>0.2797161016</v>
      </c>
      <c r="T9" s="62">
        <f t="shared" si="9"/>
        <v>0.8505929327</v>
      </c>
      <c r="U9" s="63">
        <f t="shared" si="10"/>
        <v>0.02220675658</v>
      </c>
      <c r="V9" s="29">
        <v>6.0</v>
      </c>
      <c r="W9" s="64"/>
      <c r="X9" s="64">
        <v>180.0</v>
      </c>
      <c r="Y9" s="64">
        <v>3812.0</v>
      </c>
      <c r="Z9" s="58">
        <f t="shared" si="11"/>
        <v>61.74139616</v>
      </c>
      <c r="AA9" s="59">
        <f t="shared" si="12"/>
        <v>21.17777778</v>
      </c>
      <c r="AB9" s="65">
        <f t="shared" si="13"/>
        <v>0.3430077565</v>
      </c>
      <c r="AC9" s="37">
        <f t="shared" si="14"/>
        <v>21.26785898</v>
      </c>
      <c r="AD9" s="65">
        <f t="shared" si="15"/>
        <v>0.3459319787</v>
      </c>
      <c r="AE9" s="63">
        <f t="shared" si="16"/>
        <v>0.004235555556</v>
      </c>
      <c r="AF9" s="59">
        <f t="shared" si="17"/>
        <v>20.94567084</v>
      </c>
      <c r="AG9" s="60">
        <f t="shared" si="18"/>
        <v>0.3459363074</v>
      </c>
      <c r="AH9" s="63">
        <f t="shared" si="19"/>
        <v>1.034199365</v>
      </c>
      <c r="AI9" s="63">
        <f t="shared" si="20"/>
        <v>0.05750982256</v>
      </c>
    </row>
    <row r="10">
      <c r="A10" s="17"/>
      <c r="B10" s="17"/>
      <c r="C10" s="70" t="s">
        <v>107</v>
      </c>
      <c r="D10" s="71">
        <f>D7+D8+D9</f>
        <v>6.38</v>
      </c>
      <c r="E10" s="29"/>
      <c r="F10" s="29">
        <v>7.0</v>
      </c>
      <c r="G10" s="29">
        <v>31.07</v>
      </c>
      <c r="H10" s="30">
        <f t="shared" si="21"/>
        <v>37.45</v>
      </c>
      <c r="I10" s="29"/>
      <c r="J10" s="54">
        <v>200.0</v>
      </c>
      <c r="K10" s="54">
        <v>2756.0</v>
      </c>
      <c r="L10" s="58">
        <f t="shared" si="1"/>
        <v>52.49761899</v>
      </c>
      <c r="M10" s="53">
        <f t="shared" si="2"/>
        <v>13.78</v>
      </c>
      <c r="N10" s="60">
        <f t="shared" si="3"/>
        <v>0.262488095</v>
      </c>
      <c r="O10" s="60">
        <f t="shared" si="4"/>
        <v>13.81808264</v>
      </c>
      <c r="P10" s="59">
        <f t="shared" si="5"/>
        <v>0.2639409326</v>
      </c>
      <c r="Q10" s="61">
        <f t="shared" si="6"/>
        <v>0.002756</v>
      </c>
      <c r="R10" s="59">
        <f t="shared" si="7"/>
        <v>13.46947695</v>
      </c>
      <c r="S10" s="60">
        <f t="shared" si="8"/>
        <v>0.2639470711</v>
      </c>
      <c r="T10" s="62">
        <f t="shared" si="9"/>
        <v>0.8137130297</v>
      </c>
      <c r="U10" s="63">
        <f t="shared" si="10"/>
        <v>0.02288046222</v>
      </c>
      <c r="V10" s="29">
        <v>7.0</v>
      </c>
      <c r="W10" s="64"/>
      <c r="X10" s="64">
        <v>180.0</v>
      </c>
      <c r="Y10" s="64">
        <v>4232.0</v>
      </c>
      <c r="Z10" s="58">
        <f t="shared" si="11"/>
        <v>65.05382387</v>
      </c>
      <c r="AA10" s="59">
        <f t="shared" si="12"/>
        <v>23.51111111</v>
      </c>
      <c r="AB10" s="65">
        <f t="shared" si="13"/>
        <v>0.3614101326</v>
      </c>
      <c r="AC10" s="37">
        <f t="shared" si="14"/>
        <v>23.62218789</v>
      </c>
      <c r="AD10" s="65">
        <f t="shared" si="15"/>
        <v>0.3648331186</v>
      </c>
      <c r="AE10" s="63">
        <f t="shared" si="16"/>
        <v>0.004702222222</v>
      </c>
      <c r="AF10" s="59">
        <f t="shared" si="17"/>
        <v>23.29999975</v>
      </c>
      <c r="AG10" s="60">
        <f t="shared" si="18"/>
        <v>0.364837223</v>
      </c>
      <c r="AH10" s="63">
        <f t="shared" si="19"/>
        <v>1.259383028</v>
      </c>
      <c r="AI10" s="63">
        <f t="shared" si="20"/>
        <v>0.06282724084</v>
      </c>
    </row>
    <row r="11">
      <c r="A11" s="17"/>
      <c r="B11" s="17"/>
      <c r="C11" s="17" t="s">
        <v>108</v>
      </c>
      <c r="D11" s="29">
        <v>530.0</v>
      </c>
      <c r="E11" s="29"/>
      <c r="F11" s="29">
        <v>8.0</v>
      </c>
      <c r="G11" s="29">
        <v>43.23</v>
      </c>
      <c r="H11" s="30">
        <f t="shared" si="21"/>
        <v>49.61</v>
      </c>
      <c r="I11" s="29"/>
      <c r="J11" s="54">
        <v>200.0</v>
      </c>
      <c r="K11" s="54">
        <v>2187.0</v>
      </c>
      <c r="L11" s="58">
        <f t="shared" si="1"/>
        <v>46.7653718</v>
      </c>
      <c r="M11" s="59">
        <f t="shared" si="2"/>
        <v>10.935</v>
      </c>
      <c r="N11" s="60">
        <f t="shared" si="3"/>
        <v>0.233826859</v>
      </c>
      <c r="O11" s="60">
        <f t="shared" si="4"/>
        <v>10.95896726</v>
      </c>
      <c r="P11" s="59">
        <f t="shared" si="5"/>
        <v>0.2348529827</v>
      </c>
      <c r="Q11" s="61">
        <f t="shared" si="6"/>
        <v>0.002187</v>
      </c>
      <c r="R11" s="59">
        <f t="shared" si="7"/>
        <v>10.61036157</v>
      </c>
      <c r="S11" s="60">
        <f t="shared" si="8"/>
        <v>0.2348598814</v>
      </c>
      <c r="T11" s="62">
        <f t="shared" si="9"/>
        <v>0.7390529729</v>
      </c>
      <c r="U11" s="63">
        <f t="shared" si="10"/>
        <v>0.02459763875</v>
      </c>
      <c r="V11" s="29">
        <v>8.0</v>
      </c>
      <c r="W11" s="64"/>
      <c r="X11" s="64">
        <v>180.0</v>
      </c>
      <c r="Y11" s="64">
        <v>4312.0</v>
      </c>
      <c r="Z11" s="58">
        <f t="shared" si="11"/>
        <v>65.66582064</v>
      </c>
      <c r="AA11" s="59">
        <f t="shared" si="12"/>
        <v>23.95555556</v>
      </c>
      <c r="AB11" s="65">
        <f t="shared" si="13"/>
        <v>0.3648101147</v>
      </c>
      <c r="AC11" s="37">
        <f t="shared" si="14"/>
        <v>24.07088182</v>
      </c>
      <c r="AD11" s="65">
        <f t="shared" si="15"/>
        <v>0.3683310901</v>
      </c>
      <c r="AE11" s="63">
        <f t="shared" si="16"/>
        <v>0.004791111111</v>
      </c>
      <c r="AF11" s="59">
        <f t="shared" si="17"/>
        <v>23.74869369</v>
      </c>
      <c r="AG11" s="60">
        <f t="shared" si="18"/>
        <v>0.3683351555</v>
      </c>
      <c r="AH11" s="63">
        <f t="shared" si="19"/>
        <v>1.302299098</v>
      </c>
      <c r="AI11" s="63">
        <f t="shared" si="20"/>
        <v>0.06383888909</v>
      </c>
    </row>
    <row r="12">
      <c r="A12" s="17"/>
      <c r="B12" s="17"/>
      <c r="C12" s="17" t="s">
        <v>65</v>
      </c>
      <c r="D12" s="29">
        <v>2.0E-4</v>
      </c>
      <c r="E12" s="29"/>
      <c r="F12" s="29">
        <v>9.0</v>
      </c>
      <c r="G12" s="29">
        <v>64.84</v>
      </c>
      <c r="H12" s="30">
        <f t="shared" si="21"/>
        <v>71.22</v>
      </c>
      <c r="I12" s="29"/>
      <c r="J12" s="54">
        <v>300.0</v>
      </c>
      <c r="K12" s="54">
        <v>1918.0</v>
      </c>
      <c r="L12" s="58">
        <f t="shared" si="1"/>
        <v>43.79497688</v>
      </c>
      <c r="M12" s="59">
        <f t="shared" si="2"/>
        <v>6.393333333</v>
      </c>
      <c r="N12" s="60">
        <f t="shared" si="3"/>
        <v>0.1459832563</v>
      </c>
      <c r="O12" s="60">
        <f t="shared" si="4"/>
        <v>6.401518742</v>
      </c>
      <c r="P12" s="59">
        <f t="shared" si="5"/>
        <v>0.1463573014</v>
      </c>
      <c r="Q12" s="61">
        <f t="shared" si="6"/>
        <v>0.001278666667</v>
      </c>
      <c r="R12" s="59">
        <f t="shared" si="7"/>
        <v>6.052913053</v>
      </c>
      <c r="S12" s="60">
        <f t="shared" si="8"/>
        <v>0.1463683712</v>
      </c>
      <c r="T12" s="62">
        <f t="shared" si="9"/>
        <v>0.563416335</v>
      </c>
      <c r="U12" s="63">
        <f t="shared" si="10"/>
        <v>0.025527043</v>
      </c>
      <c r="V12" s="29">
        <v>9.0</v>
      </c>
      <c r="W12" s="72"/>
      <c r="X12" s="72"/>
      <c r="Y12" s="72"/>
      <c r="Z12" s="58"/>
      <c r="AA12" s="59"/>
      <c r="AB12" s="65"/>
      <c r="AC12" s="37"/>
      <c r="AD12" s="65"/>
      <c r="AE12" s="63"/>
      <c r="AF12" s="53"/>
      <c r="AG12" s="60"/>
      <c r="AH12" s="63"/>
      <c r="AI12" s="63"/>
    </row>
    <row r="13">
      <c r="E13" s="29"/>
      <c r="F13" s="29">
        <v>10.0</v>
      </c>
      <c r="G13" s="29">
        <v>94.57</v>
      </c>
      <c r="H13" s="30">
        <f t="shared" si="21"/>
        <v>100.95</v>
      </c>
      <c r="I13" s="29"/>
      <c r="J13" s="54">
        <v>300.0</v>
      </c>
      <c r="K13" s="54">
        <v>842.0</v>
      </c>
      <c r="L13" s="58">
        <f t="shared" si="1"/>
        <v>29.01723626</v>
      </c>
      <c r="M13" s="59">
        <f t="shared" si="2"/>
        <v>2.806666667</v>
      </c>
      <c r="N13" s="60">
        <f t="shared" si="3"/>
        <v>0.09672412086</v>
      </c>
      <c r="O13" s="60">
        <f t="shared" si="4"/>
        <v>2.808243027</v>
      </c>
      <c r="P13" s="59">
        <f t="shared" si="5"/>
        <v>0.0968328013</v>
      </c>
      <c r="Q13" s="61">
        <f t="shared" si="6"/>
        <v>0.0005613333333</v>
      </c>
      <c r="R13" s="59">
        <f t="shared" si="7"/>
        <v>2.459637338</v>
      </c>
      <c r="S13" s="60">
        <f t="shared" si="8"/>
        <v>0.09684953196</v>
      </c>
      <c r="T13" s="62">
        <f t="shared" si="9"/>
        <v>0.2816280892</v>
      </c>
      <c r="U13" s="63">
        <f t="shared" si="10"/>
        <v>0.03958717792</v>
      </c>
      <c r="V13" s="29">
        <v>10.0</v>
      </c>
      <c r="W13" s="64"/>
      <c r="X13" s="64">
        <v>180.0</v>
      </c>
      <c r="Y13" s="64">
        <v>5434.0</v>
      </c>
      <c r="Z13" s="58">
        <f t="shared" ref="Z13:Z17" si="22">SQRT(Y13)</f>
        <v>73.71566998</v>
      </c>
      <c r="AA13" s="59">
        <f t="shared" ref="AA13:AA17" si="23">Y13/X13</f>
        <v>30.18888889</v>
      </c>
      <c r="AB13" s="65">
        <f t="shared" ref="AB13:AB17" si="24">(1/X13) * Z13</f>
        <v>0.4095314999</v>
      </c>
      <c r="AC13" s="37">
        <f t="shared" ref="AC13:AC17" si="25">AA13/(1-AE13)</f>
        <v>30.37226991</v>
      </c>
      <c r="AD13" s="65">
        <f t="shared" ref="AD13:AD17" si="26"> ( 1 / (1-AA13*$D$12)^(2) ) * AB13</f>
        <v>0.4145219717</v>
      </c>
      <c r="AE13" s="63">
        <f t="shared" ref="AE13:AE17" si="27">AA13*$D$12</f>
        <v>0.006037777778</v>
      </c>
      <c r="AF13" s="59">
        <f t="shared" ref="AF13:AF17" si="28">AC13-$AA$37</f>
        <v>30.05008177</v>
      </c>
      <c r="AG13" s="60">
        <f t="shared" ref="AG13:AG17" si="29">SQRT(AD13^2 + $AB$37^2)</f>
        <v>0.4145255841</v>
      </c>
      <c r="AH13" s="63">
        <f t="shared" ref="AH13:AH17" si="30">(AC13-$AC$5)/$AC$5</f>
        <v>1.905005729</v>
      </c>
      <c r="AI13" s="63">
        <f t="shared" ref="AI13:AI17" si="31">(1/$AC$5)*SQRT(AD13^2 + (AC13/$AC$5)^2 * $AD$5^2)</f>
        <v>0.07800249115</v>
      </c>
    </row>
    <row r="14">
      <c r="A14" s="17"/>
      <c r="B14" s="17"/>
      <c r="C14" s="17" t="s">
        <v>109</v>
      </c>
      <c r="D14" s="17">
        <v>0.76376</v>
      </c>
      <c r="E14" s="29"/>
      <c r="F14" s="29">
        <v>11.0</v>
      </c>
      <c r="G14" s="29">
        <v>135.1</v>
      </c>
      <c r="H14" s="30">
        <f t="shared" si="21"/>
        <v>141.48</v>
      </c>
      <c r="I14" s="29"/>
      <c r="J14" s="54">
        <v>300.0</v>
      </c>
      <c r="K14" s="54">
        <v>281.0</v>
      </c>
      <c r="L14" s="58">
        <f t="shared" si="1"/>
        <v>16.76305461</v>
      </c>
      <c r="M14" s="59">
        <f t="shared" si="2"/>
        <v>0.9366666667</v>
      </c>
      <c r="N14" s="60">
        <f t="shared" si="3"/>
        <v>0.05587684871</v>
      </c>
      <c r="O14" s="60">
        <f t="shared" si="4"/>
        <v>0.9368421684</v>
      </c>
      <c r="P14" s="59">
        <f t="shared" si="5"/>
        <v>0.05589778979</v>
      </c>
      <c r="Q14" s="61">
        <f t="shared" si="6"/>
        <v>0.0001873333333</v>
      </c>
      <c r="R14" s="59">
        <f t="shared" si="7"/>
        <v>0.5882364796</v>
      </c>
      <c r="S14" s="60">
        <f t="shared" si="8"/>
        <v>0.05592676761</v>
      </c>
      <c r="T14" s="62">
        <f t="shared" si="9"/>
        <v>-0.1660410469</v>
      </c>
      <c r="U14" s="63">
        <f t="shared" si="10"/>
        <v>0.09510585837</v>
      </c>
      <c r="V14" s="29">
        <v>11.0</v>
      </c>
      <c r="W14" s="64"/>
      <c r="X14" s="64">
        <v>180.0</v>
      </c>
      <c r="Y14" s="64">
        <v>5721.0</v>
      </c>
      <c r="Z14" s="58">
        <f t="shared" si="22"/>
        <v>75.63729239</v>
      </c>
      <c r="AA14" s="59">
        <f t="shared" si="23"/>
        <v>31.78333333</v>
      </c>
      <c r="AB14" s="65">
        <f t="shared" si="24"/>
        <v>0.4202071799</v>
      </c>
      <c r="AC14" s="37">
        <f t="shared" si="25"/>
        <v>31.98666188</v>
      </c>
      <c r="AD14" s="65">
        <f t="shared" si="26"/>
        <v>0.4256007873</v>
      </c>
      <c r="AE14" s="63">
        <f t="shared" si="27"/>
        <v>0.006356666667</v>
      </c>
      <c r="AF14" s="59">
        <f t="shared" si="28"/>
        <v>31.66447374</v>
      </c>
      <c r="AG14" s="60">
        <f t="shared" si="29"/>
        <v>0.4256043057</v>
      </c>
      <c r="AH14" s="63">
        <f t="shared" si="30"/>
        <v>2.059416905</v>
      </c>
      <c r="AI14" s="63">
        <f t="shared" si="31"/>
        <v>0.08162102125</v>
      </c>
    </row>
    <row r="15">
      <c r="A15" s="73"/>
      <c r="B15" s="73"/>
      <c r="C15" s="74" t="s">
        <v>110</v>
      </c>
      <c r="F15" s="29">
        <v>12.0</v>
      </c>
      <c r="G15" s="29">
        <v>216.16</v>
      </c>
      <c r="H15" s="30">
        <f t="shared" si="21"/>
        <v>222.54</v>
      </c>
      <c r="I15" s="29"/>
      <c r="J15" s="54">
        <v>300.0</v>
      </c>
      <c r="K15" s="54">
        <v>106.0</v>
      </c>
      <c r="L15" s="58">
        <f t="shared" si="1"/>
        <v>10.29563014</v>
      </c>
      <c r="M15" s="59">
        <f t="shared" si="2"/>
        <v>0.3533333333</v>
      </c>
      <c r="N15" s="60">
        <f t="shared" si="3"/>
        <v>0.03431876714</v>
      </c>
      <c r="O15" s="60">
        <f t="shared" si="4"/>
        <v>0.353358304</v>
      </c>
      <c r="P15" s="59">
        <f t="shared" si="5"/>
        <v>0.03432361804</v>
      </c>
      <c r="Q15" s="61">
        <f t="shared" si="6"/>
        <v>0.00007066666667</v>
      </c>
      <c r="R15" s="59">
        <f t="shared" si="7"/>
        <v>0.004752615197</v>
      </c>
      <c r="S15" s="60">
        <f t="shared" si="8"/>
        <v>0.03437078974</v>
      </c>
      <c r="T15" s="62">
        <f t="shared" si="9"/>
        <v>-1.673802582</v>
      </c>
      <c r="U15" s="63">
        <f t="shared" si="10"/>
        <v>7.232014855</v>
      </c>
      <c r="V15" s="29">
        <v>12.0</v>
      </c>
      <c r="W15" s="64"/>
      <c r="X15" s="64">
        <v>180.0</v>
      </c>
      <c r="Y15" s="64">
        <v>5980.0</v>
      </c>
      <c r="Z15" s="58">
        <f t="shared" si="22"/>
        <v>77.33045972</v>
      </c>
      <c r="AA15" s="59">
        <f t="shared" si="23"/>
        <v>33.22222222</v>
      </c>
      <c r="AB15" s="65">
        <f t="shared" si="24"/>
        <v>0.4296136651</v>
      </c>
      <c r="AC15" s="37">
        <f t="shared" si="25"/>
        <v>33.44444196</v>
      </c>
      <c r="AD15" s="65">
        <f t="shared" si="26"/>
        <v>0.4353801623</v>
      </c>
      <c r="AE15" s="63">
        <f t="shared" si="27"/>
        <v>0.006644444444</v>
      </c>
      <c r="AF15" s="59">
        <f t="shared" si="28"/>
        <v>33.12225382</v>
      </c>
      <c r="AG15" s="60">
        <f t="shared" si="29"/>
        <v>0.4353836016</v>
      </c>
      <c r="AH15" s="63">
        <f t="shared" si="30"/>
        <v>2.19884868</v>
      </c>
      <c r="AI15" s="63">
        <f t="shared" si="31"/>
        <v>0.08488584877</v>
      </c>
    </row>
    <row r="16">
      <c r="E16" s="29"/>
      <c r="F16" s="29">
        <v>13.0</v>
      </c>
      <c r="G16" s="29">
        <v>270.2</v>
      </c>
      <c r="H16" s="30">
        <f t="shared" si="21"/>
        <v>276.58</v>
      </c>
      <c r="I16" s="29"/>
      <c r="J16" s="54">
        <v>300.0</v>
      </c>
      <c r="K16" s="54">
        <v>103.0</v>
      </c>
      <c r="L16" s="58">
        <f t="shared" si="1"/>
        <v>10.14889157</v>
      </c>
      <c r="M16" s="59">
        <f t="shared" si="2"/>
        <v>0.3433333333</v>
      </c>
      <c r="N16" s="60">
        <f t="shared" si="3"/>
        <v>0.03382963855</v>
      </c>
      <c r="O16" s="60">
        <f t="shared" si="4"/>
        <v>0.3433569105</v>
      </c>
      <c r="P16" s="59">
        <f t="shared" si="5"/>
        <v>0.03383428497</v>
      </c>
      <c r="Q16" s="61">
        <f t="shared" si="6"/>
        <v>0.00006866666667</v>
      </c>
      <c r="R16" s="59">
        <f t="shared" si="7"/>
        <v>-0.005248778282</v>
      </c>
      <c r="S16" s="60">
        <f t="shared" si="8"/>
        <v>0.03388213794</v>
      </c>
      <c r="T16" s="62" t="str">
        <f t="shared" si="9"/>
        <v>#NUM!</v>
      </c>
      <c r="U16" s="63" t="str">
        <f t="shared" si="10"/>
        <v>#NUM!</v>
      </c>
      <c r="V16" s="29">
        <v>13.0</v>
      </c>
      <c r="W16" s="64"/>
      <c r="X16" s="64">
        <v>180.0</v>
      </c>
      <c r="Y16" s="64">
        <v>6175.0</v>
      </c>
      <c r="Z16" s="58">
        <f t="shared" si="22"/>
        <v>78.58116823</v>
      </c>
      <c r="AA16" s="59">
        <f t="shared" si="23"/>
        <v>34.30555556</v>
      </c>
      <c r="AB16" s="65">
        <f t="shared" si="24"/>
        <v>0.4365620457</v>
      </c>
      <c r="AC16" s="37">
        <f t="shared" si="25"/>
        <v>34.54255587</v>
      </c>
      <c r="AD16" s="65">
        <f t="shared" si="26"/>
        <v>0.4426148693</v>
      </c>
      <c r="AE16" s="63">
        <f t="shared" si="27"/>
        <v>0.006861111111</v>
      </c>
      <c r="AF16" s="59">
        <f t="shared" si="28"/>
        <v>34.22036773</v>
      </c>
      <c r="AG16" s="60">
        <f t="shared" si="29"/>
        <v>0.4426182524</v>
      </c>
      <c r="AH16" s="63">
        <f t="shared" si="30"/>
        <v>2.303879591</v>
      </c>
      <c r="AI16" s="63">
        <f t="shared" si="31"/>
        <v>0.0873436784</v>
      </c>
    </row>
    <row r="17">
      <c r="E17" s="29"/>
      <c r="F17" s="29">
        <v>14.0</v>
      </c>
      <c r="G17" s="29">
        <v>324.24</v>
      </c>
      <c r="H17" s="30">
        <f t="shared" si="21"/>
        <v>330.62</v>
      </c>
      <c r="I17" s="29"/>
      <c r="J17" s="54">
        <v>300.0</v>
      </c>
      <c r="K17" s="54">
        <v>122.0</v>
      </c>
      <c r="L17" s="58">
        <f t="shared" si="1"/>
        <v>11.04536102</v>
      </c>
      <c r="M17" s="59">
        <f t="shared" si="2"/>
        <v>0.4066666667</v>
      </c>
      <c r="N17" s="60">
        <f t="shared" si="3"/>
        <v>0.03681787006</v>
      </c>
      <c r="O17" s="60">
        <f t="shared" si="4"/>
        <v>0.4066997449</v>
      </c>
      <c r="P17" s="59">
        <f t="shared" si="5"/>
        <v>0.03682385983</v>
      </c>
      <c r="Q17" s="61">
        <f t="shared" si="6"/>
        <v>0.00008133333333</v>
      </c>
      <c r="R17" s="59">
        <f t="shared" si="7"/>
        <v>0.05809405612</v>
      </c>
      <c r="S17" s="60">
        <f t="shared" si="8"/>
        <v>0.03686783266</v>
      </c>
      <c r="T17" s="62">
        <f t="shared" si="9"/>
        <v>-0.8904604308</v>
      </c>
      <c r="U17" s="63">
        <f t="shared" si="10"/>
        <v>0.634754764</v>
      </c>
      <c r="V17" s="29">
        <v>14.0</v>
      </c>
      <c r="W17" s="64"/>
      <c r="X17" s="64">
        <v>180.0</v>
      </c>
      <c r="Y17" s="64">
        <v>6284.0</v>
      </c>
      <c r="Z17" s="58">
        <f t="shared" si="22"/>
        <v>79.27168473</v>
      </c>
      <c r="AA17" s="59">
        <f t="shared" si="23"/>
        <v>34.91111111</v>
      </c>
      <c r="AB17" s="65">
        <f t="shared" si="24"/>
        <v>0.4403982485</v>
      </c>
      <c r="AC17" s="37">
        <f t="shared" si="25"/>
        <v>35.15658218</v>
      </c>
      <c r="AD17" s="65">
        <f t="shared" si="26"/>
        <v>0.4466131804</v>
      </c>
      <c r="AE17" s="63">
        <f t="shared" si="27"/>
        <v>0.006982222222</v>
      </c>
      <c r="AF17" s="59">
        <f t="shared" si="28"/>
        <v>34.83439404</v>
      </c>
      <c r="AG17" s="60">
        <f t="shared" si="29"/>
        <v>0.4466165333</v>
      </c>
      <c r="AH17" s="63">
        <f t="shared" si="30"/>
        <v>2.362609148</v>
      </c>
      <c r="AI17" s="63">
        <f t="shared" si="31"/>
        <v>0.08871749483</v>
      </c>
    </row>
    <row r="18">
      <c r="E18" s="29"/>
      <c r="F18" s="29">
        <v>15.0</v>
      </c>
      <c r="G18" s="29">
        <v>405.3</v>
      </c>
      <c r="H18" s="30">
        <f t="shared" si="21"/>
        <v>411.68</v>
      </c>
      <c r="I18" s="29"/>
      <c r="J18" s="54">
        <v>300.0</v>
      </c>
      <c r="K18" s="54">
        <v>102.0</v>
      </c>
      <c r="L18" s="58">
        <f t="shared" si="1"/>
        <v>10.09950494</v>
      </c>
      <c r="M18" s="59">
        <f t="shared" si="2"/>
        <v>0.34</v>
      </c>
      <c r="N18" s="60">
        <f t="shared" si="3"/>
        <v>0.03366501646</v>
      </c>
      <c r="O18" s="60">
        <f t="shared" si="4"/>
        <v>0.3400231216</v>
      </c>
      <c r="P18" s="59">
        <f t="shared" si="5"/>
        <v>0.03366959537</v>
      </c>
      <c r="Q18" s="61">
        <f t="shared" si="6"/>
        <v>0.000068</v>
      </c>
      <c r="R18" s="59">
        <f t="shared" si="7"/>
        <v>-0.008582567217</v>
      </c>
      <c r="S18" s="60">
        <f t="shared" si="8"/>
        <v>0.03371768208</v>
      </c>
      <c r="T18" s="62" t="str">
        <f t="shared" si="9"/>
        <v>#NUM!</v>
      </c>
      <c r="U18" s="63" t="str">
        <f t="shared" si="10"/>
        <v>#NUM!</v>
      </c>
      <c r="V18" s="29">
        <v>15.0</v>
      </c>
      <c r="W18" s="72"/>
      <c r="X18" s="72"/>
      <c r="Y18" s="72"/>
      <c r="Z18" s="58"/>
      <c r="AA18" s="59"/>
      <c r="AB18" s="65"/>
      <c r="AC18" s="37"/>
      <c r="AD18" s="65"/>
      <c r="AE18" s="63"/>
      <c r="AF18" s="53"/>
      <c r="AG18" s="60"/>
      <c r="AH18" s="63"/>
      <c r="AI18" s="63"/>
    </row>
    <row r="19">
      <c r="E19" s="29"/>
      <c r="F19" s="29">
        <v>16.0</v>
      </c>
      <c r="G19" s="29">
        <v>486.36</v>
      </c>
      <c r="H19" s="30">
        <f t="shared" si="21"/>
        <v>492.74</v>
      </c>
      <c r="I19" s="29"/>
      <c r="J19" s="54">
        <v>300.0</v>
      </c>
      <c r="K19" s="54">
        <v>101.0</v>
      </c>
      <c r="L19" s="58">
        <f t="shared" si="1"/>
        <v>10.04987562</v>
      </c>
      <c r="M19" s="59">
        <f t="shared" si="2"/>
        <v>0.3366666667</v>
      </c>
      <c r="N19" s="60">
        <f t="shared" si="3"/>
        <v>0.0334995854</v>
      </c>
      <c r="O19" s="60">
        <f t="shared" si="4"/>
        <v>0.3366893371</v>
      </c>
      <c r="P19" s="59">
        <f t="shared" si="5"/>
        <v>0.03350409714</v>
      </c>
      <c r="Q19" s="61">
        <f t="shared" si="6"/>
        <v>0.00006733333333</v>
      </c>
      <c r="R19" s="59">
        <f t="shared" si="7"/>
        <v>-0.01191635171</v>
      </c>
      <c r="S19" s="60">
        <f t="shared" si="8"/>
        <v>0.03355242103</v>
      </c>
      <c r="T19" s="62" t="str">
        <f t="shared" si="9"/>
        <v>#NUM!</v>
      </c>
      <c r="U19" s="63" t="str">
        <f t="shared" si="10"/>
        <v>#NUM!</v>
      </c>
      <c r="V19" s="29">
        <v>16.0</v>
      </c>
      <c r="W19" s="64"/>
      <c r="X19" s="64">
        <v>180.0</v>
      </c>
      <c r="Y19" s="64">
        <v>6089.0</v>
      </c>
      <c r="Z19" s="58">
        <f t="shared" ref="Z19:Z22" si="32">SQRT(Y19)</f>
        <v>78.0320447</v>
      </c>
      <c r="AA19" s="59">
        <f t="shared" ref="AA19:AA22" si="33">Y19/X19</f>
        <v>33.82777778</v>
      </c>
      <c r="AB19" s="65">
        <f t="shared" ref="AB19:AB22" si="34">(1/X19) * Z19</f>
        <v>0.4335113594</v>
      </c>
      <c r="AC19" s="37">
        <f t="shared" ref="AC19:AC22" si="35">AA19/(1-AE19)</f>
        <v>34.05820042</v>
      </c>
      <c r="AD19" s="65">
        <f t="shared" ref="AD19:AD22" si="36"> ( 1 / (1-AA19*$D$12)^(2) ) * AB19</f>
        <v>0.4394373204</v>
      </c>
      <c r="AE19" s="63">
        <f t="shared" ref="AE19:AE22" si="37">AA19*$D$12</f>
        <v>0.006765555556</v>
      </c>
      <c r="AF19" s="59">
        <f t="shared" ref="AF19:AF22" si="38">AC19-$AA$37</f>
        <v>33.73601229</v>
      </c>
      <c r="AG19" s="60">
        <f t="shared" ref="AG19:AG22" si="39">SQRT(AD19^2 + $AB$37^2)</f>
        <v>0.439440728</v>
      </c>
      <c r="AH19" s="63">
        <f t="shared" ref="AH19:AH22" si="40">(AC19-$AC$5)/$AC$5</f>
        <v>2.257552618</v>
      </c>
      <c r="AI19" s="63">
        <f t="shared" ref="AI19:AI22" si="41">(1/$AC$5)*SQRT(AD19^2 + (AC19/$AC$5)^2 * $AD$5^2)</f>
        <v>0.08625973002</v>
      </c>
    </row>
    <row r="20">
      <c r="E20" s="29"/>
      <c r="F20" s="29">
        <v>20.0</v>
      </c>
      <c r="G20" s="29">
        <v>945.7</v>
      </c>
      <c r="H20" s="30">
        <f t="shared" si="21"/>
        <v>952.08</v>
      </c>
      <c r="L20" s="30"/>
      <c r="M20" s="30"/>
      <c r="N20" s="29"/>
      <c r="O20" s="29"/>
      <c r="P20" s="30"/>
      <c r="Q20" s="30"/>
      <c r="R20" s="30"/>
      <c r="S20" s="29"/>
      <c r="T20" s="29"/>
      <c r="V20" s="29">
        <v>20.0</v>
      </c>
      <c r="W20" s="64"/>
      <c r="X20" s="64">
        <v>180.0</v>
      </c>
      <c r="Y20" s="64">
        <v>6073.0</v>
      </c>
      <c r="Z20" s="58">
        <f t="shared" si="32"/>
        <v>77.92945528</v>
      </c>
      <c r="AA20" s="59">
        <f t="shared" si="33"/>
        <v>33.73888889</v>
      </c>
      <c r="AB20" s="65">
        <f t="shared" si="34"/>
        <v>0.4329414182</v>
      </c>
      <c r="AC20" s="37">
        <f t="shared" si="35"/>
        <v>33.96809807</v>
      </c>
      <c r="AD20" s="65">
        <f t="shared" si="36"/>
        <v>0.4388438785</v>
      </c>
      <c r="AE20" s="63">
        <f t="shared" si="37"/>
        <v>0.006747777778</v>
      </c>
      <c r="AF20" s="59">
        <f t="shared" si="38"/>
        <v>33.64590993</v>
      </c>
      <c r="AG20" s="60">
        <f t="shared" si="39"/>
        <v>0.4388472907</v>
      </c>
      <c r="AH20" s="63">
        <f t="shared" si="40"/>
        <v>2.24893463</v>
      </c>
      <c r="AI20" s="63">
        <f t="shared" si="41"/>
        <v>0.08605806251</v>
      </c>
    </row>
    <row r="21">
      <c r="E21" s="29"/>
      <c r="F21" s="29">
        <v>21.0</v>
      </c>
      <c r="G21" s="29">
        <v>1080.8</v>
      </c>
      <c r="H21" s="30">
        <f t="shared" si="21"/>
        <v>1087.18</v>
      </c>
      <c r="I21" s="55"/>
      <c r="J21" s="55"/>
      <c r="K21" s="55"/>
      <c r="L21" s="54" t="s">
        <v>111</v>
      </c>
      <c r="M21" s="30"/>
      <c r="N21" s="29"/>
      <c r="O21" s="29"/>
      <c r="P21" s="30"/>
      <c r="Q21" s="30"/>
      <c r="R21" s="30"/>
      <c r="S21" s="29"/>
      <c r="T21" s="29"/>
      <c r="V21" s="29">
        <v>21.0</v>
      </c>
      <c r="W21" s="64"/>
      <c r="X21" s="64">
        <v>180.0</v>
      </c>
      <c r="Y21" s="64">
        <v>6045.0</v>
      </c>
      <c r="Z21" s="58">
        <f t="shared" si="32"/>
        <v>77.74959807</v>
      </c>
      <c r="AA21" s="59">
        <f t="shared" si="33"/>
        <v>33.58333333</v>
      </c>
      <c r="AB21" s="65">
        <f t="shared" si="34"/>
        <v>0.4319422115</v>
      </c>
      <c r="AC21" s="37">
        <f t="shared" si="35"/>
        <v>33.8104267</v>
      </c>
      <c r="AD21" s="65">
        <f t="shared" si="36"/>
        <v>0.4378036226</v>
      </c>
      <c r="AE21" s="63">
        <f t="shared" si="37"/>
        <v>0.006716666667</v>
      </c>
      <c r="AF21" s="59">
        <f t="shared" si="38"/>
        <v>33.48823856</v>
      </c>
      <c r="AG21" s="60">
        <f t="shared" si="39"/>
        <v>0.4378070429</v>
      </c>
      <c r="AH21" s="63">
        <f t="shared" si="40"/>
        <v>2.233853892</v>
      </c>
      <c r="AI21" s="63">
        <f t="shared" si="41"/>
        <v>0.08570514196</v>
      </c>
    </row>
    <row r="22">
      <c r="E22" s="29"/>
      <c r="F22" s="29">
        <v>22.0</v>
      </c>
      <c r="G22" s="29">
        <v>1215.9</v>
      </c>
      <c r="H22" s="30">
        <f t="shared" si="21"/>
        <v>1222.28</v>
      </c>
      <c r="I22" s="75" t="s">
        <v>112</v>
      </c>
      <c r="J22" s="76" t="s">
        <v>113</v>
      </c>
      <c r="K22" s="77">
        <f>0.543*D14 - 0.16</f>
        <v>0.25472168</v>
      </c>
      <c r="L22" s="54" t="s">
        <v>114</v>
      </c>
      <c r="M22" s="30"/>
      <c r="N22" s="29"/>
      <c r="O22" s="29"/>
      <c r="P22" s="30"/>
      <c r="Q22" s="30"/>
      <c r="R22" s="30"/>
      <c r="S22" s="29"/>
      <c r="T22" s="29"/>
      <c r="V22" s="29">
        <v>22.0</v>
      </c>
      <c r="W22" s="64"/>
      <c r="X22" s="64">
        <v>180.0</v>
      </c>
      <c r="Y22" s="64">
        <v>6194.0</v>
      </c>
      <c r="Z22" s="58">
        <f t="shared" si="32"/>
        <v>78.70196948</v>
      </c>
      <c r="AA22" s="59">
        <f t="shared" si="33"/>
        <v>34.41111111</v>
      </c>
      <c r="AB22" s="65">
        <f t="shared" si="34"/>
        <v>0.4372331638</v>
      </c>
      <c r="AC22" s="37">
        <f t="shared" si="35"/>
        <v>34.6495772</v>
      </c>
      <c r="AD22" s="65">
        <f t="shared" si="36"/>
        <v>0.443314139</v>
      </c>
      <c r="AE22" s="63">
        <f t="shared" si="37"/>
        <v>0.006882222222</v>
      </c>
      <c r="AF22" s="59">
        <f t="shared" si="38"/>
        <v>34.32738906</v>
      </c>
      <c r="AG22" s="60">
        <f t="shared" si="39"/>
        <v>0.4433175169</v>
      </c>
      <c r="AH22" s="63">
        <f t="shared" si="40"/>
        <v>2.314115823</v>
      </c>
      <c r="AI22" s="63">
        <f t="shared" si="41"/>
        <v>0.08758315262</v>
      </c>
    </row>
    <row r="23">
      <c r="J23" s="78" t="s">
        <v>115</v>
      </c>
      <c r="K23" s="77">
        <f>0.11*(SQRT( 1 + 22.4*D14^2 ) - 1)</f>
        <v>0.302559794</v>
      </c>
      <c r="L23" s="54" t="s">
        <v>116</v>
      </c>
      <c r="M23" s="30"/>
      <c r="N23" s="30"/>
      <c r="O23" s="30"/>
      <c r="P23" s="30"/>
      <c r="Q23" s="30"/>
      <c r="R23" s="30"/>
      <c r="V23" s="29"/>
      <c r="W23" s="79"/>
      <c r="X23" s="79"/>
      <c r="Y23" s="29"/>
      <c r="Z23" s="30"/>
      <c r="AA23" s="80"/>
      <c r="AB23" s="81"/>
      <c r="AC23" s="82"/>
      <c r="AD23" s="83"/>
      <c r="AE23" s="80"/>
      <c r="AF23" s="30"/>
      <c r="AG23" s="30"/>
      <c r="AH23" s="30"/>
      <c r="AI23" s="30"/>
      <c r="AJ23" s="30"/>
      <c r="AK23" s="30"/>
      <c r="AL23" s="30"/>
      <c r="AM23" s="30"/>
    </row>
    <row r="24">
      <c r="G24" s="84" t="s">
        <v>117</v>
      </c>
      <c r="H24" s="77">
        <f> 1.265 - 0.0954*LN(D14)</f>
        <v>1.29071046</v>
      </c>
      <c r="I24" s="6" t="s">
        <v>118</v>
      </c>
      <c r="J24" s="78" t="s">
        <v>119</v>
      </c>
      <c r="K24" s="77">
        <f>412 * (D14^H24)</f>
        <v>290.9567754</v>
      </c>
      <c r="L24" s="54" t="s">
        <v>116</v>
      </c>
      <c r="M24" s="30"/>
      <c r="N24" s="30"/>
      <c r="O24" s="30"/>
      <c r="P24" s="30"/>
      <c r="Q24" s="30"/>
      <c r="R24" s="30"/>
      <c r="V24" s="29"/>
      <c r="W24" s="79"/>
      <c r="X24" s="79"/>
      <c r="Y24" s="29"/>
      <c r="Z24" s="30"/>
      <c r="AA24" s="80"/>
      <c r="AB24" s="81"/>
      <c r="AC24" s="82"/>
      <c r="AD24" s="83"/>
      <c r="AE24" s="80"/>
      <c r="AF24" s="30"/>
      <c r="AG24" s="30"/>
      <c r="AH24" s="30"/>
      <c r="AI24" s="30"/>
      <c r="AJ24" s="30"/>
      <c r="AK24" s="30"/>
      <c r="AL24" s="30"/>
      <c r="AM24" s="30"/>
    </row>
    <row r="25">
      <c r="J25" s="78" t="s">
        <v>120</v>
      </c>
      <c r="K25" s="77">
        <f>(530 * D14) - 106</f>
        <v>298.7928</v>
      </c>
      <c r="L25" s="54" t="s">
        <v>114</v>
      </c>
      <c r="M25" s="30"/>
      <c r="N25" s="29"/>
      <c r="O25" s="29"/>
      <c r="P25" s="30"/>
      <c r="Q25" s="30"/>
      <c r="R25" s="30"/>
      <c r="U25" s="56" t="s">
        <v>121</v>
      </c>
      <c r="V25" s="56" t="s">
        <v>27</v>
      </c>
      <c r="W25" s="57" t="s">
        <v>122</v>
      </c>
      <c r="X25" s="57" t="s">
        <v>100</v>
      </c>
      <c r="Y25" s="57" t="s">
        <v>12</v>
      </c>
      <c r="Z25" s="56" t="s">
        <v>13</v>
      </c>
      <c r="AA25" s="56" t="s">
        <v>95</v>
      </c>
      <c r="AB25" s="56" t="s">
        <v>15</v>
      </c>
      <c r="AC25" s="56" t="s">
        <v>8</v>
      </c>
      <c r="AD25" s="56" t="s">
        <v>9</v>
      </c>
      <c r="AE25" s="56" t="s">
        <v>52</v>
      </c>
      <c r="AF25" s="56" t="s">
        <v>96</v>
      </c>
      <c r="AG25" s="56" t="s">
        <v>97</v>
      </c>
      <c r="AH25" s="56" t="s">
        <v>101</v>
      </c>
      <c r="AI25" s="56" t="s">
        <v>102</v>
      </c>
      <c r="AJ25" s="56" t="s">
        <v>123</v>
      </c>
      <c r="AK25" s="85"/>
      <c r="AL25" s="30"/>
      <c r="AM25" s="30"/>
    </row>
    <row r="26">
      <c r="L26" s="30"/>
      <c r="M26" s="30"/>
      <c r="N26" s="29"/>
      <c r="O26" s="29"/>
      <c r="P26" s="30"/>
      <c r="Q26" s="30"/>
      <c r="R26" s="30"/>
      <c r="U26" s="86" t="s">
        <v>124</v>
      </c>
      <c r="V26" s="87">
        <v>13.0</v>
      </c>
      <c r="W26" s="87">
        <v>26.98</v>
      </c>
      <c r="X26" s="86">
        <v>180.0</v>
      </c>
      <c r="Y26" s="86">
        <v>6096.0</v>
      </c>
      <c r="Z26" s="58">
        <f t="shared" ref="Z26:Z31" si="42">SQRT(Y26)</f>
        <v>78.07688518</v>
      </c>
      <c r="AA26" s="59">
        <f t="shared" ref="AA26:AA31" si="43">Y26/X26</f>
        <v>33.86666667</v>
      </c>
      <c r="AB26" s="65">
        <f t="shared" ref="AB26:AB31" si="44">(1/X26) * Z26</f>
        <v>0.4337604732</v>
      </c>
      <c r="AC26" s="37">
        <f t="shared" ref="AC26:AC31" si="45">AA26/(1-AE26)</f>
        <v>34.09762122</v>
      </c>
      <c r="AD26" s="65">
        <f t="shared" ref="AD26:AD31" si="46"> ( 1 / (1-AA26*$D$12)^(2) ) * AB26</f>
        <v>0.4396967258</v>
      </c>
      <c r="AE26" s="63">
        <f t="shared" ref="AE26:AE31" si="47">AA26*$D$12</f>
        <v>0.006773333333</v>
      </c>
      <c r="AF26" s="59">
        <f t="shared" ref="AF26:AF31" si="48">AC26-$AA$37</f>
        <v>33.77543308</v>
      </c>
      <c r="AG26" s="60">
        <f t="shared" ref="AG26:AG31" si="49">SQRT(AD26^2 + $AB$37^2)</f>
        <v>0.4397001314</v>
      </c>
      <c r="AH26" s="37">
        <f t="shared" ref="AH26:AH31" si="50">(AC26-$AC$5)/$AC$5</f>
        <v>2.261323085</v>
      </c>
      <c r="AI26" s="37">
        <f t="shared" ref="AI26:AI31" si="51">(1/$AC$5)*SQRT(AD26^2 + (AC26/$AC$5)^2 * $AD$5^2)</f>
        <v>0.08634795926</v>
      </c>
      <c r="AJ26" s="59">
        <f t="shared" ref="AJ26:AJ31" si="52">SQRT(V26 * (V26 +1)/(W26))</f>
        <v>2.597255779</v>
      </c>
      <c r="AK26" s="80"/>
      <c r="AL26" s="30"/>
      <c r="AM26" s="30"/>
    </row>
    <row r="27">
      <c r="L27" s="30"/>
      <c r="M27" s="30"/>
      <c r="N27" s="29"/>
      <c r="O27" s="29"/>
      <c r="P27" s="30"/>
      <c r="Q27" s="30"/>
      <c r="R27" s="30"/>
      <c r="U27" s="86" t="s">
        <v>125</v>
      </c>
      <c r="V27" s="87">
        <v>26.0</v>
      </c>
      <c r="W27" s="87">
        <v>55.85</v>
      </c>
      <c r="X27" s="86">
        <v>180.0</v>
      </c>
      <c r="Y27" s="86">
        <v>8363.0</v>
      </c>
      <c r="Z27" s="58">
        <f t="shared" si="42"/>
        <v>91.44943958</v>
      </c>
      <c r="AA27" s="59">
        <f t="shared" si="43"/>
        <v>46.46111111</v>
      </c>
      <c r="AB27" s="65">
        <f t="shared" si="44"/>
        <v>0.5080524421</v>
      </c>
      <c r="AC27" s="37">
        <f t="shared" si="45"/>
        <v>46.89688741</v>
      </c>
      <c r="AD27" s="65">
        <f t="shared" si="46"/>
        <v>0.5176275682</v>
      </c>
      <c r="AE27" s="63">
        <f t="shared" si="47"/>
        <v>0.009292222222</v>
      </c>
      <c r="AF27" s="59">
        <f t="shared" si="48"/>
        <v>46.57469927</v>
      </c>
      <c r="AG27" s="60">
        <f t="shared" si="49"/>
        <v>0.517630461</v>
      </c>
      <c r="AH27" s="37">
        <f t="shared" si="50"/>
        <v>3.485529959</v>
      </c>
      <c r="AI27" s="37">
        <f t="shared" si="51"/>
        <v>0.1149327631</v>
      </c>
      <c r="AJ27" s="59">
        <f t="shared" si="52"/>
        <v>3.545332463</v>
      </c>
      <c r="AK27" s="80"/>
      <c r="AL27" s="30"/>
      <c r="AM27" s="30"/>
    </row>
    <row r="28">
      <c r="L28" s="30"/>
      <c r="M28" s="30"/>
      <c r="N28" s="29"/>
      <c r="O28" s="29"/>
      <c r="P28" s="30"/>
      <c r="Q28" s="30"/>
      <c r="R28" s="30"/>
      <c r="U28" s="87" t="s">
        <v>126</v>
      </c>
      <c r="V28" s="87">
        <v>29.0</v>
      </c>
      <c r="W28" s="87">
        <v>63.55</v>
      </c>
      <c r="X28" s="86">
        <v>180.0</v>
      </c>
      <c r="Y28" s="86">
        <v>9229.0</v>
      </c>
      <c r="Z28" s="58">
        <f t="shared" si="42"/>
        <v>96.06768447</v>
      </c>
      <c r="AA28" s="59">
        <f t="shared" si="43"/>
        <v>51.27222222</v>
      </c>
      <c r="AB28" s="65">
        <f t="shared" si="44"/>
        <v>0.5337093582</v>
      </c>
      <c r="AC28" s="37">
        <f t="shared" si="45"/>
        <v>51.8034377</v>
      </c>
      <c r="AD28" s="65">
        <f t="shared" si="46"/>
        <v>0.5448258404</v>
      </c>
      <c r="AE28" s="63">
        <f t="shared" si="47"/>
        <v>0.01025444444</v>
      </c>
      <c r="AF28" s="59">
        <f t="shared" si="48"/>
        <v>51.48124956</v>
      </c>
      <c r="AG28" s="60">
        <f t="shared" si="49"/>
        <v>0.5448285889</v>
      </c>
      <c r="AH28" s="37">
        <f t="shared" si="50"/>
        <v>3.954825034</v>
      </c>
      <c r="AI28" s="37">
        <f t="shared" si="51"/>
        <v>0.1258683107</v>
      </c>
      <c r="AJ28" s="59">
        <f t="shared" si="52"/>
        <v>3.700001063</v>
      </c>
      <c r="AK28" s="80"/>
      <c r="AL28" s="30"/>
      <c r="AM28" s="30"/>
    </row>
    <row r="29">
      <c r="L29" s="30"/>
      <c r="M29" s="30"/>
      <c r="N29" s="29"/>
      <c r="O29" s="29"/>
      <c r="P29" s="30"/>
      <c r="Q29" s="30"/>
      <c r="R29" s="30"/>
      <c r="U29" s="86" t="s">
        <v>127</v>
      </c>
      <c r="V29" s="87">
        <v>30.0</v>
      </c>
      <c r="W29" s="87">
        <v>65.38</v>
      </c>
      <c r="X29" s="86">
        <v>180.0</v>
      </c>
      <c r="Y29" s="86">
        <v>7829.0</v>
      </c>
      <c r="Z29" s="58">
        <f t="shared" si="42"/>
        <v>88.48163651</v>
      </c>
      <c r="AA29" s="59">
        <f t="shared" si="43"/>
        <v>43.49444444</v>
      </c>
      <c r="AB29" s="65">
        <f t="shared" si="44"/>
        <v>0.4915646473</v>
      </c>
      <c r="AC29" s="37">
        <f t="shared" si="45"/>
        <v>43.87611792</v>
      </c>
      <c r="AD29" s="65">
        <f t="shared" si="46"/>
        <v>0.5002296794</v>
      </c>
      <c r="AE29" s="63">
        <f t="shared" si="47"/>
        <v>0.008698888889</v>
      </c>
      <c r="AF29" s="59">
        <f t="shared" si="48"/>
        <v>43.55392978</v>
      </c>
      <c r="AG29" s="60">
        <f t="shared" si="49"/>
        <v>0.5002326729</v>
      </c>
      <c r="AH29" s="37">
        <f t="shared" si="50"/>
        <v>3.196603491</v>
      </c>
      <c r="AI29" s="37">
        <f t="shared" si="51"/>
        <v>0.1081952709</v>
      </c>
      <c r="AJ29" s="59">
        <f t="shared" si="52"/>
        <v>3.771542588</v>
      </c>
      <c r="AK29" s="80"/>
      <c r="AL29" s="30"/>
      <c r="AM29" s="30"/>
    </row>
    <row r="30">
      <c r="C30" s="5"/>
      <c r="D30" s="5"/>
      <c r="E30" s="5"/>
      <c r="F30" s="5"/>
      <c r="G30" s="5"/>
      <c r="H30" s="5"/>
      <c r="L30" s="30"/>
      <c r="M30" s="30"/>
      <c r="N30" s="29"/>
      <c r="O30" s="29"/>
      <c r="P30" s="30"/>
      <c r="Q30" s="30"/>
      <c r="R30" s="30"/>
      <c r="U30" s="64" t="s">
        <v>128</v>
      </c>
      <c r="V30" s="87">
        <v>48.0</v>
      </c>
      <c r="W30" s="87">
        <v>112.41</v>
      </c>
      <c r="X30" s="64">
        <v>180.0</v>
      </c>
      <c r="Y30" s="64">
        <v>10697.0</v>
      </c>
      <c r="Z30" s="58">
        <f t="shared" si="42"/>
        <v>103.4263023</v>
      </c>
      <c r="AA30" s="59">
        <f t="shared" si="43"/>
        <v>59.42777778</v>
      </c>
      <c r="AB30" s="65">
        <f t="shared" si="44"/>
        <v>0.5745905681</v>
      </c>
      <c r="AC30" s="37">
        <f t="shared" si="45"/>
        <v>60.14260606</v>
      </c>
      <c r="AD30" s="65">
        <f t="shared" si="46"/>
        <v>0.5884966526</v>
      </c>
      <c r="AE30" s="63">
        <f t="shared" si="47"/>
        <v>0.01188555556</v>
      </c>
      <c r="AF30" s="59">
        <f t="shared" si="48"/>
        <v>59.82041792</v>
      </c>
      <c r="AG30" s="60">
        <f t="shared" si="49"/>
        <v>0.5884991971</v>
      </c>
      <c r="AH30" s="37">
        <f t="shared" si="50"/>
        <v>4.752438514</v>
      </c>
      <c r="AI30" s="37">
        <f t="shared" si="51"/>
        <v>0.1444374416</v>
      </c>
      <c r="AJ30" s="59">
        <f t="shared" si="52"/>
        <v>4.574210904</v>
      </c>
      <c r="AK30" s="80"/>
      <c r="AL30" s="30"/>
      <c r="AM30" s="30"/>
    </row>
    <row r="31">
      <c r="C31" s="5"/>
      <c r="D31" s="5"/>
      <c r="E31" s="5"/>
      <c r="F31" s="5"/>
      <c r="G31" s="5"/>
      <c r="H31" s="5"/>
      <c r="L31" s="30"/>
      <c r="M31" s="30"/>
      <c r="N31" s="30"/>
      <c r="O31" s="30"/>
      <c r="P31" s="30"/>
      <c r="Q31" s="30"/>
      <c r="R31" s="30"/>
      <c r="U31" s="64" t="s">
        <v>129</v>
      </c>
      <c r="V31" s="87">
        <v>82.0</v>
      </c>
      <c r="W31" s="87">
        <v>207.2</v>
      </c>
      <c r="X31" s="64">
        <v>100.0</v>
      </c>
      <c r="Y31" s="64">
        <v>7264.0</v>
      </c>
      <c r="Z31" s="58">
        <f t="shared" si="42"/>
        <v>85.22910301</v>
      </c>
      <c r="AA31" s="59">
        <f t="shared" si="43"/>
        <v>72.64</v>
      </c>
      <c r="AB31" s="65">
        <f t="shared" si="44"/>
        <v>0.8522910301</v>
      </c>
      <c r="AC31" s="37">
        <f t="shared" si="45"/>
        <v>73.71087154</v>
      </c>
      <c r="AD31" s="65">
        <f t="shared" si="46"/>
        <v>0.8776055058</v>
      </c>
      <c r="AE31" s="63">
        <f t="shared" si="47"/>
        <v>0.014528</v>
      </c>
      <c r="AF31" s="59">
        <f t="shared" si="48"/>
        <v>73.3886834</v>
      </c>
      <c r="AG31" s="60">
        <f t="shared" si="49"/>
        <v>0.8776072121</v>
      </c>
      <c r="AH31" s="37">
        <f t="shared" si="50"/>
        <v>6.05019759</v>
      </c>
      <c r="AI31" s="37">
        <f t="shared" si="51"/>
        <v>0.1833681236</v>
      </c>
      <c r="AJ31" s="59">
        <f t="shared" si="52"/>
        <v>5.731273013</v>
      </c>
      <c r="AK31" s="80"/>
      <c r="AL31" s="30"/>
      <c r="AM31" s="30"/>
    </row>
    <row r="32">
      <c r="C32" s="11"/>
      <c r="D32" s="11"/>
      <c r="E32" s="11"/>
      <c r="F32" s="88"/>
      <c r="G32" s="89"/>
      <c r="H32" s="90"/>
      <c r="Z32" s="30"/>
      <c r="AB32" s="81"/>
      <c r="AC32" s="91"/>
      <c r="AD32" s="91"/>
    </row>
    <row r="33">
      <c r="Z33" s="30"/>
      <c r="AC33" s="17">
        <v>1.0</v>
      </c>
    </row>
    <row r="34">
      <c r="Z34" s="30"/>
    </row>
    <row r="35">
      <c r="W35" s="2" t="s">
        <v>130</v>
      </c>
    </row>
    <row r="36">
      <c r="W36" s="4" t="s">
        <v>4</v>
      </c>
      <c r="X36" s="4" t="s">
        <v>5</v>
      </c>
      <c r="Y36" s="4" t="s">
        <v>6</v>
      </c>
      <c r="Z36" s="4" t="s">
        <v>7</v>
      </c>
      <c r="AA36" s="4" t="s">
        <v>8</v>
      </c>
      <c r="AB36" s="4" t="s">
        <v>9</v>
      </c>
    </row>
    <row r="37">
      <c r="W37" s="6">
        <v>1.0</v>
      </c>
      <c r="X37" s="6">
        <v>107580.0</v>
      </c>
      <c r="Y37" s="6">
        <v>34661.0</v>
      </c>
      <c r="Z37" s="12">
        <f>SQRT(Y37)</f>
        <v>186.1746492</v>
      </c>
      <c r="AA37" s="92">
        <f>Y37/X37</f>
        <v>0.3221881391</v>
      </c>
      <c r="AB37" s="93">
        <f>(1/X37)*Z37</f>
        <v>0.001730569336</v>
      </c>
    </row>
    <row r="39">
      <c r="J39" s="2" t="s">
        <v>131</v>
      </c>
      <c r="AH39" s="18">
        <f t="array" ref="AH39:AI43">LINEST(AH26:AH31, AJ26:AJ31,TRUE,TRUE)
</f>
        <v>1.213533792</v>
      </c>
      <c r="AI39" s="18">
        <v>-0.8877240668524562</v>
      </c>
    </row>
    <row r="40">
      <c r="J40" s="4" t="s">
        <v>4</v>
      </c>
      <c r="K40" s="4" t="s">
        <v>5</v>
      </c>
      <c r="L40" s="4" t="s">
        <v>6</v>
      </c>
      <c r="M40" s="4" t="s">
        <v>7</v>
      </c>
      <c r="N40" s="4" t="s">
        <v>8</v>
      </c>
      <c r="O40" s="4" t="s">
        <v>9</v>
      </c>
      <c r="AH40" s="18">
        <v>0.12977921816916763</v>
      </c>
      <c r="AI40" s="18">
        <v>0.5324654250137453</v>
      </c>
    </row>
    <row r="41">
      <c r="J41" s="6">
        <v>1.0</v>
      </c>
      <c r="K41" s="6">
        <v>107580.0</v>
      </c>
      <c r="L41" s="6">
        <v>37503.0</v>
      </c>
      <c r="M41" s="12">
        <f>SQRT(L41)</f>
        <v>193.6569131</v>
      </c>
      <c r="N41" s="92">
        <f>L41/K41</f>
        <v>0.3486056888</v>
      </c>
      <c r="O41" s="93">
        <f>(1/K41)*M41</f>
        <v>0.001800120033</v>
      </c>
      <c r="AH41" s="18">
        <v>0.956253858761688</v>
      </c>
      <c r="AI41" s="18">
        <v>0.30827833007914335</v>
      </c>
    </row>
    <row r="42">
      <c r="AH42" s="18">
        <v>87.43663616430871</v>
      </c>
      <c r="AI42" s="18">
        <v>4.0</v>
      </c>
    </row>
    <row r="43">
      <c r="AH43" s="18">
        <v>8.30958695405222</v>
      </c>
      <c r="AI43" s="18">
        <v>0.380142115185541</v>
      </c>
    </row>
  </sheetData>
  <mergeCells count="7">
    <mergeCell ref="J2:U2"/>
    <mergeCell ref="W2:AI2"/>
    <mergeCell ref="C15:E15"/>
    <mergeCell ref="I22:I23"/>
    <mergeCell ref="I24:I25"/>
    <mergeCell ref="W35:AB35"/>
    <mergeCell ref="J39:O39"/>
  </mergeCells>
  <hyperlinks>
    <hyperlink r:id="rId1" ref="C15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2.75"/>
    <col customWidth="1" min="5" max="5" width="7.5"/>
    <col customWidth="1" min="6" max="6" width="7.63"/>
    <col customWidth="1" min="8" max="8" width="8.5"/>
    <col customWidth="1" min="10" max="10" width="14.75"/>
    <col customWidth="1" min="11" max="11" width="18.88"/>
    <col customWidth="1" min="12" max="12" width="19.63"/>
    <col customWidth="1" min="13" max="13" width="7.63"/>
    <col customWidth="1" min="14" max="14" width="8.38"/>
  </cols>
  <sheetData>
    <row r="1">
      <c r="A1" s="94"/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</row>
    <row r="2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</row>
    <row r="3">
      <c r="A3" s="94"/>
      <c r="B3" s="94"/>
      <c r="C3" s="95"/>
      <c r="D3" s="95"/>
      <c r="E3" s="95"/>
      <c r="F3" s="95"/>
      <c r="G3" s="95"/>
      <c r="H3" s="95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</row>
    <row r="4">
      <c r="A4" s="94"/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</row>
    <row r="5">
      <c r="A5" s="94"/>
      <c r="B5" s="94"/>
      <c r="C5" s="96" t="s">
        <v>132</v>
      </c>
      <c r="W5" s="97" t="s">
        <v>133</v>
      </c>
    </row>
    <row r="6">
      <c r="A6" s="94"/>
      <c r="B6" s="94"/>
      <c r="C6" s="98" t="s">
        <v>134</v>
      </c>
      <c r="G6" s="94"/>
      <c r="H6" s="98" t="s">
        <v>135</v>
      </c>
      <c r="O6" s="94"/>
      <c r="P6" s="94"/>
      <c r="Q6" s="98" t="s">
        <v>136</v>
      </c>
      <c r="W6" s="32" t="s">
        <v>134</v>
      </c>
    </row>
    <row r="7">
      <c r="A7" s="94"/>
      <c r="B7" s="94"/>
      <c r="C7" s="99" t="s">
        <v>137</v>
      </c>
      <c r="D7" s="99" t="s">
        <v>79</v>
      </c>
      <c r="E7" s="99" t="s">
        <v>138</v>
      </c>
      <c r="F7" s="99" t="s">
        <v>139</v>
      </c>
      <c r="G7" s="100"/>
      <c r="H7" s="99" t="s">
        <v>137</v>
      </c>
      <c r="I7" s="99" t="s">
        <v>79</v>
      </c>
      <c r="J7" s="99" t="s">
        <v>140</v>
      </c>
      <c r="K7" s="99" t="s">
        <v>141</v>
      </c>
      <c r="L7" s="99" t="s">
        <v>142</v>
      </c>
      <c r="M7" s="99" t="s">
        <v>138</v>
      </c>
      <c r="N7" s="99" t="s">
        <v>139</v>
      </c>
      <c r="O7" s="94"/>
      <c r="P7" s="94"/>
      <c r="Q7" s="99" t="s">
        <v>137</v>
      </c>
      <c r="R7" s="99" t="s">
        <v>79</v>
      </c>
      <c r="S7" s="99" t="s">
        <v>140</v>
      </c>
      <c r="T7" s="99" t="s">
        <v>138</v>
      </c>
      <c r="U7" s="99" t="s">
        <v>139</v>
      </c>
      <c r="W7" s="99" t="s">
        <v>137</v>
      </c>
      <c r="X7" s="101" t="s">
        <v>143</v>
      </c>
      <c r="Y7" s="101" t="s">
        <v>144</v>
      </c>
      <c r="Z7" s="102" t="s">
        <v>145</v>
      </c>
      <c r="AA7" s="103" t="s">
        <v>146</v>
      </c>
    </row>
    <row r="8">
      <c r="A8" s="94"/>
      <c r="B8" s="94"/>
      <c r="C8" s="75" t="s">
        <v>147</v>
      </c>
      <c r="D8" s="75">
        <v>511.0</v>
      </c>
      <c r="E8" s="75">
        <v>535.0</v>
      </c>
      <c r="F8" s="104">
        <f t="shared" ref="F8:F15" si="1">$Z$15*E8</f>
        <v>43.4672117</v>
      </c>
      <c r="G8" s="94"/>
      <c r="H8" s="75" t="s">
        <v>147</v>
      </c>
      <c r="I8" s="104">
        <f t="shared" ref="I8:I10" si="2">$C$24  + $E$24*M8</f>
        <v>293.4358088</v>
      </c>
      <c r="J8" s="104">
        <f t="shared" ref="J8:J10" si="3">SQRT( ($D$24)^2 + (M8^2 * $G$24^2) + ($E$24^2 * N8^2) )</f>
        <v>34.90962051</v>
      </c>
      <c r="K8" s="104">
        <f t="shared" ref="K8:K14" si="4">1000 * ( (4*(D8/1000)^2)/ (1+4*(D8/1000)))</f>
        <v>343.1287779</v>
      </c>
      <c r="L8" s="105">
        <v>0.0</v>
      </c>
      <c r="M8" s="75">
        <v>329.0</v>
      </c>
      <c r="N8" s="104">
        <f t="shared" ref="N8:N10" si="5">$Z$15*M8</f>
        <v>26.73030402</v>
      </c>
      <c r="O8" s="94"/>
      <c r="P8" s="94"/>
      <c r="Q8" s="75" t="s">
        <v>147</v>
      </c>
      <c r="R8" s="106">
        <f>$C$24  + $E$24*T8</f>
        <v>27.64335214</v>
      </c>
      <c r="S8" s="106">
        <f>SQRT( ($D$24)^2 + (T8^2 * $G$24^2) + ($E$24^2 * U8^2) )</f>
        <v>20.07115615</v>
      </c>
      <c r="T8" s="75">
        <v>81.0</v>
      </c>
      <c r="U8" s="105">
        <f>$Z$15*T8</f>
        <v>6.581017099</v>
      </c>
      <c r="W8" s="75" t="s">
        <v>147</v>
      </c>
      <c r="X8" s="107">
        <v>57.0</v>
      </c>
      <c r="Y8" s="108">
        <v>535.0</v>
      </c>
      <c r="Z8" s="109">
        <f t="shared" ref="Z8:Z14" si="6">X8/Y8</f>
        <v>0.1065420561</v>
      </c>
      <c r="AA8" s="110">
        <f t="shared" ref="AA8:AA15" si="7">Z8</f>
        <v>0.1065420561</v>
      </c>
    </row>
    <row r="9">
      <c r="A9" s="94"/>
      <c r="B9" s="94"/>
      <c r="C9" s="75" t="s">
        <v>147</v>
      </c>
      <c r="D9" s="75">
        <v>1275.0</v>
      </c>
      <c r="E9" s="75">
        <v>1224.0</v>
      </c>
      <c r="F9" s="104">
        <f t="shared" si="1"/>
        <v>99.44648061</v>
      </c>
      <c r="G9" s="94"/>
      <c r="H9" s="75" t="s">
        <v>147</v>
      </c>
      <c r="I9" s="104">
        <f t="shared" si="2"/>
        <v>1013.647627</v>
      </c>
      <c r="J9" s="104">
        <f t="shared" si="3"/>
        <v>91.59569927</v>
      </c>
      <c r="K9" s="104">
        <f t="shared" si="4"/>
        <v>1065.983607</v>
      </c>
      <c r="L9" s="105">
        <v>0.0</v>
      </c>
      <c r="M9" s="75">
        <v>1001.0</v>
      </c>
      <c r="N9" s="104">
        <f t="shared" si="5"/>
        <v>81.32837181</v>
      </c>
      <c r="O9" s="94"/>
      <c r="P9" s="94"/>
      <c r="Q9" s="75"/>
      <c r="R9" s="106"/>
      <c r="S9" s="106"/>
      <c r="T9" s="75"/>
      <c r="U9" s="105"/>
      <c r="W9" s="75" t="s">
        <v>147</v>
      </c>
      <c r="X9" s="108">
        <v>65.0</v>
      </c>
      <c r="Y9" s="108">
        <v>1224.0</v>
      </c>
      <c r="Z9" s="109">
        <f t="shared" si="6"/>
        <v>0.05310457516</v>
      </c>
      <c r="AA9" s="110">
        <f t="shared" si="7"/>
        <v>0.05310457516</v>
      </c>
    </row>
    <row r="10">
      <c r="A10" s="94"/>
      <c r="B10" s="94"/>
      <c r="C10" s="75" t="s">
        <v>148</v>
      </c>
      <c r="D10" s="75">
        <v>1173.23</v>
      </c>
      <c r="E10" s="75">
        <v>1161.0</v>
      </c>
      <c r="F10" s="104">
        <f t="shared" si="1"/>
        <v>94.32791175</v>
      </c>
      <c r="G10" s="94"/>
      <c r="H10" s="75" t="s">
        <v>148</v>
      </c>
      <c r="I10" s="104">
        <f t="shared" si="2"/>
        <v>932.1950997</v>
      </c>
      <c r="J10" s="104">
        <f t="shared" si="3"/>
        <v>84.94305808</v>
      </c>
      <c r="K10" s="104">
        <f t="shared" si="4"/>
        <v>967.1441952</v>
      </c>
      <c r="L10" s="105">
        <v>0.0</v>
      </c>
      <c r="M10" s="75">
        <v>925.0</v>
      </c>
      <c r="N10" s="104">
        <f t="shared" si="5"/>
        <v>75.15359033</v>
      </c>
      <c r="O10" s="94"/>
      <c r="P10" s="94"/>
      <c r="Q10" s="75" t="s">
        <v>148</v>
      </c>
      <c r="R10" s="106">
        <f>$C$24  + $E$24*T10</f>
        <v>29.78683969</v>
      </c>
      <c r="S10" s="106">
        <f>SQRT( ($D$24)^2 + (T10^2 * $G$24^2) + ($E$24^2 * U10^2) )</f>
        <v>20.13660895</v>
      </c>
      <c r="T10" s="75">
        <v>83.0</v>
      </c>
      <c r="U10" s="105">
        <f>$Z$15*T10</f>
        <v>6.743511348</v>
      </c>
      <c r="W10" s="75" t="s">
        <v>148</v>
      </c>
      <c r="X10" s="108">
        <v>54.0</v>
      </c>
      <c r="Y10" s="108">
        <v>1161.0</v>
      </c>
      <c r="Z10" s="109">
        <f t="shared" si="6"/>
        <v>0.04651162791</v>
      </c>
      <c r="AA10" s="110">
        <f t="shared" si="7"/>
        <v>0.04651162791</v>
      </c>
    </row>
    <row r="11">
      <c r="A11" s="94"/>
      <c r="B11" s="94"/>
      <c r="C11" s="75" t="s">
        <v>148</v>
      </c>
      <c r="D11" s="75">
        <v>1332.49</v>
      </c>
      <c r="E11" s="75">
        <v>1295.0</v>
      </c>
      <c r="F11" s="104">
        <f t="shared" si="1"/>
        <v>105.2150265</v>
      </c>
      <c r="G11" s="94"/>
      <c r="H11" s="75" t="s">
        <v>148</v>
      </c>
      <c r="I11" s="104"/>
      <c r="J11" s="104"/>
      <c r="K11" s="104">
        <f t="shared" si="4"/>
        <v>1121.98472</v>
      </c>
      <c r="L11" s="105">
        <v>0.0</v>
      </c>
      <c r="M11" s="111"/>
      <c r="N11" s="104"/>
      <c r="O11" s="95" t="s">
        <v>149</v>
      </c>
      <c r="P11" s="94"/>
      <c r="Q11" s="75"/>
      <c r="R11" s="106"/>
      <c r="S11" s="106"/>
      <c r="T11" s="111"/>
      <c r="U11" s="105"/>
      <c r="W11" s="75" t="s">
        <v>148</v>
      </c>
      <c r="X11" s="108">
        <v>63.0</v>
      </c>
      <c r="Y11" s="108">
        <v>1285.0</v>
      </c>
      <c r="Z11" s="109">
        <f t="shared" si="6"/>
        <v>0.04902723735</v>
      </c>
      <c r="AA11" s="110">
        <f t="shared" si="7"/>
        <v>0.04902723735</v>
      </c>
    </row>
    <row r="12">
      <c r="A12" s="94"/>
      <c r="B12" s="94"/>
      <c r="C12" s="75" t="s">
        <v>150</v>
      </c>
      <c r="D12" s="75">
        <v>302.85</v>
      </c>
      <c r="E12" s="75">
        <v>319.0</v>
      </c>
      <c r="F12" s="104">
        <f t="shared" si="1"/>
        <v>25.91783277</v>
      </c>
      <c r="G12" s="94"/>
      <c r="H12" s="75" t="s">
        <v>150</v>
      </c>
      <c r="I12" s="104"/>
      <c r="J12" s="104"/>
      <c r="K12" s="104">
        <f t="shared" si="4"/>
        <v>165.9005562</v>
      </c>
      <c r="L12" s="105">
        <v>0.0</v>
      </c>
      <c r="M12" s="111"/>
      <c r="N12" s="104"/>
      <c r="O12" s="95" t="s">
        <v>149</v>
      </c>
      <c r="P12" s="94"/>
      <c r="Q12" s="75" t="s">
        <v>150</v>
      </c>
      <c r="R12" s="106">
        <f>$C$24  + $E$24*T12</f>
        <v>31.93032724</v>
      </c>
      <c r="S12" s="106">
        <f>SQRT( ($D$24)^2 + (T12^2 * $G$24^2) + ($E$24^2 * U12^2) )</f>
        <v>20.20343829</v>
      </c>
      <c r="T12" s="75">
        <v>85.0</v>
      </c>
      <c r="U12" s="105">
        <f>$Z$15*T12</f>
        <v>6.906005598</v>
      </c>
      <c r="W12" s="75" t="s">
        <v>150</v>
      </c>
      <c r="X12" s="108">
        <v>41.0</v>
      </c>
      <c r="Y12" s="108">
        <v>319.0</v>
      </c>
      <c r="Z12" s="109">
        <f t="shared" si="6"/>
        <v>0.1285266458</v>
      </c>
      <c r="AA12" s="110">
        <f t="shared" si="7"/>
        <v>0.1285266458</v>
      </c>
    </row>
    <row r="13">
      <c r="A13" s="94"/>
      <c r="B13" s="94"/>
      <c r="C13" s="75" t="s">
        <v>150</v>
      </c>
      <c r="D13" s="75">
        <v>356.01</v>
      </c>
      <c r="E13" s="75">
        <v>384.0</v>
      </c>
      <c r="F13" s="104">
        <f t="shared" si="1"/>
        <v>31.19889588</v>
      </c>
      <c r="G13" s="94"/>
      <c r="H13" s="75" t="s">
        <v>150</v>
      </c>
      <c r="I13" s="104"/>
      <c r="J13" s="104"/>
      <c r="K13" s="104">
        <f t="shared" si="4"/>
        <v>209.1436117</v>
      </c>
      <c r="L13" s="105">
        <v>0.0</v>
      </c>
      <c r="M13" s="111"/>
      <c r="N13" s="104"/>
      <c r="O13" s="95" t="s">
        <v>149</v>
      </c>
      <c r="P13" s="94"/>
      <c r="Q13" s="75"/>
      <c r="R13" s="106"/>
      <c r="S13" s="106"/>
      <c r="T13" s="111"/>
      <c r="U13" s="105"/>
      <c r="W13" s="75" t="s">
        <v>150</v>
      </c>
      <c r="X13" s="108">
        <v>40.0</v>
      </c>
      <c r="Y13" s="108">
        <v>384.0</v>
      </c>
      <c r="Z13" s="109">
        <f t="shared" si="6"/>
        <v>0.1041666667</v>
      </c>
      <c r="AA13" s="110">
        <f t="shared" si="7"/>
        <v>0.1041666667</v>
      </c>
    </row>
    <row r="14">
      <c r="A14" s="94"/>
      <c r="B14" s="94"/>
      <c r="C14" s="75" t="s">
        <v>151</v>
      </c>
      <c r="D14" s="75">
        <v>661.66</v>
      </c>
      <c r="E14" s="75">
        <v>705.0</v>
      </c>
      <c r="F14" s="104">
        <f t="shared" si="1"/>
        <v>57.2792229</v>
      </c>
      <c r="G14" s="94"/>
      <c r="H14" s="75" t="s">
        <v>151</v>
      </c>
      <c r="I14" s="104">
        <f>$C$24  + $E$24*M14</f>
        <v>442.4081937</v>
      </c>
      <c r="J14" s="104">
        <f>SQRT( ($D$24)^2 + (M14^2 * $G$24^2) + ($E$24^2 * N14^2) )</f>
        <v>45.90805912</v>
      </c>
      <c r="K14" s="104">
        <f t="shared" si="4"/>
        <v>480.21626</v>
      </c>
      <c r="L14" s="105">
        <v>0.0</v>
      </c>
      <c r="M14" s="75">
        <v>468.0</v>
      </c>
      <c r="N14" s="104">
        <f>$Z$15*M14</f>
        <v>38.02365435</v>
      </c>
      <c r="O14" s="94"/>
      <c r="P14" s="94"/>
      <c r="Q14" s="75" t="s">
        <v>151</v>
      </c>
      <c r="R14" s="106">
        <f>$C$24  + $E$24*T14</f>
        <v>27.64335214</v>
      </c>
      <c r="S14" s="106">
        <f>SQRT( ($D$24)^2 + (T14^2 * $G$24^2) + ($E$24^2 * U14^2) )</f>
        <v>20.07115615</v>
      </c>
      <c r="T14" s="75">
        <v>81.0</v>
      </c>
      <c r="U14" s="105">
        <f>$Z$15*T14</f>
        <v>6.581017099</v>
      </c>
      <c r="W14" s="75" t="s">
        <v>151</v>
      </c>
      <c r="X14" s="107">
        <v>57.0</v>
      </c>
      <c r="Y14" s="107">
        <v>705.0</v>
      </c>
      <c r="Z14" s="109">
        <f t="shared" si="6"/>
        <v>0.08085106383</v>
      </c>
      <c r="AA14" s="110">
        <f t="shared" si="7"/>
        <v>0.08085106383</v>
      </c>
    </row>
    <row r="15">
      <c r="A15" s="94"/>
      <c r="B15" s="94"/>
      <c r="C15" s="75" t="s">
        <v>152</v>
      </c>
      <c r="D15" s="112">
        <f>$C$24  + $E$24*E15</f>
        <v>1106.889335</v>
      </c>
      <c r="E15" s="75">
        <v>1088.0</v>
      </c>
      <c r="F15" s="104">
        <f t="shared" si="1"/>
        <v>88.39687165</v>
      </c>
      <c r="G15" s="94"/>
      <c r="H15" s="113" t="s">
        <v>153</v>
      </c>
      <c r="O15" s="94"/>
      <c r="P15" s="94"/>
      <c r="Q15" s="94"/>
      <c r="R15" s="94"/>
      <c r="S15" s="94"/>
      <c r="W15" s="114" t="s">
        <v>154</v>
      </c>
      <c r="X15" s="10"/>
      <c r="Y15" s="10"/>
      <c r="Z15" s="8">
        <f>SUM(Z8:Z14)/7</f>
        <v>0.08124712468</v>
      </c>
      <c r="AA15" s="110">
        <f t="shared" si="7"/>
        <v>0.08124712468</v>
      </c>
    </row>
    <row r="16">
      <c r="A16" s="94"/>
      <c r="B16" s="94"/>
      <c r="C16" s="94"/>
      <c r="D16" s="94"/>
      <c r="E16" s="94"/>
      <c r="F16" s="94"/>
      <c r="G16" s="94"/>
      <c r="H16" s="75" t="s">
        <v>155</v>
      </c>
      <c r="I16" s="115">
        <f>$C$24  + $E$24*M16</f>
        <v>1106.889335</v>
      </c>
      <c r="J16" s="104">
        <f>SQRT( ($D$24)^2 + (M16^2 * $G$24^2) + ($E$24^2 * N16^2) )</f>
        <v>99.2370321</v>
      </c>
      <c r="K16" s="111"/>
      <c r="L16" s="111"/>
      <c r="M16" s="75">
        <v>1088.0</v>
      </c>
      <c r="N16" s="104">
        <f>$Z$15*M16</f>
        <v>88.39687165</v>
      </c>
      <c r="O16" s="94"/>
      <c r="P16" s="94"/>
      <c r="Q16" s="94"/>
      <c r="R16" s="94"/>
      <c r="S16" s="94"/>
    </row>
    <row r="17">
      <c r="A17" s="94"/>
      <c r="B17" s="94"/>
      <c r="C17" s="94"/>
      <c r="D17" s="94"/>
      <c r="E17" s="94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</row>
    <row r="18">
      <c r="A18" s="94"/>
      <c r="B18" s="94"/>
      <c r="C18" s="75" t="s">
        <v>156</v>
      </c>
      <c r="F18" s="75"/>
      <c r="G18" s="75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</row>
    <row r="19">
      <c r="A19" s="94"/>
      <c r="B19" s="94"/>
      <c r="C19" s="116" t="s">
        <v>157</v>
      </c>
      <c r="E19" s="111"/>
      <c r="F19" s="75"/>
      <c r="G19" s="75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</row>
    <row r="20">
      <c r="A20" s="94"/>
      <c r="B20" s="94"/>
      <c r="C20" s="117" t="s">
        <v>158</v>
      </c>
      <c r="E20" s="113"/>
      <c r="F20" s="75"/>
      <c r="G20" s="75"/>
      <c r="H20" s="118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</row>
    <row r="21">
      <c r="A21" s="94"/>
      <c r="B21" s="94"/>
      <c r="C21" s="117" t="s">
        <v>159</v>
      </c>
      <c r="E21" s="119"/>
      <c r="F21" s="111"/>
      <c r="G21" s="111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</row>
    <row r="22">
      <c r="A22" s="94"/>
      <c r="B22" s="94"/>
      <c r="C22" s="75"/>
      <c r="D22" s="111"/>
      <c r="E22" s="111"/>
      <c r="F22" s="111"/>
      <c r="G22" s="111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</row>
    <row r="23">
      <c r="A23" s="94"/>
      <c r="B23" s="94"/>
      <c r="C23" s="113" t="s">
        <v>160</v>
      </c>
      <c r="D23" s="113" t="s">
        <v>161</v>
      </c>
      <c r="E23" s="113" t="s">
        <v>162</v>
      </c>
      <c r="F23" s="113"/>
      <c r="G23" s="113" t="s">
        <v>163</v>
      </c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</row>
    <row r="24">
      <c r="A24" s="94"/>
      <c r="B24" s="94"/>
      <c r="C24" s="120">
        <v>-59.1678937776592</v>
      </c>
      <c r="D24" s="105">
        <v>18.7138738186558</v>
      </c>
      <c r="E24" s="121">
        <v>1.07174377671058</v>
      </c>
      <c r="F24" s="122"/>
      <c r="G24" s="123">
        <v>0.0210062080340277</v>
      </c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</row>
    <row r="25">
      <c r="A25" s="94"/>
      <c r="B25" s="94"/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</row>
    <row r="26">
      <c r="A26" s="94"/>
      <c r="B26" s="94"/>
      <c r="C26" s="94"/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</row>
    <row r="27">
      <c r="A27" s="94"/>
      <c r="B27" s="94"/>
      <c r="C27" s="94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</row>
    <row r="28">
      <c r="A28" s="94"/>
      <c r="B28" s="94"/>
      <c r="C28" s="94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</row>
    <row r="29">
      <c r="A29" s="94"/>
      <c r="B29" s="94"/>
      <c r="C29" s="94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</row>
    <row r="30">
      <c r="A30" s="94"/>
      <c r="B30" s="94"/>
      <c r="C30" s="94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</row>
    <row r="31">
      <c r="A31" s="94"/>
      <c r="B31" s="94"/>
      <c r="C31" s="94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</row>
    <row r="32">
      <c r="A32" s="94"/>
      <c r="B32" s="94"/>
      <c r="C32" s="94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</row>
    <row r="33">
      <c r="A33" s="94"/>
      <c r="B33" s="94"/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</row>
    <row r="34">
      <c r="A34" s="94"/>
      <c r="B34" s="94"/>
      <c r="C34" s="94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</row>
    <row r="35">
      <c r="A35" s="94"/>
      <c r="B35" s="94"/>
      <c r="C35" s="94"/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</row>
    <row r="36">
      <c r="A36" s="94"/>
      <c r="B36" s="94"/>
      <c r="C36" s="94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</row>
    <row r="37">
      <c r="A37" s="94"/>
      <c r="B37" s="94"/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</row>
    <row r="38">
      <c r="A38" s="94"/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</row>
    <row r="39">
      <c r="A39" s="94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</row>
    <row r="40">
      <c r="A40" s="94"/>
      <c r="B40" s="94"/>
      <c r="C40" s="94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</row>
    <row r="41">
      <c r="A41" s="94"/>
      <c r="B41" s="94"/>
      <c r="C41" s="94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</row>
    <row r="42">
      <c r="A42" s="94"/>
      <c r="B42" s="94"/>
      <c r="C42" s="94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</row>
    <row r="43">
      <c r="A43" s="94"/>
      <c r="B43" s="94"/>
      <c r="C43" s="94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</row>
    <row r="44">
      <c r="A44" s="94"/>
      <c r="B44" s="94"/>
      <c r="C44" s="94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</row>
    <row r="45">
      <c r="A45" s="94"/>
      <c r="B45" s="94"/>
      <c r="C45" s="94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</row>
    <row r="46">
      <c r="A46" s="94"/>
      <c r="B46" s="94"/>
      <c r="C46" s="94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</row>
    <row r="47">
      <c r="A47" s="94"/>
      <c r="B47" s="94"/>
      <c r="C47" s="94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</row>
    <row r="48">
      <c r="A48" s="94"/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</row>
    <row r="49">
      <c r="A49" s="94"/>
      <c r="B49" s="94"/>
      <c r="C49" s="94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</row>
    <row r="50">
      <c r="A50" s="94"/>
      <c r="B50" s="94"/>
      <c r="C50" s="94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</row>
    <row r="51">
      <c r="A51" s="94"/>
      <c r="B51" s="94"/>
      <c r="C51" s="94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</row>
    <row r="52">
      <c r="A52" s="94"/>
      <c r="B52" s="94"/>
      <c r="C52" s="94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</row>
    <row r="53">
      <c r="A53" s="94"/>
      <c r="B53" s="94"/>
      <c r="C53" s="94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</row>
    <row r="54">
      <c r="A54" s="94"/>
      <c r="B54" s="94"/>
      <c r="C54" s="94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</row>
    <row r="55">
      <c r="A55" s="94"/>
      <c r="B55" s="94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</row>
    <row r="56">
      <c r="A56" s="94"/>
      <c r="B56" s="94"/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</row>
    <row r="57">
      <c r="A57" s="94"/>
      <c r="B57" s="94"/>
      <c r="C57" s="94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</row>
    <row r="58">
      <c r="A58" s="94"/>
      <c r="B58" s="94"/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</row>
    <row r="59">
      <c r="A59" s="94"/>
      <c r="B59" s="94"/>
      <c r="C59" s="94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</row>
    <row r="60">
      <c r="A60" s="94"/>
      <c r="B60" s="94"/>
      <c r="C60" s="94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</row>
    <row r="61">
      <c r="A61" s="94"/>
      <c r="B61" s="94"/>
      <c r="C61" s="94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94"/>
    </row>
    <row r="62">
      <c r="A62" s="94"/>
      <c r="B62" s="94"/>
      <c r="C62" s="94"/>
      <c r="D62" s="94"/>
      <c r="E62" s="94"/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/>
    </row>
    <row r="63">
      <c r="A63" s="94"/>
      <c r="B63" s="94"/>
      <c r="C63" s="94"/>
      <c r="D63" s="94"/>
      <c r="E63" s="94"/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</row>
    <row r="64">
      <c r="A64" s="94"/>
      <c r="B64" s="94"/>
      <c r="C64" s="94"/>
      <c r="D64" s="94"/>
      <c r="E64" s="94"/>
      <c r="F64" s="94"/>
      <c r="G64" s="94"/>
      <c r="H64" s="94"/>
      <c r="I64" s="94"/>
      <c r="J64" s="94"/>
      <c r="K64" s="94"/>
      <c r="L64" s="94"/>
      <c r="M64" s="94"/>
      <c r="N64" s="94"/>
      <c r="O64" s="94"/>
      <c r="P64" s="94"/>
      <c r="Q64" s="94"/>
      <c r="R64" s="94"/>
      <c r="S64" s="94"/>
    </row>
    <row r="65">
      <c r="A65" s="94"/>
      <c r="B65" s="94"/>
      <c r="C65" s="94"/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94"/>
    </row>
    <row r="66">
      <c r="A66" s="94"/>
      <c r="B66" s="94"/>
      <c r="C66" s="94"/>
      <c r="D66" s="94"/>
      <c r="E66" s="94"/>
      <c r="F66" s="94"/>
      <c r="G66" s="94"/>
      <c r="H66" s="94"/>
      <c r="I66" s="94"/>
      <c r="J66" s="94"/>
      <c r="K66" s="94"/>
      <c r="L66" s="94"/>
      <c r="M66" s="94"/>
      <c r="N66" s="94"/>
      <c r="O66" s="94"/>
      <c r="P66" s="94"/>
      <c r="Q66" s="94"/>
      <c r="R66" s="94"/>
      <c r="S66" s="94"/>
    </row>
    <row r="67">
      <c r="A67" s="94"/>
      <c r="B67" s="94"/>
      <c r="C67" s="94"/>
      <c r="D67" s="94"/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/>
    </row>
    <row r="68">
      <c r="A68" s="94"/>
      <c r="B68" s="94"/>
      <c r="C68" s="94"/>
      <c r="D68" s="94"/>
      <c r="E68" s="94"/>
      <c r="F68" s="94"/>
      <c r="G68" s="94"/>
      <c r="H68" s="94"/>
      <c r="I68" s="94"/>
      <c r="J68" s="94"/>
      <c r="K68" s="94"/>
      <c r="L68" s="94"/>
      <c r="M68" s="94"/>
      <c r="N68" s="94"/>
      <c r="O68" s="94"/>
      <c r="P68" s="94"/>
      <c r="Q68" s="94"/>
      <c r="R68" s="94"/>
      <c r="S68" s="94"/>
    </row>
    <row r="69">
      <c r="A69" s="94"/>
      <c r="B69" s="94"/>
      <c r="C69" s="94"/>
      <c r="D69" s="94"/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94"/>
    </row>
    <row r="70">
      <c r="A70" s="94"/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94"/>
    </row>
    <row r="71">
      <c r="A71" s="94"/>
      <c r="B71" s="94"/>
      <c r="C71" s="94"/>
      <c r="D71" s="94"/>
      <c r="E71" s="94"/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</row>
    <row r="72">
      <c r="A72" s="94"/>
      <c r="B72" s="94"/>
      <c r="C72" s="94"/>
      <c r="D72" s="94"/>
      <c r="E72" s="94"/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94"/>
      <c r="Q72" s="94"/>
      <c r="R72" s="94"/>
      <c r="S72" s="94"/>
    </row>
    <row r="73">
      <c r="A73" s="94"/>
      <c r="B73" s="94"/>
      <c r="C73" s="94"/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94"/>
    </row>
    <row r="74">
      <c r="A74" s="94"/>
      <c r="B74" s="94"/>
      <c r="C74" s="94"/>
      <c r="D74" s="94"/>
      <c r="E74" s="94"/>
      <c r="F74" s="94"/>
      <c r="G74" s="94"/>
      <c r="H74" s="94"/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94"/>
    </row>
    <row r="75">
      <c r="A75" s="94"/>
      <c r="B75" s="94"/>
      <c r="C75" s="94"/>
      <c r="D75" s="94"/>
      <c r="E75" s="94"/>
      <c r="F75" s="94"/>
      <c r="G75" s="94"/>
      <c r="H75" s="94"/>
      <c r="I75" s="94"/>
      <c r="J75" s="94"/>
      <c r="K75" s="94"/>
      <c r="L75" s="94"/>
      <c r="M75" s="94"/>
      <c r="N75" s="94"/>
      <c r="O75" s="94"/>
      <c r="P75" s="94"/>
      <c r="Q75" s="94"/>
      <c r="R75" s="94"/>
      <c r="S75" s="94"/>
    </row>
    <row r="76">
      <c r="A76" s="94"/>
      <c r="B76" s="94"/>
      <c r="C76" s="94"/>
      <c r="D76" s="94"/>
      <c r="E76" s="94"/>
      <c r="F76" s="94"/>
      <c r="G76" s="94"/>
      <c r="H76" s="94"/>
      <c r="I76" s="94"/>
      <c r="J76" s="94"/>
      <c r="K76" s="94"/>
      <c r="L76" s="94"/>
      <c r="M76" s="94"/>
      <c r="N76" s="94"/>
      <c r="O76" s="94"/>
      <c r="P76" s="94"/>
      <c r="Q76" s="94"/>
      <c r="R76" s="94"/>
      <c r="S76" s="94"/>
    </row>
    <row r="77">
      <c r="A77" s="94"/>
      <c r="B77" s="94"/>
      <c r="C77" s="94"/>
      <c r="D77" s="94"/>
      <c r="E77" s="94"/>
      <c r="F77" s="94"/>
      <c r="G77" s="94"/>
      <c r="H77" s="94"/>
      <c r="I77" s="94"/>
      <c r="J77" s="94"/>
      <c r="K77" s="94"/>
      <c r="L77" s="94"/>
      <c r="M77" s="94"/>
      <c r="N77" s="94"/>
      <c r="O77" s="94"/>
      <c r="P77" s="94"/>
      <c r="Q77" s="94"/>
      <c r="R77" s="94"/>
      <c r="S77" s="94"/>
    </row>
    <row r="78">
      <c r="A78" s="94"/>
      <c r="B78" s="94"/>
      <c r="C78" s="94"/>
      <c r="D78" s="94"/>
      <c r="E78" s="94"/>
      <c r="F78" s="94"/>
      <c r="G78" s="94"/>
      <c r="H78" s="94"/>
      <c r="I78" s="94"/>
      <c r="J78" s="94"/>
      <c r="K78" s="94"/>
      <c r="L78" s="94"/>
      <c r="M78" s="94"/>
      <c r="N78" s="94"/>
      <c r="O78" s="94"/>
      <c r="P78" s="94"/>
      <c r="Q78" s="94"/>
      <c r="R78" s="94"/>
      <c r="S78" s="94"/>
    </row>
    <row r="79">
      <c r="A79" s="94"/>
      <c r="B79" s="94"/>
      <c r="C79" s="94"/>
      <c r="D79" s="94"/>
      <c r="E79" s="94"/>
      <c r="F79" s="94"/>
      <c r="G79" s="94"/>
      <c r="H79" s="94"/>
      <c r="I79" s="94"/>
      <c r="J79" s="94"/>
      <c r="K79" s="94"/>
      <c r="L79" s="94"/>
      <c r="M79" s="94"/>
      <c r="N79" s="94"/>
      <c r="O79" s="94"/>
      <c r="P79" s="94"/>
      <c r="Q79" s="94"/>
      <c r="R79" s="94"/>
      <c r="S79" s="94"/>
    </row>
    <row r="80">
      <c r="A80" s="94"/>
      <c r="B80" s="94"/>
      <c r="C80" s="94"/>
      <c r="D80" s="94"/>
      <c r="E80" s="94"/>
      <c r="F80" s="94"/>
      <c r="G80" s="94"/>
      <c r="H80" s="94"/>
      <c r="I80" s="94"/>
      <c r="J80" s="94"/>
      <c r="K80" s="94"/>
      <c r="L80" s="94"/>
      <c r="M80" s="94"/>
      <c r="N80" s="94"/>
      <c r="O80" s="94"/>
      <c r="P80" s="94"/>
      <c r="Q80" s="94"/>
      <c r="R80" s="94"/>
      <c r="S80" s="94"/>
    </row>
    <row r="81">
      <c r="A81" s="94"/>
      <c r="B81" s="94"/>
      <c r="C81" s="94"/>
      <c r="D81" s="94"/>
      <c r="E81" s="94"/>
      <c r="F81" s="94"/>
      <c r="G81" s="94"/>
      <c r="H81" s="94"/>
      <c r="I81" s="94"/>
      <c r="J81" s="94"/>
      <c r="K81" s="94"/>
      <c r="L81" s="94"/>
      <c r="M81" s="94"/>
      <c r="N81" s="94"/>
      <c r="O81" s="94"/>
      <c r="P81" s="94"/>
      <c r="Q81" s="94"/>
      <c r="R81" s="94"/>
      <c r="S81" s="94"/>
    </row>
    <row r="82">
      <c r="A82" s="94"/>
      <c r="B82" s="94"/>
      <c r="C82" s="94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  <c r="P82" s="94"/>
      <c r="Q82" s="94"/>
      <c r="R82" s="94"/>
      <c r="S82" s="94"/>
    </row>
    <row r="83">
      <c r="A83" s="94"/>
      <c r="B83" s="94"/>
      <c r="C83" s="94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  <c r="P83" s="94"/>
      <c r="Q83" s="94"/>
      <c r="R83" s="94"/>
      <c r="S83" s="94"/>
    </row>
    <row r="84">
      <c r="A84" s="94"/>
      <c r="B84" s="94"/>
      <c r="C84" s="94"/>
      <c r="D84" s="94"/>
      <c r="E84" s="94"/>
      <c r="F84" s="94"/>
      <c r="G84" s="94"/>
      <c r="H84" s="94"/>
      <c r="I84" s="94"/>
      <c r="J84" s="94"/>
      <c r="K84" s="94"/>
      <c r="L84" s="94"/>
      <c r="M84" s="94"/>
      <c r="N84" s="94"/>
      <c r="O84" s="94"/>
      <c r="P84" s="94"/>
      <c r="Q84" s="94"/>
      <c r="R84" s="94"/>
      <c r="S84" s="94"/>
    </row>
    <row r="85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  <c r="P85" s="94"/>
      <c r="Q85" s="94"/>
      <c r="R85" s="94"/>
      <c r="S85" s="94"/>
    </row>
    <row r="86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  <c r="P86" s="94"/>
      <c r="Q86" s="94"/>
      <c r="R86" s="94"/>
      <c r="S86" s="94"/>
    </row>
    <row r="87">
      <c r="A87" s="94"/>
      <c r="B87" s="94"/>
      <c r="C87" s="94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  <c r="P87" s="94"/>
      <c r="Q87" s="94"/>
      <c r="R87" s="94"/>
      <c r="S87" s="94"/>
    </row>
    <row r="88">
      <c r="A88" s="94"/>
      <c r="B88" s="94"/>
      <c r="C88" s="94"/>
      <c r="D88" s="94"/>
      <c r="E88" s="94"/>
      <c r="F88" s="94"/>
      <c r="G88" s="94"/>
      <c r="H88" s="94"/>
      <c r="I88" s="94"/>
      <c r="J88" s="94"/>
      <c r="K88" s="94"/>
      <c r="L88" s="94"/>
      <c r="M88" s="94"/>
      <c r="N88" s="94"/>
      <c r="O88" s="94"/>
      <c r="P88" s="94"/>
      <c r="Q88" s="94"/>
      <c r="R88" s="94"/>
      <c r="S88" s="94"/>
    </row>
    <row r="89">
      <c r="A89" s="94"/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  <c r="P89" s="94"/>
      <c r="Q89" s="94"/>
      <c r="R89" s="94"/>
      <c r="S89" s="94"/>
    </row>
    <row r="90">
      <c r="A90" s="94"/>
      <c r="B90" s="94"/>
      <c r="C90" s="94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  <c r="P90" s="94"/>
      <c r="Q90" s="94"/>
      <c r="R90" s="94"/>
      <c r="S90" s="94"/>
    </row>
    <row r="91">
      <c r="A91" s="94"/>
      <c r="B91" s="94"/>
      <c r="C91" s="94"/>
      <c r="D91" s="94"/>
      <c r="E91" s="94"/>
      <c r="F91" s="94"/>
      <c r="G91" s="94"/>
      <c r="H91" s="94"/>
      <c r="I91" s="94"/>
      <c r="J91" s="94"/>
      <c r="K91" s="94"/>
      <c r="L91" s="94"/>
      <c r="M91" s="94"/>
      <c r="N91" s="94"/>
      <c r="O91" s="94"/>
      <c r="P91" s="94"/>
      <c r="Q91" s="94"/>
      <c r="R91" s="94"/>
      <c r="S91" s="94"/>
    </row>
    <row r="92">
      <c r="A92" s="94"/>
      <c r="B92" s="94"/>
      <c r="C92" s="94"/>
      <c r="D92" s="94"/>
      <c r="E92" s="94"/>
      <c r="F92" s="94"/>
      <c r="G92" s="94"/>
      <c r="H92" s="94"/>
      <c r="I92" s="94"/>
      <c r="J92" s="94"/>
      <c r="K92" s="94"/>
      <c r="L92" s="94"/>
      <c r="M92" s="94"/>
      <c r="N92" s="94"/>
      <c r="O92" s="94"/>
      <c r="P92" s="94"/>
      <c r="Q92" s="94"/>
      <c r="R92" s="94"/>
      <c r="S92" s="94"/>
    </row>
    <row r="93">
      <c r="A93" s="94"/>
      <c r="B93" s="94"/>
      <c r="C93" s="94"/>
      <c r="D93" s="94"/>
      <c r="E93" s="94"/>
      <c r="F93" s="94"/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94"/>
    </row>
    <row r="94">
      <c r="A94" s="94"/>
      <c r="B94" s="94"/>
      <c r="C94" s="94"/>
      <c r="D94" s="94"/>
      <c r="E94" s="94"/>
      <c r="F94" s="94"/>
      <c r="G94" s="94"/>
      <c r="H94" s="94"/>
      <c r="I94" s="94"/>
      <c r="J94" s="94"/>
      <c r="K94" s="94"/>
      <c r="L94" s="94"/>
      <c r="M94" s="94"/>
      <c r="N94" s="94"/>
      <c r="O94" s="94"/>
      <c r="P94" s="94"/>
      <c r="Q94" s="94"/>
      <c r="R94" s="94"/>
      <c r="S94" s="94"/>
    </row>
    <row r="95">
      <c r="A95" s="94"/>
      <c r="B95" s="94"/>
      <c r="C95" s="94"/>
      <c r="D95" s="94"/>
      <c r="E95" s="94"/>
      <c r="F95" s="94"/>
      <c r="G95" s="94"/>
      <c r="H95" s="94"/>
      <c r="I95" s="94"/>
      <c r="J95" s="94"/>
      <c r="K95" s="94"/>
      <c r="L95" s="94"/>
      <c r="M95" s="94"/>
      <c r="N95" s="94"/>
      <c r="O95" s="94"/>
      <c r="P95" s="94"/>
      <c r="Q95" s="94"/>
      <c r="R95" s="94"/>
      <c r="S95" s="94"/>
    </row>
    <row r="96">
      <c r="A96" s="94"/>
      <c r="B96" s="94"/>
      <c r="C96" s="94"/>
      <c r="D96" s="94"/>
      <c r="E96" s="94"/>
      <c r="F96" s="94"/>
      <c r="G96" s="94"/>
      <c r="H96" s="94"/>
      <c r="I96" s="94"/>
      <c r="J96" s="94"/>
      <c r="K96" s="94"/>
      <c r="L96" s="94"/>
      <c r="M96" s="94"/>
      <c r="N96" s="94"/>
      <c r="O96" s="94"/>
      <c r="P96" s="94"/>
      <c r="Q96" s="94"/>
      <c r="R96" s="94"/>
      <c r="S96" s="94"/>
    </row>
    <row r="97">
      <c r="A97" s="94"/>
      <c r="B97" s="94"/>
      <c r="C97" s="94"/>
      <c r="D97" s="94"/>
      <c r="E97" s="94"/>
      <c r="F97" s="94"/>
      <c r="G97" s="94"/>
      <c r="H97" s="94"/>
      <c r="I97" s="94"/>
      <c r="J97" s="94"/>
      <c r="K97" s="94"/>
      <c r="L97" s="94"/>
      <c r="M97" s="94"/>
      <c r="N97" s="94"/>
      <c r="O97" s="94"/>
      <c r="P97" s="94"/>
      <c r="Q97" s="94"/>
      <c r="R97" s="94"/>
      <c r="S97" s="94"/>
    </row>
    <row r="98">
      <c r="A98" s="94"/>
      <c r="B98" s="94"/>
      <c r="C98" s="94"/>
      <c r="D98" s="94"/>
      <c r="E98" s="94"/>
      <c r="F98" s="94"/>
      <c r="G98" s="94"/>
      <c r="H98" s="94"/>
      <c r="I98" s="94"/>
      <c r="J98" s="94"/>
      <c r="K98" s="94"/>
      <c r="L98" s="94"/>
      <c r="M98" s="94"/>
      <c r="N98" s="94"/>
      <c r="O98" s="94"/>
      <c r="P98" s="94"/>
      <c r="Q98" s="94"/>
      <c r="R98" s="94"/>
      <c r="S98" s="94"/>
    </row>
    <row r="99">
      <c r="A99" s="94"/>
      <c r="B99" s="94"/>
      <c r="C99" s="94"/>
      <c r="D99" s="94"/>
      <c r="E99" s="94"/>
      <c r="F99" s="94"/>
      <c r="G99" s="94"/>
      <c r="H99" s="94"/>
      <c r="I99" s="94"/>
      <c r="J99" s="94"/>
      <c r="K99" s="94"/>
      <c r="L99" s="94"/>
      <c r="M99" s="94"/>
      <c r="N99" s="94"/>
      <c r="O99" s="94"/>
      <c r="P99" s="94"/>
      <c r="Q99" s="94"/>
      <c r="R99" s="94"/>
      <c r="S99" s="94"/>
    </row>
  </sheetData>
  <mergeCells count="11">
    <mergeCell ref="C18:E18"/>
    <mergeCell ref="C19:D19"/>
    <mergeCell ref="C20:D20"/>
    <mergeCell ref="C21:D21"/>
    <mergeCell ref="C5:U5"/>
    <mergeCell ref="W5:AA5"/>
    <mergeCell ref="C6:F6"/>
    <mergeCell ref="H6:N6"/>
    <mergeCell ref="Q6:U6"/>
    <mergeCell ref="W6:AA6"/>
    <mergeCell ref="H15:N15"/>
  </mergeCells>
  <drawing r:id="rId1"/>
</worksheet>
</file>