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Grylka\PycharmProjects\EnergyStorageTechnologies_gunicorn3\energystoragetechnologies\static\uploads\"/>
    </mc:Choice>
  </mc:AlternateContent>
  <xr:revisionPtr revIDLastSave="0" documentId="10_ncr:100000_{B79317BC-D372-4C58-8789-B89205B03BA5}" xr6:coauthVersionLast="31" xr6:coauthVersionMax="31" xr10:uidLastSave="{00000000-0000-0000-0000-000000000000}"/>
  <bookViews>
    <workbookView xWindow="0" yWindow="0" windowWidth="14380" windowHeight="4100" xr2:uid="{3A45179A-1F3C-445C-8AB7-1AB767BC849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N5" i="1"/>
  <c r="Q5" i="1" s="1"/>
  <c r="N6" i="1"/>
  <c r="Q6" i="1" s="1"/>
  <c r="N7" i="1"/>
  <c r="T7" i="1" s="1"/>
  <c r="N8" i="1"/>
  <c r="T8" i="1" s="1"/>
  <c r="N9" i="1"/>
  <c r="T9" i="1" s="1"/>
  <c r="N10" i="1"/>
  <c r="Q10" i="1" s="1"/>
  <c r="N11" i="1"/>
  <c r="T11" i="1" s="1"/>
  <c r="N12" i="1"/>
  <c r="T12" i="1" s="1"/>
  <c r="N13" i="1"/>
  <c r="T13" i="1" s="1"/>
  <c r="N14" i="1"/>
  <c r="Q14" i="1" s="1"/>
  <c r="N15" i="1"/>
  <c r="T15" i="1" s="1"/>
  <c r="N16" i="1"/>
  <c r="T16" i="1" s="1"/>
  <c r="N17" i="1"/>
  <c r="T17" i="1" s="1"/>
  <c r="N18" i="1"/>
  <c r="Q18" i="1" s="1"/>
  <c r="N19" i="1"/>
  <c r="T19" i="1" s="1"/>
  <c r="N20" i="1"/>
  <c r="T20" i="1" s="1"/>
  <c r="N21" i="1"/>
  <c r="T21" i="1" s="1"/>
  <c r="N22" i="1"/>
  <c r="Q22" i="1" s="1"/>
  <c r="N23" i="1"/>
  <c r="T23" i="1" s="1"/>
  <c r="N24" i="1"/>
  <c r="S24" i="1" s="1"/>
  <c r="S25" i="1" s="1"/>
  <c r="N4" i="1"/>
  <c r="P6" i="1" l="1"/>
  <c r="R14" i="1"/>
  <c r="R22" i="1"/>
  <c r="R20" i="1"/>
  <c r="R16" i="1"/>
  <c r="R18" i="1"/>
  <c r="O25" i="1"/>
  <c r="T22" i="1"/>
  <c r="T18" i="1"/>
  <c r="T14" i="1"/>
  <c r="T10" i="1"/>
  <c r="T6" i="1"/>
  <c r="P21" i="1"/>
  <c r="P17" i="1"/>
  <c r="P13" i="1"/>
  <c r="P9" i="1"/>
  <c r="Q21" i="1"/>
  <c r="Q17" i="1"/>
  <c r="Q13" i="1"/>
  <c r="Q9" i="1"/>
  <c r="T5" i="1"/>
  <c r="P24" i="1"/>
  <c r="P20" i="1"/>
  <c r="P16" i="1"/>
  <c r="P12" i="1"/>
  <c r="P8" i="1"/>
  <c r="Q24" i="1"/>
  <c r="Q20" i="1"/>
  <c r="Q16" i="1"/>
  <c r="Q12" i="1"/>
  <c r="Q8" i="1"/>
  <c r="T24" i="1"/>
  <c r="P23" i="1"/>
  <c r="P19" i="1"/>
  <c r="P15" i="1"/>
  <c r="P11" i="1"/>
  <c r="P7" i="1"/>
  <c r="Q23" i="1"/>
  <c r="Q19" i="1"/>
  <c r="Q15" i="1"/>
  <c r="Q11" i="1"/>
  <c r="Q7" i="1"/>
  <c r="P5" i="1"/>
  <c r="P22" i="1"/>
  <c r="P18" i="1"/>
  <c r="P14" i="1"/>
  <c r="P10" i="1"/>
  <c r="H13" i="1"/>
  <c r="Q25" i="1" l="1"/>
  <c r="R25" i="1"/>
  <c r="T25" i="1"/>
  <c r="P25" i="1"/>
  <c r="N27" i="1" s="1"/>
  <c r="H10" i="1"/>
  <c r="H6" i="1"/>
  <c r="H14" i="1"/>
  <c r="H7" i="1"/>
  <c r="H3" i="1"/>
  <c r="H5" i="1" l="1"/>
  <c r="H4" i="1"/>
  <c r="H11" i="1" a="1"/>
  <c r="H12" i="1" a="1"/>
  <c r="H12" i="1" l="1"/>
  <c r="H11" i="1"/>
  <c r="H18" i="1" a="1"/>
  <c r="H18" i="1" l="1"/>
</calcChain>
</file>

<file path=xl/sharedStrings.xml><?xml version="1.0" encoding="utf-8"?>
<sst xmlns="http://schemas.openxmlformats.org/spreadsheetml/2006/main" count="73" uniqueCount="51">
  <si>
    <t>lifetime:</t>
  </si>
  <si>
    <t>years</t>
  </si>
  <si>
    <t>efficiency:</t>
  </si>
  <si>
    <t>%</t>
  </si>
  <si>
    <t>power rating:</t>
  </si>
  <si>
    <t>MW</t>
  </si>
  <si>
    <t>energy capacity:</t>
  </si>
  <si>
    <t>MWh</t>
  </si>
  <si>
    <t>energy-specific capital cost:</t>
  </si>
  <si>
    <t>CHF/MWh</t>
  </si>
  <si>
    <t>power-specific capital cost:</t>
  </si>
  <si>
    <t>O&amp;M costs:</t>
  </si>
  <si>
    <t>% of total capital costs/year</t>
  </si>
  <si>
    <t>cents/kWh</t>
  </si>
  <si>
    <t>capital costs of energy-based components:</t>
  </si>
  <si>
    <t>capital costs of power-based components:</t>
  </si>
  <si>
    <t>electricity price:</t>
  </si>
  <si>
    <t>interest rate:</t>
  </si>
  <si>
    <t>discharged electricity</t>
  </si>
  <si>
    <t>specify either:
- energy-scecific capital costs
- power-specific capital costs
- capital costs of energy based components and capital costs of power based components</t>
  </si>
  <si>
    <t>capital cost:</t>
  </si>
  <si>
    <t>CHF</t>
  </si>
  <si>
    <t>O&amp;M cost:</t>
  </si>
  <si>
    <t>CHF/year</t>
  </si>
  <si>
    <t>MWh/year</t>
  </si>
  <si>
    <t>cost of electricity losses:</t>
  </si>
  <si>
    <t>cost/earnings of decomissioning:</t>
  </si>
  <si>
    <t>decommisioning (positive if costs, negative if earnings):</t>
  </si>
  <si>
    <t>LCOES:</t>
  </si>
  <si>
    <t>CHF/kWh</t>
  </si>
  <si>
    <t>CHF/kW</t>
  </si>
  <si>
    <t>CHF in year:</t>
  </si>
  <si>
    <t>replacement costs 1</t>
  </si>
  <si>
    <t>replacement costs 5</t>
  </si>
  <si>
    <t>replacement costs 2</t>
  </si>
  <si>
    <t>replacement costs 3</t>
  </si>
  <si>
    <t>replacement costs 4</t>
  </si>
  <si>
    <t>replacement costs:</t>
  </si>
  <si>
    <t>discounted costs</t>
  </si>
  <si>
    <t>Costs overview (before discounting)</t>
  </si>
  <si>
    <t>Important note: complete formulas by enering ctr+shift+enter instead of just enter (array formulas), otherwise values will be wrong!</t>
  </si>
  <si>
    <t>year</t>
  </si>
  <si>
    <t>Investment costs</t>
  </si>
  <si>
    <t>O&amp;M costs</t>
  </si>
  <si>
    <t>discount factor</t>
  </si>
  <si>
    <t>costs for electricity losses</t>
  </si>
  <si>
    <t>verification</t>
  </si>
  <si>
    <t>total</t>
  </si>
  <si>
    <t>LCOES</t>
  </si>
  <si>
    <t>decomissioning</t>
  </si>
  <si>
    <t>replacement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</si>
</sst>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" fontId="0" fillId="0" borderId="0" xfId="0" applyNumberFormat="1" applyBorder="1"/>
    <xf numFmtId="1" fontId="0" fillId="0" borderId="7" xfId="0" applyNumberFormat="1" applyBorder="1"/>
    <xf numFmtId="0" fontId="0" fillId="2" borderId="17" xfId="0" applyFill="1" applyBorder="1"/>
    <xf numFmtId="2" fontId="0" fillId="2" borderId="18" xfId="0" applyNumberFormat="1" applyFill="1" applyBorder="1"/>
    <xf numFmtId="0" fontId="0" fillId="2" borderId="19" xfId="0" applyFill="1" applyBorder="1"/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4" borderId="6" xfId="0" applyFill="1" applyBorder="1"/>
    <xf numFmtId="0" fontId="0" fillId="4" borderId="7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07AC-47E6-4716-8D26-3A95CE777119}">
  <dimension ref="B1:T27"/>
  <sheetViews>
    <sheetView tabSelected="1" topLeftCell="J1" workbookViewId="0">
      <selection activeCell="D26" sqref="D26"/>
    </sheetView>
  </sheetViews>
  <sheetFormatPr baseColWidth="10" defaultRowHeight="14.5" x14ac:dyDescent="0.35"/>
  <cols>
    <col min="1" max="1" width="11.36328125" customWidth="1"/>
    <col min="2" max="2" width="46" customWidth="1"/>
    <col min="3" max="3" width="24.7265625" customWidth="1"/>
    <col min="4" max="4" width="24" customWidth="1"/>
    <col min="5" max="5" width="11.54296875" customWidth="1"/>
    <col min="6" max="6" width="14.81640625" customWidth="1"/>
    <col min="7" max="7" width="30.36328125" customWidth="1"/>
    <col min="9" max="9" width="14.36328125" customWidth="1"/>
    <col min="14" max="14" width="18.54296875" customWidth="1"/>
    <col min="15" max="15" width="19.453125" customWidth="1"/>
    <col min="17" max="18" width="21.90625" customWidth="1"/>
    <col min="19" max="19" width="19.54296875" customWidth="1"/>
    <col min="20" max="20" width="20.26953125" customWidth="1"/>
  </cols>
  <sheetData>
    <row r="1" spans="2:20" ht="15" thickBot="1" x14ac:dyDescent="0.4"/>
    <row r="2" spans="2:20" x14ac:dyDescent="0.35">
      <c r="B2" s="2" t="s">
        <v>0</v>
      </c>
      <c r="C2" s="3">
        <v>20</v>
      </c>
      <c r="D2" s="4" t="s">
        <v>1</v>
      </c>
      <c r="G2" s="32" t="s">
        <v>39</v>
      </c>
      <c r="H2" s="33"/>
      <c r="I2" s="34"/>
      <c r="M2" s="32" t="s">
        <v>46</v>
      </c>
      <c r="N2" s="33"/>
      <c r="O2" s="33"/>
      <c r="P2" s="33"/>
      <c r="Q2" s="33"/>
      <c r="R2" s="33"/>
      <c r="S2" s="33"/>
      <c r="T2" s="34"/>
    </row>
    <row r="3" spans="2:20" x14ac:dyDescent="0.35">
      <c r="B3" s="5" t="s">
        <v>2</v>
      </c>
      <c r="C3" s="1">
        <v>95</v>
      </c>
      <c r="D3" s="6" t="s">
        <v>3</v>
      </c>
      <c r="G3" s="5" t="s">
        <v>20</v>
      </c>
      <c r="H3" s="1">
        <f>IF(ISBLANK(C6),IF(ISBLANK(C7),C8*C5+C9*C4,C7*C4),C6*C5)*1000</f>
        <v>250000</v>
      </c>
      <c r="I3" s="6" t="s">
        <v>21</v>
      </c>
      <c r="M3" s="5" t="s">
        <v>41</v>
      </c>
      <c r="N3" s="1" t="s">
        <v>44</v>
      </c>
      <c r="O3" s="1" t="s">
        <v>42</v>
      </c>
      <c r="P3" s="1" t="s">
        <v>43</v>
      </c>
      <c r="Q3" s="1" t="s">
        <v>45</v>
      </c>
      <c r="R3" s="10" t="s">
        <v>50</v>
      </c>
      <c r="S3" s="1" t="s">
        <v>49</v>
      </c>
      <c r="T3" s="6" t="s">
        <v>18</v>
      </c>
    </row>
    <row r="4" spans="2:20" x14ac:dyDescent="0.35">
      <c r="B4" s="5" t="s">
        <v>4</v>
      </c>
      <c r="C4" s="1">
        <v>0.5</v>
      </c>
      <c r="D4" s="6" t="s">
        <v>5</v>
      </c>
      <c r="G4" s="5" t="s">
        <v>22</v>
      </c>
      <c r="H4" s="1">
        <f>C10/100*H3</f>
        <v>2500</v>
      </c>
      <c r="I4" s="6" t="s">
        <v>23</v>
      </c>
      <c r="M4" s="5">
        <v>0</v>
      </c>
      <c r="N4" s="1">
        <f>(1+$C$13/100)^(-M4)</f>
        <v>1</v>
      </c>
      <c r="O4" s="1">
        <f>C6*C5*1000</f>
        <v>250000</v>
      </c>
      <c r="P4" s="1"/>
      <c r="Q4" s="1"/>
      <c r="R4" s="1"/>
      <c r="S4" s="1"/>
      <c r="T4" s="6"/>
    </row>
    <row r="5" spans="2:20" x14ac:dyDescent="0.35">
      <c r="B5" s="5" t="s">
        <v>6</v>
      </c>
      <c r="C5" s="1">
        <v>1</v>
      </c>
      <c r="D5" s="6" t="s">
        <v>7</v>
      </c>
      <c r="G5" s="5" t="s">
        <v>25</v>
      </c>
      <c r="H5" s="15">
        <f>C12*10*(C14/(C3/100)-C14)</f>
        <v>10526.315789473711</v>
      </c>
      <c r="I5" s="6" t="s">
        <v>23</v>
      </c>
      <c r="M5" s="5">
        <v>1</v>
      </c>
      <c r="N5" s="1">
        <f>(1+$C$13/100)^(-M5)</f>
        <v>0.95238095238095233</v>
      </c>
      <c r="O5" s="1"/>
      <c r="P5" s="1">
        <f>$C$10/100*$O$4*N5</f>
        <v>2380.9523809523807</v>
      </c>
      <c r="Q5" s="1">
        <f>($C$14/($C$3/100)-$C$14)*N5*$C$12*1000/100</f>
        <v>10025.062656641629</v>
      </c>
      <c r="R5" s="1"/>
      <c r="S5" s="1"/>
      <c r="T5" s="6">
        <f>$C$14*N5</f>
        <v>952.38095238095229</v>
      </c>
    </row>
    <row r="6" spans="2:20" x14ac:dyDescent="0.35">
      <c r="B6" s="5" t="s">
        <v>8</v>
      </c>
      <c r="C6" s="10">
        <v>250</v>
      </c>
      <c r="D6" s="6" t="s">
        <v>29</v>
      </c>
      <c r="G6" s="11" t="s">
        <v>37</v>
      </c>
      <c r="H6" s="1">
        <f>C15+C16+C17+C18+C19</f>
        <v>50000</v>
      </c>
      <c r="I6" s="12" t="s">
        <v>21</v>
      </c>
      <c r="M6" s="5">
        <v>2</v>
      </c>
      <c r="N6" s="1">
        <f>(1+$C$13/100)^(-M6)</f>
        <v>0.90702947845804982</v>
      </c>
      <c r="O6" s="1"/>
      <c r="P6" s="1">
        <f>$C$10/100*$O$4*N6</f>
        <v>2267.5736961451244</v>
      </c>
      <c r="Q6" s="1">
        <f>($C$14/($C$3/100)-$C$14)*N6*$C$12*1000/100</f>
        <v>9547.6787206110748</v>
      </c>
      <c r="R6" s="1"/>
      <c r="S6" s="1"/>
      <c r="T6" s="6">
        <f>$C$14*N6</f>
        <v>907.02947845804977</v>
      </c>
    </row>
    <row r="7" spans="2:20" ht="15" thickBot="1" x14ac:dyDescent="0.4">
      <c r="B7" s="5" t="s">
        <v>10</v>
      </c>
      <c r="C7" s="10"/>
      <c r="D7" s="6" t="s">
        <v>30</v>
      </c>
      <c r="G7" s="7" t="s">
        <v>26</v>
      </c>
      <c r="H7" s="8">
        <f>C11*C5*1000</f>
        <v>1000</v>
      </c>
      <c r="I7" s="9" t="s">
        <v>21</v>
      </c>
      <c r="M7" s="5">
        <v>3</v>
      </c>
      <c r="N7" s="1">
        <f>(1+$C$13/100)^(-M7)</f>
        <v>0.86383759853147601</v>
      </c>
      <c r="O7" s="1"/>
      <c r="P7" s="1">
        <f>$C$10/100*$O$4*N7</f>
        <v>2159.5939963286901</v>
      </c>
      <c r="Q7" s="1">
        <f>($C$14/($C$3/100)-$C$14)*N7*$C$12*1000/100</f>
        <v>9093.0273529629285</v>
      </c>
      <c r="R7" s="1"/>
      <c r="S7" s="1"/>
      <c r="T7" s="6">
        <f>$C$14*N7</f>
        <v>863.83759853147603</v>
      </c>
    </row>
    <row r="8" spans="2:20" ht="15" thickBot="1" x14ac:dyDescent="0.4">
      <c r="B8" s="5" t="s">
        <v>14</v>
      </c>
      <c r="C8" s="1"/>
      <c r="D8" s="6" t="s">
        <v>29</v>
      </c>
      <c r="M8" s="5">
        <v>4</v>
      </c>
      <c r="N8" s="1">
        <f>(1+$C$13/100)^(-M8)</f>
        <v>0.82270247479188197</v>
      </c>
      <c r="O8" s="1"/>
      <c r="P8" s="1">
        <f>$C$10/100*$O$4*N8</f>
        <v>2056.756186979705</v>
      </c>
      <c r="Q8" s="1">
        <f>($C$14/($C$3/100)-$C$14)*N8*$C$12*1000/100</f>
        <v>8660.0260504408852</v>
      </c>
      <c r="R8" s="1"/>
      <c r="S8" s="1"/>
      <c r="T8" s="6">
        <f>$C$14*N8</f>
        <v>822.70247479188197</v>
      </c>
    </row>
    <row r="9" spans="2:20" x14ac:dyDescent="0.35">
      <c r="B9" s="5" t="s">
        <v>15</v>
      </c>
      <c r="C9" s="1"/>
      <c r="D9" s="6" t="s">
        <v>30</v>
      </c>
      <c r="G9" s="32" t="s">
        <v>38</v>
      </c>
      <c r="H9" s="33"/>
      <c r="I9" s="34"/>
      <c r="M9" s="5">
        <v>5</v>
      </c>
      <c r="N9" s="1">
        <f>(1+$C$13/100)^(-M9)</f>
        <v>0.78352616646845896</v>
      </c>
      <c r="O9" s="1"/>
      <c r="P9" s="1">
        <f>$C$10/100*$O$4*N9</f>
        <v>1958.8154161711475</v>
      </c>
      <c r="Q9" s="1">
        <f>($C$14/($C$3/100)-$C$14)*N9*$C$12*1000/100</f>
        <v>8247.6438575627471</v>
      </c>
      <c r="R9" s="1"/>
      <c r="S9" s="1"/>
      <c r="T9" s="6">
        <f>$C$14*N9</f>
        <v>783.526166468459</v>
      </c>
    </row>
    <row r="10" spans="2:20" x14ac:dyDescent="0.35">
      <c r="B10" s="5" t="s">
        <v>11</v>
      </c>
      <c r="C10" s="1">
        <v>1</v>
      </c>
      <c r="D10" s="6" t="s">
        <v>12</v>
      </c>
      <c r="G10" s="5" t="s">
        <v>20</v>
      </c>
      <c r="H10" s="1">
        <f>IF(ISBLANK(C6),IF(ISBLANK(C7),C8*C5+C9*C4,C7*C4),C6*C5)*1000</f>
        <v>250000</v>
      </c>
      <c r="I10" s="6" t="s">
        <v>21</v>
      </c>
      <c r="M10" s="5">
        <v>6</v>
      </c>
      <c r="N10" s="1">
        <f>(1+$C$13/100)^(-M10)</f>
        <v>0.74621539663662761</v>
      </c>
      <c r="O10" s="1"/>
      <c r="P10" s="1">
        <f>$C$10/100*$O$4*N10</f>
        <v>1865.538491591569</v>
      </c>
      <c r="Q10" s="1">
        <f>($C$14/($C$3/100)-$C$14)*N10*$C$12*1000/100</f>
        <v>7854.8989119645221</v>
      </c>
      <c r="R10" s="1"/>
      <c r="S10" s="1"/>
      <c r="T10" s="6">
        <f>$C$14*N10</f>
        <v>746.21539663662759</v>
      </c>
    </row>
    <row r="11" spans="2:20" x14ac:dyDescent="0.35">
      <c r="B11" s="5" t="s">
        <v>27</v>
      </c>
      <c r="C11" s="1">
        <v>1</v>
      </c>
      <c r="D11" s="6" t="s">
        <v>29</v>
      </c>
      <c r="G11" s="5" t="s">
        <v>22</v>
      </c>
      <c r="H11" s="15">
        <f t="array" aca="1" ref="H11" ca="1">SUM(H4*(1+C13/100)^(-ROW(INDIRECT("1:"&amp;C2))))</f>
        <v>31155.525856349963</v>
      </c>
      <c r="I11" s="6" t="s">
        <v>21</v>
      </c>
      <c r="M11" s="5">
        <v>7</v>
      </c>
      <c r="N11" s="1">
        <f>(1+$C$13/100)^(-M11)</f>
        <v>0.71068133013012147</v>
      </c>
      <c r="O11" s="1"/>
      <c r="P11" s="1">
        <f>$C$10/100*$O$4*N11</f>
        <v>1776.7033253253037</v>
      </c>
      <c r="Q11" s="1">
        <f>($C$14/($C$3/100)-$C$14)*N11*$C$12*1000/100</f>
        <v>7480.8561066328766</v>
      </c>
      <c r="R11" s="1"/>
      <c r="S11" s="1"/>
      <c r="T11" s="6">
        <f>$C$14*N11</f>
        <v>710.68133013012152</v>
      </c>
    </row>
    <row r="12" spans="2:20" x14ac:dyDescent="0.35">
      <c r="B12" s="5" t="s">
        <v>16</v>
      </c>
      <c r="C12" s="1">
        <v>20</v>
      </c>
      <c r="D12" s="6" t="s">
        <v>13</v>
      </c>
      <c r="G12" s="5" t="s">
        <v>25</v>
      </c>
      <c r="H12" s="15">
        <f t="array" aca="1" ref="H12" ca="1">SUM(H5*(1+C13/100)^(-ROW(INDIRECT("1:"&amp;C2))))</f>
        <v>131181.16150042124</v>
      </c>
      <c r="I12" s="6" t="s">
        <v>21</v>
      </c>
      <c r="M12" s="5">
        <v>8</v>
      </c>
      <c r="N12" s="1">
        <f>(1+$C$13/100)^(-M12)</f>
        <v>0.67683936202868722</v>
      </c>
      <c r="O12" s="1"/>
      <c r="P12" s="1">
        <f>$C$10/100*$O$4*N12</f>
        <v>1692.0984050717179</v>
      </c>
      <c r="Q12" s="1">
        <f>($C$14/($C$3/100)-$C$14)*N12*$C$12*1000/100</f>
        <v>7124.6248634598824</v>
      </c>
      <c r="R12" s="1"/>
      <c r="S12" s="1"/>
      <c r="T12" s="6">
        <f>$C$14*N12</f>
        <v>676.83936202868722</v>
      </c>
    </row>
    <row r="13" spans="2:20" x14ac:dyDescent="0.35">
      <c r="B13" s="5" t="s">
        <v>17</v>
      </c>
      <c r="C13" s="1">
        <v>5</v>
      </c>
      <c r="D13" s="6" t="s">
        <v>3</v>
      </c>
      <c r="G13" s="5" t="s">
        <v>37</v>
      </c>
      <c r="H13" s="15">
        <f>C15*(1+C13/100)^(-E15)+C16*(1+C13/100)^(-E16)+C17*(1+C13/100)^(-E17)+C18*(1+C13/100)^(-E18)+C19*(1+C13/100)^(-E19)</f>
        <v>25494.508015727213</v>
      </c>
      <c r="I13" s="6" t="s">
        <v>21</v>
      </c>
      <c r="M13" s="5">
        <v>9</v>
      </c>
      <c r="N13" s="1">
        <f>(1+$C$13/100)^(-M13)</f>
        <v>0.64460891621779726</v>
      </c>
      <c r="O13" s="1"/>
      <c r="P13" s="1">
        <f>$C$10/100*$O$4*N13</f>
        <v>1611.5222905444932</v>
      </c>
      <c r="Q13" s="1">
        <f>($C$14/($C$3/100)-$C$14)*N13*$C$12*1000/100</f>
        <v>6785.3570128189349</v>
      </c>
      <c r="R13" s="1"/>
      <c r="S13" s="1"/>
      <c r="T13" s="6">
        <f>$C$14*N13</f>
        <v>644.60891621779729</v>
      </c>
    </row>
    <row r="14" spans="2:20" ht="15" thickBot="1" x14ac:dyDescent="0.4">
      <c r="B14" s="5" t="s">
        <v>18</v>
      </c>
      <c r="C14" s="1">
        <v>1000</v>
      </c>
      <c r="D14" s="6" t="s">
        <v>24</v>
      </c>
      <c r="G14" s="7" t="s">
        <v>26</v>
      </c>
      <c r="H14" s="16">
        <f>C11*C5*1000*(1+C13/100)^(-C2)</f>
        <v>376.88948287300059</v>
      </c>
      <c r="I14" s="9" t="s">
        <v>21</v>
      </c>
      <c r="M14" s="5">
        <v>10</v>
      </c>
      <c r="N14" s="1">
        <f>(1+$C$13/100)^(-M14)</f>
        <v>0.61391325354075932</v>
      </c>
      <c r="O14" s="1"/>
      <c r="P14" s="1">
        <f>$C$10/100*$O$4*N14</f>
        <v>1534.7831338518984</v>
      </c>
      <c r="Q14" s="1">
        <f>($C$14/($C$3/100)-$C$14)*N14*$C$12*1000/100</f>
        <v>6462.2447741132719</v>
      </c>
      <c r="R14" s="1">
        <f>C15*N14</f>
        <v>6139.1325354075934</v>
      </c>
      <c r="S14" s="1"/>
      <c r="T14" s="6">
        <f>$C$14*N14</f>
        <v>613.91325354075934</v>
      </c>
    </row>
    <row r="15" spans="2:20" x14ac:dyDescent="0.35">
      <c r="B15" s="11" t="s">
        <v>32</v>
      </c>
      <c r="C15" s="10">
        <v>10000</v>
      </c>
      <c r="D15" s="10" t="s">
        <v>31</v>
      </c>
      <c r="E15" s="4">
        <v>10</v>
      </c>
      <c r="M15" s="5">
        <v>11</v>
      </c>
      <c r="N15" s="1">
        <f>(1+$C$13/100)^(-M15)</f>
        <v>0.5846792890864374</v>
      </c>
      <c r="O15" s="1"/>
      <c r="P15" s="1">
        <f>$C$10/100*$O$4*N15</f>
        <v>1461.6982227160936</v>
      </c>
      <c r="Q15" s="1">
        <f>($C$14/($C$3/100)-$C$14)*N15*$C$12*1000/100</f>
        <v>6154.5188324888295</v>
      </c>
      <c r="R15" s="1"/>
      <c r="S15" s="1"/>
      <c r="T15" s="6">
        <f>$C$14*N15</f>
        <v>584.67928908643739</v>
      </c>
    </row>
    <row r="16" spans="2:20" ht="14.5" customHeight="1" x14ac:dyDescent="0.35">
      <c r="B16" s="11" t="s">
        <v>34</v>
      </c>
      <c r="C16" s="10">
        <v>10000</v>
      </c>
      <c r="D16" s="10" t="s">
        <v>31</v>
      </c>
      <c r="E16" s="6">
        <v>12</v>
      </c>
      <c r="M16" s="5">
        <v>12</v>
      </c>
      <c r="N16" s="1">
        <f>(1+$C$13/100)^(-M16)</f>
        <v>0.5568374181775595</v>
      </c>
      <c r="O16" s="1"/>
      <c r="P16" s="1">
        <f>$C$10/100*$O$4*N16</f>
        <v>1392.0935454438988</v>
      </c>
      <c r="Q16" s="1">
        <f>($C$14/($C$3/100)-$C$14)*N16*$C$12*1000/100</f>
        <v>5861.4465071322211</v>
      </c>
      <c r="R16" s="1">
        <f>C16*N16</f>
        <v>5568.3741817755954</v>
      </c>
      <c r="S16" s="1"/>
      <c r="T16" s="6">
        <f>$C$14*N16</f>
        <v>556.83741817755947</v>
      </c>
    </row>
    <row r="17" spans="2:20" ht="15" thickBot="1" x14ac:dyDescent="0.4">
      <c r="B17" s="11" t="s">
        <v>35</v>
      </c>
      <c r="C17" s="10">
        <v>10000</v>
      </c>
      <c r="D17" s="10" t="s">
        <v>31</v>
      </c>
      <c r="E17" s="6">
        <v>14</v>
      </c>
      <c r="M17" s="5">
        <v>13</v>
      </c>
      <c r="N17" s="1">
        <f>(1+$C$13/100)^(-M17)</f>
        <v>0.53032135064529462</v>
      </c>
      <c r="O17" s="1"/>
      <c r="P17" s="1">
        <f>$C$10/100*$O$4*N17</f>
        <v>1325.8033766132367</v>
      </c>
      <c r="Q17" s="1">
        <f>($C$14/($C$3/100)-$C$14)*N17*$C$12*1000/100</f>
        <v>5582.3300067925893</v>
      </c>
      <c r="R17" s="1"/>
      <c r="S17" s="1"/>
      <c r="T17" s="6">
        <f>$C$14*N17</f>
        <v>530.32135064529461</v>
      </c>
    </row>
    <row r="18" spans="2:20" ht="15" thickBot="1" x14ac:dyDescent="0.4">
      <c r="B18" s="11" t="s">
        <v>36</v>
      </c>
      <c r="C18" s="10">
        <v>10000</v>
      </c>
      <c r="D18" s="10" t="s">
        <v>31</v>
      </c>
      <c r="E18" s="6">
        <v>16</v>
      </c>
      <c r="G18" s="17" t="s">
        <v>28</v>
      </c>
      <c r="H18" s="18">
        <f t="array" aca="1" ref="H18" ca="1">(H3+H11+H12+H14+H13)/(SUM(C14*(1+C13/100)^(-ROW(INDIRECT("1:"&amp;C2)))))</f>
        <v>35.162950456673009</v>
      </c>
      <c r="I18" s="19" t="s">
        <v>9</v>
      </c>
      <c r="M18" s="5">
        <v>14</v>
      </c>
      <c r="N18" s="1">
        <f>(1+$C$13/100)^(-M18)</f>
        <v>0.50506795299551888</v>
      </c>
      <c r="O18" s="1"/>
      <c r="P18" s="1">
        <f>$C$10/100*$O$4*N18</f>
        <v>1262.6698824887972</v>
      </c>
      <c r="Q18" s="1">
        <f>($C$14/($C$3/100)-$C$14)*N18*$C$12*1000/100</f>
        <v>5316.5047683738967</v>
      </c>
      <c r="R18" s="1">
        <f>C17*N18</f>
        <v>5050.6795299551886</v>
      </c>
      <c r="S18" s="1"/>
      <c r="T18" s="6">
        <f>$C$14*N18</f>
        <v>505.06795299551885</v>
      </c>
    </row>
    <row r="19" spans="2:20" ht="15" thickBot="1" x14ac:dyDescent="0.4">
      <c r="B19" s="13" t="s">
        <v>33</v>
      </c>
      <c r="C19" s="14">
        <v>10000</v>
      </c>
      <c r="D19" s="14" t="s">
        <v>31</v>
      </c>
      <c r="E19" s="9">
        <v>18</v>
      </c>
      <c r="M19" s="5">
        <v>15</v>
      </c>
      <c r="N19" s="1">
        <f>(1+$C$13/100)^(-M19)</f>
        <v>0.48101709809097021</v>
      </c>
      <c r="O19" s="1"/>
      <c r="P19" s="1">
        <f>$C$10/100*$O$4*N19</f>
        <v>1202.5427452274255</v>
      </c>
      <c r="Q19" s="1">
        <f>($C$14/($C$3/100)-$C$14)*N19*$C$12*1000/100</f>
        <v>5063.3378746418048</v>
      </c>
      <c r="R19" s="1"/>
      <c r="S19" s="1"/>
      <c r="T19" s="6">
        <f>$C$14*N19</f>
        <v>481.01709809097019</v>
      </c>
    </row>
    <row r="20" spans="2:20" ht="15" thickBot="1" x14ac:dyDescent="0.4">
      <c r="M20" s="5">
        <v>16</v>
      </c>
      <c r="N20" s="1">
        <f>(1+$C$13/100)^(-M20)</f>
        <v>0.45811152199140021</v>
      </c>
      <c r="O20" s="1"/>
      <c r="P20" s="1">
        <f>$C$10/100*$O$4*N20</f>
        <v>1145.2788049785006</v>
      </c>
      <c r="Q20" s="1">
        <f>($C$14/($C$3/100)-$C$14)*N20*$C$12*1000/100</f>
        <v>4822.226547277909</v>
      </c>
      <c r="R20" s="1">
        <f>C18*N20</f>
        <v>4581.1152199140024</v>
      </c>
      <c r="S20" s="1"/>
      <c r="T20" s="6">
        <f>$C$14*N20</f>
        <v>458.1115219914002</v>
      </c>
    </row>
    <row r="21" spans="2:20" ht="14.5" customHeight="1" x14ac:dyDescent="0.35">
      <c r="B21" s="20" t="s">
        <v>19</v>
      </c>
      <c r="C21" s="21"/>
      <c r="D21" s="22"/>
      <c r="G21" s="29" t="s">
        <v>40</v>
      </c>
      <c r="H21" s="29"/>
      <c r="I21" s="29"/>
      <c r="M21" s="5">
        <v>17</v>
      </c>
      <c r="N21" s="1">
        <f>(1+$C$13/100)^(-M21)</f>
        <v>0.43629668761085727</v>
      </c>
      <c r="O21" s="1"/>
      <c r="P21" s="1">
        <f>$C$10/100*$O$4*N21</f>
        <v>1090.7417190271431</v>
      </c>
      <c r="Q21" s="1">
        <f>($C$14/($C$3/100)-$C$14)*N21*$C$12*1000/100</f>
        <v>4592.596711693247</v>
      </c>
      <c r="R21" s="1"/>
      <c r="S21" s="1"/>
      <c r="T21" s="6">
        <f>$C$14*N21</f>
        <v>436.29668761085725</v>
      </c>
    </row>
    <row r="22" spans="2:20" x14ac:dyDescent="0.35">
      <c r="B22" s="23"/>
      <c r="C22" s="24"/>
      <c r="D22" s="25"/>
      <c r="G22" s="29"/>
      <c r="H22" s="29"/>
      <c r="I22" s="29"/>
      <c r="M22" s="5">
        <v>18</v>
      </c>
      <c r="N22" s="1">
        <f>(1+$C$13/100)^(-M22)</f>
        <v>0.41552065486748313</v>
      </c>
      <c r="O22" s="1"/>
      <c r="P22" s="1">
        <f>$C$10/100*$O$4*N22</f>
        <v>1038.8016371687079</v>
      </c>
      <c r="Q22" s="1">
        <f>($C$14/($C$3/100)-$C$14)*N22*$C$12*1000/100</f>
        <v>4373.9016301840429</v>
      </c>
      <c r="R22" s="1">
        <f>C19*N22</f>
        <v>4155.2065486748315</v>
      </c>
      <c r="S22" s="1"/>
      <c r="T22" s="6">
        <f>$C$14*N22</f>
        <v>415.52065486748313</v>
      </c>
    </row>
    <row r="23" spans="2:20" x14ac:dyDescent="0.35">
      <c r="B23" s="23"/>
      <c r="C23" s="24"/>
      <c r="D23" s="25"/>
      <c r="G23" s="29"/>
      <c r="H23" s="29"/>
      <c r="I23" s="29"/>
      <c r="M23" s="5">
        <v>19</v>
      </c>
      <c r="N23" s="1">
        <f>(1+$C$13/100)^(-M23)</f>
        <v>0.39573395701665059</v>
      </c>
      <c r="O23" s="1"/>
      <c r="P23" s="1">
        <f>$C$10/100*$O$4*N23</f>
        <v>989.33489254162646</v>
      </c>
      <c r="Q23" s="1">
        <f>($C$14/($C$3/100)-$C$14)*N23*$C$12*1000/100</f>
        <v>4165.6206001752798</v>
      </c>
      <c r="R23" s="1"/>
      <c r="S23" s="1"/>
      <c r="T23" s="6">
        <f>$C$14*N23</f>
        <v>395.73395701665061</v>
      </c>
    </row>
    <row r="24" spans="2:20" ht="15" thickBot="1" x14ac:dyDescent="0.4">
      <c r="B24" s="26"/>
      <c r="C24" s="27"/>
      <c r="D24" s="28"/>
      <c r="M24" s="5">
        <v>20</v>
      </c>
      <c r="N24" s="1">
        <f>(1+$C$13/100)^(-M24)</f>
        <v>0.37688948287300061</v>
      </c>
      <c r="O24" s="1"/>
      <c r="P24" s="1">
        <f>$C$10/100*$O$4*N24</f>
        <v>942.22370718250158</v>
      </c>
      <c r="Q24" s="1">
        <f>($C$14/($C$3/100)-$C$14)*N24*$C$12*1000/100</f>
        <v>3967.2577144526481</v>
      </c>
      <c r="R24" s="1"/>
      <c r="S24" s="1">
        <f>$C$11*$C$5*1000*N24</f>
        <v>376.88948287300059</v>
      </c>
      <c r="T24" s="6">
        <f>$C$14*N24</f>
        <v>376.88948287300059</v>
      </c>
    </row>
    <row r="25" spans="2:20" x14ac:dyDescent="0.35">
      <c r="M25" s="5" t="s">
        <v>47</v>
      </c>
      <c r="N25" s="1"/>
      <c r="O25" s="1">
        <f>SUM(O4:O24)</f>
        <v>250000</v>
      </c>
      <c r="P25" s="1">
        <f t="shared" ref="P25:S25" si="0">SUM(P4:P24)</f>
        <v>31155.525856349963</v>
      </c>
      <c r="Q25" s="1">
        <f t="shared" si="0"/>
        <v>131181.16150042124</v>
      </c>
      <c r="R25" s="1">
        <f t="shared" si="0"/>
        <v>25494.508015727213</v>
      </c>
      <c r="S25" s="1">
        <f t="shared" si="0"/>
        <v>376.88948287300059</v>
      </c>
      <c r="T25" s="6">
        <f>SUM(T4:T24)</f>
        <v>12462.210342539986</v>
      </c>
    </row>
    <row r="26" spans="2:20" x14ac:dyDescent="0.35">
      <c r="M26" s="5"/>
      <c r="N26" s="1"/>
      <c r="O26" s="1"/>
      <c r="P26" s="1"/>
      <c r="Q26" s="1"/>
      <c r="R26" s="1"/>
      <c r="S26" s="1"/>
      <c r="T26" s="6"/>
    </row>
    <row r="27" spans="2:20" ht="15" thickBot="1" x14ac:dyDescent="0.4">
      <c r="M27" s="30" t="s">
        <v>48</v>
      </c>
      <c r="N27" s="31">
        <f>(O25+P25+Q25+R25+S25)/T25</f>
        <v>35.162950456673009</v>
      </c>
      <c r="O27" s="8"/>
      <c r="P27" s="8"/>
      <c r="Q27" s="8"/>
      <c r="R27" s="8"/>
      <c r="S27" s="8"/>
      <c r="T27" s="9"/>
    </row>
  </sheetData>
  <mergeCells count="5">
    <mergeCell ref="B21:D24"/>
    <mergeCell ref="G2:I2"/>
    <mergeCell ref="G9:I9"/>
    <mergeCell ref="G21:I23"/>
    <mergeCell ref="M2:T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Grylka</dc:creator>
  <cp:lastModifiedBy>Adrian Grylka</cp:lastModifiedBy>
  <dcterms:created xsi:type="dcterms:W3CDTF">2018-12-10T10:43:13Z</dcterms:created>
  <dcterms:modified xsi:type="dcterms:W3CDTF">2018-12-19T13:31:48Z</dcterms:modified>
</cp:coreProperties>
</file>