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F20FB1D6-273B-415A-A538-2D483B92BF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Y" sheetId="1" r:id="rId1"/>
    <sheet name="AUGUST" sheetId="2" r:id="rId2"/>
    <sheet name="SEPTEMBRE" sheetId="3" r:id="rId3"/>
    <sheet name="Monthly Expenses" sheetId="11" r:id="rId4"/>
    <sheet name="Costs Evolution" sheetId="1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5" i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4" i="3"/>
  <c r="E35" i="2"/>
  <c r="C35" i="2"/>
  <c r="D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B34" i="2"/>
  <c r="S34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M33" i="3"/>
  <c r="R33" i="3"/>
  <c r="Q33" i="3"/>
  <c r="P33" i="3"/>
  <c r="O33" i="3"/>
  <c r="N33" i="3"/>
  <c r="L33" i="3"/>
  <c r="K33" i="3"/>
  <c r="J33" i="3"/>
  <c r="I33" i="3"/>
  <c r="H33" i="3"/>
  <c r="G33" i="3"/>
  <c r="F33" i="3"/>
  <c r="E33" i="3"/>
  <c r="D33" i="3"/>
  <c r="C33" i="3"/>
  <c r="B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34" i="1"/>
  <c r="L34" i="1"/>
  <c r="M15" i="1"/>
  <c r="S33" i="3" l="1"/>
  <c r="P8" i="1"/>
  <c r="Q34" i="1" l="1"/>
  <c r="P34" i="1"/>
  <c r="O34" i="1"/>
  <c r="N34" i="1"/>
  <c r="G34" i="1"/>
  <c r="F34" i="1"/>
  <c r="E34" i="1"/>
  <c r="D34" i="1"/>
  <c r="C34" i="1"/>
  <c r="B34" i="1"/>
  <c r="M34" i="1"/>
  <c r="K34" i="1"/>
  <c r="J34" i="1"/>
  <c r="I34" i="1"/>
  <c r="H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A787EF-E79B-4C25-9F5D-5ED438734BCB}" keepAlive="1" name="Query - All_months" description="Connection to the 'All_months' query in the workbook." type="5" refreshedVersion="0" background="1">
    <dbPr connection="Provider=Microsoft.Mashup.OleDb.1;Data Source=$Workbook$;Location=All_months;Extended Properties=&quot;&quot;" command="SELECT * FROM [All_months]"/>
  </connection>
  <connection id="2" xr16:uid="{1CF83EBD-F4C4-43D5-99DA-B4BF9528D98B}" keepAlive="1" name="Query - All_months (2)" description="Connection to the 'All_months (2)' query in the workbook." type="5" refreshedVersion="8" background="1">
    <dbPr connection="Provider=Microsoft.Mashup.OleDb.1;Data Source=$Workbook$;Location=&quot;All_months (2)&quot;;Extended Properties=&quot;&quot;" command="SELECT * FROM [All_months (2)]"/>
  </connection>
  <connection id="3" xr16:uid="{04CD69B7-49E9-4175-B667-596BE12E8C89}" keepAlive="1" name="Query - All_months (3)" description="Connection to the 'All_months (3)' query in the workbook." type="5" refreshedVersion="0" background="1">
    <dbPr connection="Provider=Microsoft.Mashup.OleDb.1;Data Source=$Workbook$;Location=&quot;All_months (3)&quot;;Extended Properties=&quot;&quot;" command="SELECT * FROM [All_months (3)]"/>
  </connection>
  <connection id="4" xr16:uid="{54B10D00-268F-45EB-BDF1-284FA74E589C}" keepAlive="1" name="Query - All_months (4)" description="Connection to the 'All_months (4)' query in the workbook." type="5" refreshedVersion="8" background="1">
    <dbPr connection="Provider=Microsoft.Mashup.OleDb.1;Data Source=$Workbook$;Location=&quot;All_months (4)&quot;;Extended Properties=&quot;&quot;" command="SELECT * FROM [All_months (4)]"/>
  </connection>
  <connection id="5" xr16:uid="{C5DA8964-4B05-483B-8F3C-3BEEA013B0C4}" keepAlive="1" name="Query - August" description="Connection to the 'August' query in the workbook." type="5" refreshedVersion="0" background="1">
    <dbPr connection="Provider=Microsoft.Mashup.OleDb.1;Data Source=$Workbook$;Location=August;Extended Properties=&quot;&quot;" command="SELECT * FROM [August]"/>
  </connection>
  <connection id="6" xr16:uid="{BC07BAEC-F754-4631-915A-F845FF9C4703}" keepAlive="1" name="Query - July" description="Connection to the 'July' query in the workbook." type="5" refreshedVersion="0" background="1">
    <dbPr connection="Provider=Microsoft.Mashup.OleDb.1;Data Source=$Workbook$;Location=July;Extended Properties=&quot;&quot;" command="SELECT * FROM [July]"/>
  </connection>
  <connection id="7" xr16:uid="{2C373D35-758A-48EB-A75B-23B4D0E2F27A}" keepAlive="1" name="Query - Septembre" description="Connection to the 'Septembre' query in the workbook." type="5" refreshedVersion="0" background="1">
    <dbPr connection="Provider=Microsoft.Mashup.OleDb.1;Data Source=$Workbook$;Location=Septembre;Extended Properties=&quot;&quot;" command="SELECT * FROM [Septembre]"/>
  </connection>
</connections>
</file>

<file path=xl/sharedStrings.xml><?xml version="1.0" encoding="utf-8"?>
<sst xmlns="http://schemas.openxmlformats.org/spreadsheetml/2006/main" count="121" uniqueCount="56">
  <si>
    <t>DATE</t>
  </si>
  <si>
    <t>CABLE &amp; INTERNET</t>
  </si>
  <si>
    <t>PHONE</t>
  </si>
  <si>
    <t>GAS</t>
  </si>
  <si>
    <t>ELECTRICITY</t>
  </si>
  <si>
    <t>WATER</t>
  </si>
  <si>
    <t>EGGS</t>
  </si>
  <si>
    <t>DAIRY</t>
  </si>
  <si>
    <t>BREAD</t>
  </si>
  <si>
    <t>OTHER FOODS</t>
  </si>
  <si>
    <t>MEAT</t>
  </si>
  <si>
    <t>CLOTHES</t>
  </si>
  <si>
    <t>FUEL</t>
  </si>
  <si>
    <t>OTHER COSTS</t>
  </si>
  <si>
    <t>TAXES</t>
  </si>
  <si>
    <t>FOOD</t>
  </si>
  <si>
    <t>EXTRA EXPENSES</t>
  </si>
  <si>
    <t>VEGETABLES</t>
  </si>
  <si>
    <t>FRUITS</t>
  </si>
  <si>
    <t>HYGIENE</t>
  </si>
  <si>
    <t>MEDICINE</t>
  </si>
  <si>
    <t>TOTAL</t>
  </si>
  <si>
    <t>Grand Total</t>
  </si>
  <si>
    <t>AVERAGE</t>
  </si>
  <si>
    <t>aug</t>
  </si>
  <si>
    <t>Monthly Expenses</t>
  </si>
  <si>
    <t>Date</t>
  </si>
  <si>
    <t>(Multiple Items)</t>
  </si>
  <si>
    <t>Total Costs</t>
  </si>
  <si>
    <t>Items</t>
  </si>
  <si>
    <t>Sum of Value</t>
  </si>
  <si>
    <t>02.iul</t>
  </si>
  <si>
    <t>03.iul</t>
  </si>
  <si>
    <t>04.iul</t>
  </si>
  <si>
    <t>05.iul</t>
  </si>
  <si>
    <t>06.iul</t>
  </si>
  <si>
    <t>09.iul</t>
  </si>
  <si>
    <t>10.iul</t>
  </si>
  <si>
    <t>11.iul</t>
  </si>
  <si>
    <t>12.iul</t>
  </si>
  <si>
    <t>13.iul</t>
  </si>
  <si>
    <t>14.iul</t>
  </si>
  <si>
    <t>16.iul</t>
  </si>
  <si>
    <t>17.iul</t>
  </si>
  <si>
    <t>19.iul</t>
  </si>
  <si>
    <t>20.iul</t>
  </si>
  <si>
    <t>22.iul</t>
  </si>
  <si>
    <t>23.iul</t>
  </si>
  <si>
    <t>24.iul</t>
  </si>
  <si>
    <t>25.iul</t>
  </si>
  <si>
    <t>26.iul</t>
  </si>
  <si>
    <t>27.iul</t>
  </si>
  <si>
    <t>28.iul</t>
  </si>
  <si>
    <t>29.iul</t>
  </si>
  <si>
    <t>30.iul</t>
  </si>
  <si>
    <t>31.iul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</si>
</sst>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lei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theme="1" tint="4.9989318521683403E-2"/>
      </bottom>
      <diagonal/>
    </border>
    <border>
      <left/>
      <right style="thick">
        <color auto="1"/>
      </right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8"/>
      </left>
      <right/>
      <top style="double">
        <color theme="8"/>
      </top>
      <bottom style="thin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4" fontId="0" fillId="0" borderId="9" xfId="0" applyNumberFormat="1" applyBorder="1" applyAlignment="1">
      <alignment wrapText="1"/>
    </xf>
    <xf numFmtId="4" fontId="0" fillId="0" borderId="0" xfId="0" applyNumberFormat="1" applyAlignment="1">
      <alignment wrapText="1"/>
    </xf>
    <xf numFmtId="4" fontId="0" fillId="0" borderId="4" xfId="0" applyNumberFormat="1" applyBorder="1" applyAlignment="1">
      <alignment wrapText="1"/>
    </xf>
    <xf numFmtId="4" fontId="0" fillId="0" borderId="13" xfId="0" applyNumberFormat="1" applyBorder="1" applyAlignment="1">
      <alignment wrapText="1"/>
    </xf>
    <xf numFmtId="4" fontId="0" fillId="0" borderId="10" xfId="0" applyNumberFormat="1" applyBorder="1" applyAlignment="1">
      <alignment wrapText="1"/>
    </xf>
    <xf numFmtId="4" fontId="0" fillId="0" borderId="11" xfId="0" applyNumberFormat="1" applyBorder="1" applyAlignment="1">
      <alignment wrapText="1"/>
    </xf>
    <xf numFmtId="4" fontId="0" fillId="0" borderId="12" xfId="0" applyNumberFormat="1" applyBorder="1" applyAlignment="1">
      <alignment wrapText="1"/>
    </xf>
    <xf numFmtId="4" fontId="2" fillId="0" borderId="0" xfId="0" applyNumberFormat="1" applyFont="1" applyAlignment="1">
      <alignment wrapText="1"/>
    </xf>
    <xf numFmtId="4" fontId="0" fillId="3" borderId="0" xfId="0" applyNumberFormat="1" applyFill="1" applyAlignment="1">
      <alignment wrapText="1"/>
    </xf>
    <xf numFmtId="4" fontId="0" fillId="0" borderId="9" xfId="0" applyNumberFormat="1" applyBorder="1"/>
    <xf numFmtId="4" fontId="0" fillId="0" borderId="0" xfId="0" applyNumberFormat="1"/>
    <xf numFmtId="4" fontId="0" fillId="0" borderId="4" xfId="0" applyNumberFormat="1" applyBorder="1"/>
    <xf numFmtId="4" fontId="2" fillId="0" borderId="0" xfId="0" applyNumberFormat="1" applyFont="1"/>
    <xf numFmtId="4" fontId="0" fillId="0" borderId="8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3" borderId="0" xfId="0" applyNumberFormat="1" applyFill="1"/>
    <xf numFmtId="4" fontId="0" fillId="0" borderId="8" xfId="0" applyNumberFormat="1" applyBorder="1" applyAlignment="1">
      <alignment wrapText="1"/>
    </xf>
    <xf numFmtId="4" fontId="0" fillId="0" borderId="5" xfId="0" applyNumberFormat="1" applyBorder="1" applyAlignment="1">
      <alignment wrapText="1"/>
    </xf>
    <xf numFmtId="4" fontId="0" fillId="0" borderId="6" xfId="0" applyNumberFormat="1" applyBorder="1" applyAlignment="1">
      <alignment wrapText="1"/>
    </xf>
    <xf numFmtId="4" fontId="0" fillId="0" borderId="7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2" fillId="0" borderId="15" xfId="0" applyNumberFormat="1" applyFont="1" applyBorder="1"/>
    <xf numFmtId="4" fontId="2" fillId="0" borderId="16" xfId="0" applyNumberFormat="1" applyFont="1" applyBorder="1"/>
    <xf numFmtId="4" fontId="2" fillId="0" borderId="16" xfId="0" applyNumberFormat="1" applyFont="1" applyBorder="1" applyAlignment="1">
      <alignment wrapText="1"/>
    </xf>
    <xf numFmtId="4" fontId="2" fillId="3" borderId="17" xfId="0" applyNumberFormat="1" applyFont="1" applyFill="1" applyBorder="1" applyAlignment="1">
      <alignment wrapText="1"/>
    </xf>
    <xf numFmtId="14" fontId="2" fillId="0" borderId="15" xfId="0" applyNumberFormat="1" applyFont="1" applyBorder="1" applyAlignment="1">
      <alignment wrapText="1"/>
    </xf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12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#,##0.00\ &quot;lei&quot;"/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/>
      </font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</border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</border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 style="thick">
          <color theme="1" tint="4.9989318521683403E-2"/>
        </left>
        <right/>
        <top/>
        <bottom/>
      </border>
    </dxf>
    <dxf>
      <numFmt numFmtId="19" formatCode="dd/mm/yyyy"/>
      <alignment horizontal="general" vertical="bottom" textRotation="0" wrapText="1" indent="0" justifyLastLine="0" shrinkToFit="0" readingOrder="0"/>
    </dxf>
    <dxf>
      <numFmt numFmtId="19" formatCode="dd/mm/yyyy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\ &quot;lei&quot;"/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/>
      </font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</border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</border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</dxf>
    <dxf>
      <numFmt numFmtId="164" formatCode="#,##0.00\ &quot;lei&quot;"/>
      <alignment horizontal="general" vertical="bottom" textRotation="0" wrapText="1" indent="0" justifyLastLine="0" shrinkToFit="0" readingOrder="0"/>
    </dxf>
    <dxf>
      <numFmt numFmtId="4" formatCode="#,##0.00"/>
      <alignment vertical="bottom" textRotation="0" wrapText="1" indent="0" justifyLastLine="0" shrinkToFit="0" readingOrder="0"/>
      <border diagonalUp="0" diagonalDown="0">
        <left style="thick">
          <color theme="1" tint="4.9989318521683403E-2"/>
        </left>
        <right/>
        <top/>
        <bottom/>
      </border>
    </dxf>
    <dxf>
      <numFmt numFmtId="19" formatCode="dd/mm/yyyy"/>
      <alignment horizontal="general" vertical="bottom" textRotation="0" wrapText="1" indent="0" justifyLastLine="0" shrinkToFit="0" readingOrder="0"/>
    </dxf>
    <dxf>
      <numFmt numFmtId="19" formatCode="dd/mm/yyyy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\ &quot;lei&quot;"/>
      <fill>
        <patternFill patternType="solid">
          <fgColor indexed="64"/>
          <bgColor rgb="FFFFC000"/>
        </patternFill>
      </fill>
    </dxf>
    <dxf>
      <font>
        <b/>
      </font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</dxf>
    <dxf>
      <numFmt numFmtId="164" formatCode="#,##0.00\ &quot;lei&quot;"/>
    </dxf>
    <dxf>
      <numFmt numFmtId="4" formatCode="#,##0.00"/>
      <border diagonalUp="0" diagonalDown="0">
        <left style="thick">
          <color theme="1" tint="4.9989318521683403E-2"/>
        </left>
        <right/>
        <top/>
        <bottom/>
        <vertical/>
        <horizontal/>
      </border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overview.xlsx]Monthly Expenses!Monthly Expenses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MONTHLY OVERVIEW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4737655349938471"/>
          <c:y val="5.94040006412425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 w="12700"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'Monthly Expenses'!$B$3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58-4C7D-8D37-BD3167B46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58-4C7D-8D37-BD3167B46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58-4C7D-8D37-BD3167B46D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58-4C7D-8D37-BD3167B46D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58-4C7D-8D37-BD3167B46D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58-4C7D-8D37-BD3167B46D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58-4C7D-8D37-BD3167B46D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D58-4C7D-8D37-BD3167B46D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D58-4C7D-8D37-BD3167B46D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D58-4C7D-8D37-BD3167B46D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D58-4C7D-8D37-BD3167B46D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D58-4C7D-8D37-BD3167B46D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D58-4C7D-8D37-BD3167B46DF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D58-4C7D-8D37-BD3167B46DF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1C2-4692-A0DB-7767909CD63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1C2-4692-A0DB-7767909CD63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'Monthly Expenses'!$A$4:$A$20</c:f>
              <c:multiLvlStrCache>
                <c:ptCount val="15"/>
                <c:lvl>
                  <c:pt idx="0">
                    <c:v>BREAD</c:v>
                  </c:pt>
                  <c:pt idx="1">
                    <c:v>CABLE &amp; INTERNET</c:v>
                  </c:pt>
                  <c:pt idx="2">
                    <c:v>CLOTHES</c:v>
                  </c:pt>
                  <c:pt idx="3">
                    <c:v>DAIRY</c:v>
                  </c:pt>
                  <c:pt idx="4">
                    <c:v>EGGS</c:v>
                  </c:pt>
                  <c:pt idx="5">
                    <c:v>FRUITS</c:v>
                  </c:pt>
                  <c:pt idx="6">
                    <c:v>FUEL</c:v>
                  </c:pt>
                  <c:pt idx="7">
                    <c:v>GAS</c:v>
                  </c:pt>
                  <c:pt idx="8">
                    <c:v>HYGIENE</c:v>
                  </c:pt>
                  <c:pt idx="9">
                    <c:v>MEAT</c:v>
                  </c:pt>
                  <c:pt idx="10">
                    <c:v>MEDICINE</c:v>
                  </c:pt>
                  <c:pt idx="11">
                    <c:v>OTHER FOODS</c:v>
                  </c:pt>
                  <c:pt idx="12">
                    <c:v>PHONE</c:v>
                  </c:pt>
                  <c:pt idx="13">
                    <c:v>VEGETABLES</c:v>
                  </c:pt>
                  <c:pt idx="14">
                    <c:v>WATER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'Monthly Expenses'!$B$4:$B$20</c:f>
              <c:numCache>
                <c:formatCode>General</c:formatCode>
                <c:ptCount val="15"/>
                <c:pt idx="0">
                  <c:v>135.33000000000001</c:v>
                </c:pt>
                <c:pt idx="1">
                  <c:v>86.06</c:v>
                </c:pt>
                <c:pt idx="2">
                  <c:v>55.94</c:v>
                </c:pt>
                <c:pt idx="3">
                  <c:v>48.690000000000005</c:v>
                </c:pt>
                <c:pt idx="4">
                  <c:v>8.4</c:v>
                </c:pt>
                <c:pt idx="5">
                  <c:v>75.650000000000006</c:v>
                </c:pt>
                <c:pt idx="6">
                  <c:v>199.27</c:v>
                </c:pt>
                <c:pt idx="7">
                  <c:v>35.69</c:v>
                </c:pt>
                <c:pt idx="8">
                  <c:v>174.5</c:v>
                </c:pt>
                <c:pt idx="9">
                  <c:v>124.21</c:v>
                </c:pt>
                <c:pt idx="10">
                  <c:v>620.75</c:v>
                </c:pt>
                <c:pt idx="11">
                  <c:v>830.3399999999998</c:v>
                </c:pt>
                <c:pt idx="12">
                  <c:v>101</c:v>
                </c:pt>
                <c:pt idx="13">
                  <c:v>157.72999999999999</c:v>
                </c:pt>
                <c:pt idx="14">
                  <c:v>134.16999999999999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84B-872A-20DE9DBF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60276330147059"/>
          <c:y val="1.7063047140114185E-2"/>
          <c:w val="0.10339977648418179"/>
          <c:h val="0.58881997868245906"/>
        </c:manualLayout>
      </c:layout>
      <c:overlay val="0"/>
      <c:spPr>
        <a:solidFill>
          <a:schemeClr val="bg1">
            <a:lumMod val="85000"/>
            <a:alpha val="0"/>
          </a:schemeClr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overview.xlsx]Monthly Expenses!Monthly Expenses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Costs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'Monthly Expenses'!$B$3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'Monthly Expenses'!$A$4:$A$20</c:f>
              <c:multiLvlStrCache>
                <c:ptCount val="15"/>
                <c:lvl>
                  <c:pt idx="0">
                    <c:v>BREAD</c:v>
                  </c:pt>
                  <c:pt idx="1">
                    <c:v>CABLE &amp; INTERNET</c:v>
                  </c:pt>
                  <c:pt idx="2">
                    <c:v>CLOTHES</c:v>
                  </c:pt>
                  <c:pt idx="3">
                    <c:v>DAIRY</c:v>
                  </c:pt>
                  <c:pt idx="4">
                    <c:v>EGGS</c:v>
                  </c:pt>
                  <c:pt idx="5">
                    <c:v>FRUITS</c:v>
                  </c:pt>
                  <c:pt idx="6">
                    <c:v>FUEL</c:v>
                  </c:pt>
                  <c:pt idx="7">
                    <c:v>GAS</c:v>
                  </c:pt>
                  <c:pt idx="8">
                    <c:v>HYGIENE</c:v>
                  </c:pt>
                  <c:pt idx="9">
                    <c:v>MEAT</c:v>
                  </c:pt>
                  <c:pt idx="10">
                    <c:v>MEDICINE</c:v>
                  </c:pt>
                  <c:pt idx="11">
                    <c:v>OTHER FOODS</c:v>
                  </c:pt>
                  <c:pt idx="12">
                    <c:v>PHONE</c:v>
                  </c:pt>
                  <c:pt idx="13">
                    <c:v>VEGETABLES</c:v>
                  </c:pt>
                  <c:pt idx="14">
                    <c:v>WATER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'Monthly Expenses'!$B$4:$B$20</c:f>
              <c:numCache>
                <c:formatCode>General</c:formatCode>
                <c:ptCount val="15"/>
                <c:pt idx="0">
                  <c:v>135.33000000000001</c:v>
                </c:pt>
                <c:pt idx="1">
                  <c:v>86.06</c:v>
                </c:pt>
                <c:pt idx="2">
                  <c:v>55.94</c:v>
                </c:pt>
                <c:pt idx="3">
                  <c:v>48.690000000000005</c:v>
                </c:pt>
                <c:pt idx="4">
                  <c:v>8.4</c:v>
                </c:pt>
                <c:pt idx="5">
                  <c:v>75.650000000000006</c:v>
                </c:pt>
                <c:pt idx="6">
                  <c:v>199.27</c:v>
                </c:pt>
                <c:pt idx="7">
                  <c:v>35.69</c:v>
                </c:pt>
                <c:pt idx="8">
                  <c:v>174.5</c:v>
                </c:pt>
                <c:pt idx="9">
                  <c:v>124.21</c:v>
                </c:pt>
                <c:pt idx="10">
                  <c:v>620.75</c:v>
                </c:pt>
                <c:pt idx="11">
                  <c:v>830.3399999999998</c:v>
                </c:pt>
                <c:pt idx="12">
                  <c:v>101</c:v>
                </c:pt>
                <c:pt idx="13">
                  <c:v>157.72999999999999</c:v>
                </c:pt>
                <c:pt idx="14">
                  <c:v>134.16999999999999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2E6-8048-2C00A02497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74362400"/>
        <c:axId val="574345344"/>
        <c:axId val="0"/>
      </c:bar3DChart>
      <c:catAx>
        <c:axId val="5743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5344"/>
        <c:crosses val="autoZero"/>
        <c:auto val="1"/>
        <c:lblAlgn val="ctr"/>
        <c:lblOffset val="100"/>
        <c:noMultiLvlLbl val="0"/>
      </c:catAx>
      <c:valAx>
        <c:axId val="574345344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overview.xlsx]Costs Evolution!Cost Evolution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Evolution of average costs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4775093934514226"/>
          <c:y val="2.6000822744839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121668970122695E-2"/>
          <c:y val="0.10385356557996911"/>
          <c:w val="0.97900572412345399"/>
          <c:h val="0.71728587165781132"/>
        </c:manualLayout>
      </c:layout>
      <c:lineChart>
        <c:grouping val="standard"/>
        <c:varyColors val="0"/>
        <c:ser>
          <c:idx val="0"/>
          <c:order val="0"/>
          <c:tx>
            <c:strRef>
              <c:f>'Costs Evolution'!$B$3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5B9BD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'Costs Evolution'!$A$4:$A$29</c:f>
              <c:strCache>
                <c:ptCount val="25"/>
                <c:pt idx="0">
                  <c:v>02.iul</c:v>
                </c:pt>
                <c:pt idx="1">
                  <c:v>03.iul</c:v>
                </c:pt>
                <c:pt idx="2">
                  <c:v>04.iul</c:v>
                </c:pt>
                <c:pt idx="3">
                  <c:v>05.iul</c:v>
                </c:pt>
                <c:pt idx="4">
                  <c:v>06.iul</c:v>
                </c:pt>
                <c:pt idx="5">
                  <c:v>09.iul</c:v>
                </c:pt>
                <c:pt idx="6">
                  <c:v>10.iul</c:v>
                </c:pt>
                <c:pt idx="7">
                  <c:v>11.iul</c:v>
                </c:pt>
                <c:pt idx="8">
                  <c:v>12.iul</c:v>
                </c:pt>
                <c:pt idx="9">
                  <c:v>13.iul</c:v>
                </c:pt>
                <c:pt idx="10">
                  <c:v>14.iul</c:v>
                </c:pt>
                <c:pt idx="11">
                  <c:v>16.iul</c:v>
                </c:pt>
                <c:pt idx="12">
                  <c:v>17.iul</c:v>
                </c:pt>
                <c:pt idx="13">
                  <c:v>19.iul</c:v>
                </c:pt>
                <c:pt idx="14">
                  <c:v>20.iul</c:v>
                </c:pt>
                <c:pt idx="15">
                  <c:v>22.iul</c:v>
                </c:pt>
                <c:pt idx="16">
                  <c:v>23.iul</c:v>
                </c:pt>
                <c:pt idx="17">
                  <c:v>24.iul</c:v>
                </c:pt>
                <c:pt idx="18">
                  <c:v>25.iul</c:v>
                </c:pt>
                <c:pt idx="19">
                  <c:v>26.iul</c:v>
                </c:pt>
                <c:pt idx="20">
                  <c:v>27.iul</c:v>
                </c:pt>
                <c:pt idx="21">
                  <c:v>28.iul</c:v>
                </c:pt>
                <c:pt idx="22">
                  <c:v>29.iul</c:v>
                </c:pt>
                <c:pt idx="23">
                  <c:v>30.iul</c:v>
                </c:pt>
                <c:pt idx="24">
                  <c:v>31.iul</c:v>
                </c:pt>
              </c:strCache>
            </c:strRef>
          </c:cat>
          <c:val>
            <c:numRef>
              <c:f>'Costs Evolution'!$B$4:$B$29</c:f>
              <c:numCache>
                <c:formatCode>#,##0.00</c:formatCode>
                <c:ptCount val="25"/>
                <c:pt idx="0">
                  <c:v>106.32</c:v>
                </c:pt>
                <c:pt idx="1">
                  <c:v>67.09</c:v>
                </c:pt>
                <c:pt idx="2">
                  <c:v>10.5</c:v>
                </c:pt>
                <c:pt idx="3">
                  <c:v>35.47</c:v>
                </c:pt>
                <c:pt idx="4">
                  <c:v>148.88</c:v>
                </c:pt>
                <c:pt idx="5">
                  <c:v>129.23000000000002</c:v>
                </c:pt>
                <c:pt idx="6">
                  <c:v>14.38</c:v>
                </c:pt>
                <c:pt idx="7">
                  <c:v>37.82</c:v>
                </c:pt>
                <c:pt idx="8">
                  <c:v>99.55</c:v>
                </c:pt>
                <c:pt idx="9">
                  <c:v>401</c:v>
                </c:pt>
                <c:pt idx="10">
                  <c:v>35.200000000000003</c:v>
                </c:pt>
                <c:pt idx="11">
                  <c:v>10.39</c:v>
                </c:pt>
                <c:pt idx="12">
                  <c:v>169.78</c:v>
                </c:pt>
                <c:pt idx="13">
                  <c:v>61.05</c:v>
                </c:pt>
                <c:pt idx="14">
                  <c:v>10</c:v>
                </c:pt>
                <c:pt idx="15">
                  <c:v>104.01000000000002</c:v>
                </c:pt>
                <c:pt idx="16">
                  <c:v>3</c:v>
                </c:pt>
                <c:pt idx="17">
                  <c:v>30.43</c:v>
                </c:pt>
                <c:pt idx="18">
                  <c:v>190.2</c:v>
                </c:pt>
                <c:pt idx="19">
                  <c:v>37</c:v>
                </c:pt>
                <c:pt idx="20">
                  <c:v>305</c:v>
                </c:pt>
                <c:pt idx="21">
                  <c:v>86.5</c:v>
                </c:pt>
                <c:pt idx="22">
                  <c:v>297.5</c:v>
                </c:pt>
                <c:pt idx="23">
                  <c:v>46.8</c:v>
                </c:pt>
                <c:pt idx="24">
                  <c:v>53.22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453-B7AE-71F5C588D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sq" cmpd="sng" algn="ctr">
              <a:gradFill flip="none" rotWithShape="1"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2700000" scaled="1"/>
                <a:tileRect/>
              </a:gradFill>
              <a:prstDash val="solid"/>
              <a:miter lim="800000"/>
            </a:ln>
            <a:effectLst/>
          </c:spPr>
        </c:dropLines>
        <c:marker val="1"/>
        <c:smooth val="0"/>
        <c:axId val="2123137440"/>
        <c:axId val="2123157408"/>
      </c:lineChart>
      <c:catAx>
        <c:axId val="21231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57408"/>
        <c:crosses val="autoZero"/>
        <c:auto val="1"/>
        <c:lblAlgn val="ctr"/>
        <c:lblOffset val="100"/>
        <c:noMultiLvlLbl val="0"/>
      </c:catAx>
      <c:valAx>
        <c:axId val="21231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overview.xlsx]Costs Evolution!Cost Evolution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EVOLUTION OF TOTAL COSTS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50480451751348676"/>
          <c:y val="2.0606021744846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'Costs Evolution'!$B$3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'Costs Evolution'!$A$4:$A$29</c:f>
              <c:strCache>
                <c:ptCount val="25"/>
                <c:pt idx="0">
                  <c:v>02.iul</c:v>
                </c:pt>
                <c:pt idx="1">
                  <c:v>03.iul</c:v>
                </c:pt>
                <c:pt idx="2">
                  <c:v>04.iul</c:v>
                </c:pt>
                <c:pt idx="3">
                  <c:v>05.iul</c:v>
                </c:pt>
                <c:pt idx="4">
                  <c:v>06.iul</c:v>
                </c:pt>
                <c:pt idx="5">
                  <c:v>09.iul</c:v>
                </c:pt>
                <c:pt idx="6">
                  <c:v>10.iul</c:v>
                </c:pt>
                <c:pt idx="7">
                  <c:v>11.iul</c:v>
                </c:pt>
                <c:pt idx="8">
                  <c:v>12.iul</c:v>
                </c:pt>
                <c:pt idx="9">
                  <c:v>13.iul</c:v>
                </c:pt>
                <c:pt idx="10">
                  <c:v>14.iul</c:v>
                </c:pt>
                <c:pt idx="11">
                  <c:v>16.iul</c:v>
                </c:pt>
                <c:pt idx="12">
                  <c:v>17.iul</c:v>
                </c:pt>
                <c:pt idx="13">
                  <c:v>19.iul</c:v>
                </c:pt>
                <c:pt idx="14">
                  <c:v>20.iul</c:v>
                </c:pt>
                <c:pt idx="15">
                  <c:v>22.iul</c:v>
                </c:pt>
                <c:pt idx="16">
                  <c:v>23.iul</c:v>
                </c:pt>
                <c:pt idx="17">
                  <c:v>24.iul</c:v>
                </c:pt>
                <c:pt idx="18">
                  <c:v>25.iul</c:v>
                </c:pt>
                <c:pt idx="19">
                  <c:v>26.iul</c:v>
                </c:pt>
                <c:pt idx="20">
                  <c:v>27.iul</c:v>
                </c:pt>
                <c:pt idx="21">
                  <c:v>28.iul</c:v>
                </c:pt>
                <c:pt idx="22">
                  <c:v>29.iul</c:v>
                </c:pt>
                <c:pt idx="23">
                  <c:v>30.iul</c:v>
                </c:pt>
                <c:pt idx="24">
                  <c:v>31.iul</c:v>
                </c:pt>
              </c:strCache>
            </c:strRef>
          </c:cat>
          <c:val>
            <c:numRef>
              <c:f>'Costs Evolution'!$B$4:$B$29</c:f>
              <c:numCache>
                <c:formatCode>#,##0.00</c:formatCode>
                <c:ptCount val="25"/>
                <c:pt idx="0">
                  <c:v>106.32</c:v>
                </c:pt>
                <c:pt idx="1">
                  <c:v>67.09</c:v>
                </c:pt>
                <c:pt idx="2">
                  <c:v>10.5</c:v>
                </c:pt>
                <c:pt idx="3">
                  <c:v>35.47</c:v>
                </c:pt>
                <c:pt idx="4">
                  <c:v>148.88</c:v>
                </c:pt>
                <c:pt idx="5">
                  <c:v>129.23000000000002</c:v>
                </c:pt>
                <c:pt idx="6">
                  <c:v>14.38</c:v>
                </c:pt>
                <c:pt idx="7">
                  <c:v>37.82</c:v>
                </c:pt>
                <c:pt idx="8">
                  <c:v>99.55</c:v>
                </c:pt>
                <c:pt idx="9">
                  <c:v>401</c:v>
                </c:pt>
                <c:pt idx="10">
                  <c:v>35.200000000000003</c:v>
                </c:pt>
                <c:pt idx="11">
                  <c:v>10.39</c:v>
                </c:pt>
                <c:pt idx="12">
                  <c:v>169.78</c:v>
                </c:pt>
                <c:pt idx="13">
                  <c:v>61.05</c:v>
                </c:pt>
                <c:pt idx="14">
                  <c:v>10</c:v>
                </c:pt>
                <c:pt idx="15">
                  <c:v>104.01000000000002</c:v>
                </c:pt>
                <c:pt idx="16">
                  <c:v>3</c:v>
                </c:pt>
                <c:pt idx="17">
                  <c:v>30.43</c:v>
                </c:pt>
                <c:pt idx="18">
                  <c:v>190.2</c:v>
                </c:pt>
                <c:pt idx="19">
                  <c:v>37</c:v>
                </c:pt>
                <c:pt idx="20">
                  <c:v>305</c:v>
                </c:pt>
                <c:pt idx="21">
                  <c:v>86.5</c:v>
                </c:pt>
                <c:pt idx="22">
                  <c:v>297.5</c:v>
                </c:pt>
                <c:pt idx="23">
                  <c:v>46.8</c:v>
                </c:pt>
                <c:pt idx="24">
                  <c:v>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0-4989-B82F-44D1236410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931167"/>
        <c:axId val="87933663"/>
      </c:barChart>
      <c:catAx>
        <c:axId val="8793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3663"/>
        <c:crosses val="autoZero"/>
        <c:auto val="1"/>
        <c:lblAlgn val="ctr"/>
        <c:lblOffset val="100"/>
        <c:noMultiLvlLbl val="0"/>
      </c:catAx>
      <c:valAx>
        <c:axId val="87933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40000"/>
            <a:lumOff val="60000"/>
          </a:schemeClr>
        </a:gs>
        <a:gs pos="46000">
          <a:schemeClr val="accent3">
            <a:lumMod val="95000"/>
            <a:lumOff val="5000"/>
          </a:schemeClr>
        </a:gs>
        <a:gs pos="100000">
          <a:schemeClr val="accent3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33337</xdr:rowOff>
    </xdr:from>
    <xdr:to>
      <xdr:col>43</xdr:col>
      <xdr:colOff>304800</xdr:colOff>
      <xdr:row>33</xdr:row>
      <xdr:rowOff>180975</xdr:rowOff>
    </xdr:to>
    <xdr:graphicFrame macro="">
      <xdr:nvGraphicFramePr>
        <xdr:cNvPr id="11" name="MONTHLY OVERVIEW">
          <a:extLst>
            <a:ext uri="{FF2B5EF4-FFF2-40B4-BE49-F238E27FC236}">
              <a16:creationId xmlns:a16="http://schemas.microsoft.com/office/drawing/2014/main" id="{CE1E27B7-F730-6F29-C32A-AC731B61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4761</xdr:colOff>
      <xdr:row>35</xdr:row>
      <xdr:rowOff>4762</xdr:rowOff>
    </xdr:from>
    <xdr:to>
      <xdr:col>50</xdr:col>
      <xdr:colOff>333374</xdr:colOff>
      <xdr:row>71</xdr:row>
      <xdr:rowOff>38100</xdr:rowOff>
    </xdr:to>
    <xdr:graphicFrame macro="">
      <xdr:nvGraphicFramePr>
        <xdr:cNvPr id="4" name="Total Costs">
          <a:extLst>
            <a:ext uri="{FF2B5EF4-FFF2-40B4-BE49-F238E27FC236}">
              <a16:creationId xmlns:a16="http://schemas.microsoft.com/office/drawing/2014/main" id="{F1108EEE-CC2B-3DA5-F6AA-3E7118CF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0</xdr:row>
      <xdr:rowOff>47625</xdr:rowOff>
    </xdr:from>
    <xdr:to>
      <xdr:col>34</xdr:col>
      <xdr:colOff>581024</xdr:colOff>
      <xdr:row>22</xdr:row>
      <xdr:rowOff>171450</xdr:rowOff>
    </xdr:to>
    <xdr:graphicFrame macro="">
      <xdr:nvGraphicFramePr>
        <xdr:cNvPr id="3" name="Evolution of average costs">
          <a:extLst>
            <a:ext uri="{FF2B5EF4-FFF2-40B4-BE49-F238E27FC236}">
              <a16:creationId xmlns:a16="http://schemas.microsoft.com/office/drawing/2014/main" id="{7C33E5C4-9340-986E-E8D2-2600750D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23</xdr:row>
      <xdr:rowOff>157161</xdr:rowOff>
    </xdr:from>
    <xdr:to>
      <xdr:col>24</xdr:col>
      <xdr:colOff>66675</xdr:colOff>
      <xdr:row>58</xdr:row>
      <xdr:rowOff>133350</xdr:rowOff>
    </xdr:to>
    <xdr:graphicFrame macro="">
      <xdr:nvGraphicFramePr>
        <xdr:cNvPr id="4" name="EVOLUTION OF TOTAL COSTS">
          <a:extLst>
            <a:ext uri="{FF2B5EF4-FFF2-40B4-BE49-F238E27FC236}">
              <a16:creationId xmlns:a16="http://schemas.microsoft.com/office/drawing/2014/main" id="{F507486B-73A6-987D-5FAA-060DF03A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2.823961689814" backgroundQuery="1" createdVersion="8" refreshedVersion="8" minRefreshableVersion="3" recordCount="310" xr:uid="{B39A3CC2-A39F-4F06-8CFA-2C1F7006A8B9}">
  <cacheSource type="external" connectionId="2"/>
  <cacheFields count="4">
    <cacheField name="Date" numFmtId="0">
      <sharedItems containsSemiMixedTypes="0" containsNonDate="0" containsDate="1" containsString="0" minDate="2024-07-02T00:00:00" maxDate="2024-10-01T00:00:00" count="84">
        <d v="2024-07-02T00:00:00"/>
        <d v="2024-07-03T00:00:00"/>
        <d v="2024-07-04T00:00:00"/>
        <d v="2024-07-05T00:00:00"/>
        <d v="2024-07-06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</sharedItems>
      <fieldGroup par="3" base="0">
        <rangePr groupBy="days" startDate="2024-07-02T00:00:00" endDate="2024-10-01T00:00:00"/>
        <groupItems count="368">
          <s v="&lt;02.07.2024"/>
          <s v="01.ian"/>
          <s v="02.ian"/>
          <s v="03.ian"/>
          <s v="04.ian"/>
          <s v="05.ian"/>
          <s v="06.ian"/>
          <s v="07.ian"/>
          <s v="08.ian"/>
          <s v="09.ian"/>
          <s v="10.ian"/>
          <s v="11.ian"/>
          <s v="12.ian"/>
          <s v="13.ian"/>
          <s v="14.ian"/>
          <s v="15.ian"/>
          <s v="16.ian"/>
          <s v="17.ian"/>
          <s v="18.ian"/>
          <s v="19.ian"/>
          <s v="20.ian"/>
          <s v="21.ian"/>
          <s v="22.ian"/>
          <s v="23.ian"/>
          <s v="24.ian"/>
          <s v="25.ian"/>
          <s v="26.ian"/>
          <s v="27.ian"/>
          <s v="28.ian"/>
          <s v="29.ian"/>
          <s v="30.ian"/>
          <s v="31.i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iun"/>
          <s v="02.iun"/>
          <s v="03.iun"/>
          <s v="04.iun"/>
          <s v="05.iun"/>
          <s v="06.iun"/>
          <s v="07.iun"/>
          <s v="08.iun"/>
          <s v="09.iun"/>
          <s v="10.iun"/>
          <s v="11.iun"/>
          <s v="12.iun"/>
          <s v="13.iun"/>
          <s v="14.iun"/>
          <s v="15.iun"/>
          <s v="16.iun"/>
          <s v="17.iun"/>
          <s v="18.iun"/>
          <s v="19.iun"/>
          <s v="20.iun"/>
          <s v="21.iun"/>
          <s v="22.iun"/>
          <s v="23.iun"/>
          <s v="24.iun"/>
          <s v="25.iun"/>
          <s v="26.iun"/>
          <s v="27.iun"/>
          <s v="28.iun"/>
          <s v="29.iun"/>
          <s v="30.iun"/>
          <s v="01.iul"/>
          <s v="02.iul"/>
          <s v="03.iul"/>
          <s v="04.iul"/>
          <s v="05.iul"/>
          <s v="06.iul"/>
          <s v="07.iul"/>
          <s v="08.iul"/>
          <s v="09.iul"/>
          <s v="10.iul"/>
          <s v="11.iul"/>
          <s v="12.iul"/>
          <s v="13.iul"/>
          <s v="14.iul"/>
          <s v="15.iul"/>
          <s v="16.iul"/>
          <s v="17.iul"/>
          <s v="18.iul"/>
          <s v="19.iul"/>
          <s v="20.iul"/>
          <s v="21.iul"/>
          <s v="22.iul"/>
          <s v="23.iul"/>
          <s v="24.iul"/>
          <s v="25.iul"/>
          <s v="26.iul"/>
          <s v="27.iul"/>
          <s v="28.iul"/>
          <s v="29.iul"/>
          <s v="30.iul"/>
          <s v="31.i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t"/>
          <s v="02.sept"/>
          <s v="03.sept"/>
          <s v="04.sept"/>
          <s v="05.sept"/>
          <s v="06.sept"/>
          <s v="07.sept"/>
          <s v="08.sept"/>
          <s v="09.sept"/>
          <s v="10.sept"/>
          <s v="11.sept"/>
          <s v="12.sept"/>
          <s v="13.sept"/>
          <s v="14.sept"/>
          <s v="15.sept"/>
          <s v="16.sept"/>
          <s v="17.sept"/>
          <s v="18.sept"/>
          <s v="19.sept"/>
          <s v="20.sept"/>
          <s v="21.sept"/>
          <s v="22.sept"/>
          <s v="23.sept"/>
          <s v="24.sept"/>
          <s v="25.sept"/>
          <s v="26.sept"/>
          <s v="27.sept"/>
          <s v="28.sept"/>
          <s v="29.sept"/>
          <s v="30.sept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01.10.2024"/>
        </groupItems>
      </fieldGroup>
    </cacheField>
    <cacheField name="Expenses" numFmtId="0">
      <sharedItems count="17">
        <s v="DAIRY"/>
        <s v="MEAT"/>
        <s v="BREAD"/>
        <s v="VEGETABLES"/>
        <s v="FRUITS"/>
        <s v="OTHER FOODS"/>
        <s v="WATER"/>
        <s v="EGGS"/>
        <s v="OTHER COSTS"/>
        <s v="HYGIENE"/>
        <s v="ELECTRICITY"/>
        <s v="CABLE &amp; INTERNET"/>
        <s v="FUEL"/>
        <s v="PHONE"/>
        <s v="GAS"/>
        <s v="MEDICINE"/>
        <s v="CLOTHES"/>
      </sharedItems>
    </cacheField>
    <cacheField name="Value" numFmtId="0">
      <sharedItems containsSemiMixedTypes="0" containsString="0" containsNumber="1" minValue="1.04" maxValue="2000" count="261">
        <n v="4.78"/>
        <n v="8.39"/>
        <n v="5.79"/>
        <n v="17.97"/>
        <n v="2.78"/>
        <n v="66.61"/>
        <n v="67.09"/>
        <n v="10.5"/>
        <n v="11.49"/>
        <n v="14.99"/>
        <n v="8.99"/>
        <n v="92"/>
        <n v="52.35"/>
        <n v="17.760000000000002"/>
        <n v="6.5"/>
        <n v="22.14"/>
        <n v="33.65"/>
        <n v="16.48"/>
        <n v="63.09"/>
        <n v="49.7"/>
        <n v="73.03"/>
        <n v="14.38"/>
        <n v="1999.47"/>
        <n v="8.4"/>
        <n v="5.99"/>
        <n v="4.5"/>
        <n v="18.93"/>
        <n v="2.4"/>
        <n v="86.06"/>
        <n v="8.5"/>
        <n v="4.99"/>
        <n v="5.5"/>
        <n v="21.78"/>
        <n v="31.67"/>
        <n v="11.75"/>
        <n v="110.17"/>
        <n v="12.99"/>
        <n v="201.15"/>
        <n v="13.6"/>
        <n v="21.6"/>
        <n v="35.090000000000003"/>
        <n v="169.8"/>
        <n v="6.36"/>
        <n v="1.1499999999999999"/>
        <n v="2.88"/>
        <n v="25.15"/>
        <n v="131"/>
        <n v="28.06"/>
        <n v="10.72"/>
        <n v="129.9"/>
        <n v="18.97"/>
        <n v="19.28"/>
        <n v="17.809999999999999"/>
        <n v="10"/>
        <n v="105.2"/>
        <n v="41.03"/>
        <n v="10.38"/>
        <n v="1.28"/>
        <n v="37.130000000000003"/>
        <n v="3"/>
        <n v="12.23"/>
        <n v="13.7"/>
        <n v="13.3"/>
        <n v="3.93"/>
        <n v="2.99"/>
        <n v="75.5"/>
        <n v="101.99"/>
        <n v="80"/>
        <n v="37"/>
        <n v="760"/>
        <n v="305"/>
        <n v="250"/>
        <n v="86.5"/>
        <n v="48.97"/>
        <n v="134.16999999999999"/>
        <n v="24.98"/>
        <n v="32.380000000000003"/>
        <n v="52"/>
        <n v="5"/>
        <n v="46.8"/>
        <n v="18.420000000000002"/>
        <n v="30.3"/>
        <n v="208"/>
        <n v="2"/>
        <n v="45"/>
        <n v="4.79"/>
        <n v="18.73"/>
        <n v="59.62"/>
        <n v="16.89"/>
        <n v="11"/>
        <n v="11.8"/>
        <n v="20.98"/>
        <n v="13.53"/>
        <n v="70.8"/>
        <n v="37.96"/>
        <n v="9.5500000000000007"/>
        <n v="38.97"/>
        <n v="22.5"/>
        <n v="21"/>
        <n v="24"/>
        <n v="26.47"/>
        <n v="2.38"/>
        <n v="219.85"/>
        <n v="9.49"/>
        <n v="105"/>
        <n v="3.59"/>
        <n v="4.49"/>
        <n v="52.81"/>
        <n v="83"/>
        <n v="13"/>
        <n v="3.65"/>
        <n v="6.59"/>
        <n v="45.67"/>
        <n v="14.25"/>
        <n v="51.07"/>
        <n v="199.27"/>
        <n v="2000"/>
        <n v="2.66"/>
        <n v="18.88"/>
        <n v="13.43"/>
        <n v="39.99"/>
        <n v="59"/>
        <n v="9.99"/>
        <n v="41.73"/>
        <n v="12.5"/>
        <n v="19.96"/>
        <n v="25.28"/>
        <n v="74.17"/>
        <n v="18.98"/>
        <n v="9.5"/>
        <n v="41.8"/>
        <n v="99"/>
        <n v="101"/>
        <n v="11.71"/>
        <n v="4.0999999999999996"/>
        <n v="7.3"/>
        <n v="16.97"/>
        <n v="6.99"/>
        <n v="4.5999999999999996"/>
        <n v="8.89"/>
        <n v="73.37"/>
        <n v="58.8"/>
        <n v="15.99"/>
        <n v="128.6"/>
        <n v="4.75"/>
        <n v="21.9"/>
        <n v="5.4"/>
        <n v="4.5199999999999996"/>
        <n v="9.9"/>
        <n v="50"/>
        <n v="35.69"/>
        <n v="70.3"/>
        <n v="130.35"/>
        <n v="7.81"/>
        <n v="7.7"/>
        <n v="1.8"/>
        <n v="1.5"/>
        <n v="4.4800000000000004"/>
        <n v="17.48"/>
        <n v="44.26"/>
        <n v="248.94"/>
        <n v="9.5299999999999994"/>
        <n v="19.87"/>
        <n v="185"/>
        <n v="200"/>
        <n v="2.83"/>
        <n v="19.2"/>
        <n v="500"/>
        <n v="10.23"/>
        <n v="22.24"/>
        <n v="51.91"/>
        <n v="10.19"/>
        <n v="15.98"/>
        <n v="78.319999999999993"/>
        <n v="18.45"/>
        <n v="9.98"/>
        <n v="8.93"/>
        <n v="5.56"/>
        <n v="13.17"/>
        <n v="56.23"/>
        <n v="21.5"/>
        <n v="16.5"/>
        <n v="23.5"/>
        <n v="6.8"/>
        <n v="25.2"/>
        <n v="10.69"/>
        <n v="15.7"/>
        <n v="14.3"/>
        <n v="6"/>
        <n v="176.4"/>
        <n v="1500"/>
        <n v="4.59"/>
        <n v="3.2"/>
        <n v="39.97"/>
        <n v="45.4"/>
        <n v="12.88"/>
        <n v="34.270000000000003"/>
        <n v="200.21"/>
        <n v="11.99"/>
        <n v="13.4"/>
        <n v="5.49"/>
        <n v="103.46"/>
        <n v="15.88"/>
        <n v="24.96"/>
        <n v="8.1"/>
        <n v="26.29"/>
        <n v="8.48"/>
        <n v="6.29"/>
        <n v="5.9"/>
        <n v="10.75"/>
        <n v="3.98"/>
        <n v="7.38"/>
        <n v="52.36"/>
        <n v="5.8"/>
        <n v="7.8"/>
        <n v="7.5"/>
        <n v="86.08"/>
        <n v="70.75"/>
        <n v="11.73"/>
        <n v="70.34"/>
        <n v="2.5"/>
        <n v="53.67"/>
        <n v="2.6"/>
        <n v="1.04"/>
        <n v="20.399999999999999"/>
        <n v="103.9"/>
        <n v="8"/>
        <n v="162"/>
        <n v="16.57"/>
        <n v="12"/>
        <n v="327.39999999999998"/>
        <n v="58"/>
        <n v="47.25"/>
        <n v="18.2"/>
        <n v="188.4"/>
        <n v="7.2"/>
        <n v="5.89"/>
        <n v="14.98"/>
        <n v="30"/>
        <n v="10.99"/>
        <n v="67.75"/>
        <n v="21.27"/>
        <n v="45.01"/>
        <n v="9.4"/>
        <n v="3.52"/>
        <n v="11.1"/>
        <n v="114.96"/>
        <n v="20.079999999999998"/>
        <n v="19.48"/>
        <n v="1.99"/>
        <n v="35.17"/>
        <n v="5.26"/>
        <n v="9.9600000000000009"/>
        <n v="18.989999999999998"/>
        <n v="150.72"/>
        <n v="12.9"/>
        <n v="6.79"/>
        <n v="77.290000000000006"/>
        <n v="60"/>
        <n v="13.1"/>
        <n v="42.3"/>
      </sharedItems>
    </cacheField>
    <cacheField name="Months" numFmtId="0" databaseField="0">
      <fieldGroup base="0">
        <rangePr groupBy="months" startDate="2024-07-02T00:00:00" endDate="2024-10-01T00:00:00"/>
        <groupItems count="14">
          <s v="&lt;02.07.2024"/>
          <s v="ian"/>
          <s v="feb"/>
          <s v="mar"/>
          <s v="apr"/>
          <s v="mai"/>
          <s v="iun"/>
          <s v="iul"/>
          <s v="aug"/>
          <s v="sept"/>
          <s v="oct"/>
          <s v="nov"/>
          <s v="dec"/>
          <s v="&gt;01.10.2024"/>
        </groupItems>
      </fieldGroup>
    </cacheField>
  </cacheFields>
  <extLst>
    <ext xmlns:x14="http://schemas.microsoft.com/office/spreadsheetml/2009/9/main" uri="{725AE2AE-9491-48be-B2B4-4EB974FC3084}">
      <x14:pivotCacheDefinition pivotCacheId="66046345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2.997342013892" backgroundQuery="1" createdVersion="8" refreshedVersion="8" minRefreshableVersion="3" recordCount="310" xr:uid="{0E52E9FA-B9FA-45AB-87CD-B37DA8791F26}">
  <cacheSource type="external" connectionId="4"/>
  <cacheFields count="4">
    <cacheField name="Date" numFmtId="0">
      <sharedItems containsSemiMixedTypes="0" containsNonDate="0" containsDate="1" containsString="0" minDate="2024-07-02T00:00:00" maxDate="2024-10-01T00:00:00" count="84">
        <d v="2024-07-02T00:00:00"/>
        <d v="2024-07-03T00:00:00"/>
        <d v="2024-07-04T00:00:00"/>
        <d v="2024-07-05T00:00:00"/>
        <d v="2024-07-06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</sharedItems>
      <fieldGroup par="3" base="0">
        <rangePr groupBy="days" startDate="2024-07-02T00:00:00" endDate="2024-10-01T00:00:00"/>
        <groupItems count="368">
          <s v="&lt;02.07.2024"/>
          <s v="01.ian"/>
          <s v="02.ian"/>
          <s v="03.ian"/>
          <s v="04.ian"/>
          <s v="05.ian"/>
          <s v="06.ian"/>
          <s v="07.ian"/>
          <s v="08.ian"/>
          <s v="09.ian"/>
          <s v="10.ian"/>
          <s v="11.ian"/>
          <s v="12.ian"/>
          <s v="13.ian"/>
          <s v="14.ian"/>
          <s v="15.ian"/>
          <s v="16.ian"/>
          <s v="17.ian"/>
          <s v="18.ian"/>
          <s v="19.ian"/>
          <s v="20.ian"/>
          <s v="21.ian"/>
          <s v="22.ian"/>
          <s v="23.ian"/>
          <s v="24.ian"/>
          <s v="25.ian"/>
          <s v="26.ian"/>
          <s v="27.ian"/>
          <s v="28.ian"/>
          <s v="29.ian"/>
          <s v="30.ian"/>
          <s v="31.i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iun"/>
          <s v="02.iun"/>
          <s v="03.iun"/>
          <s v="04.iun"/>
          <s v="05.iun"/>
          <s v="06.iun"/>
          <s v="07.iun"/>
          <s v="08.iun"/>
          <s v="09.iun"/>
          <s v="10.iun"/>
          <s v="11.iun"/>
          <s v="12.iun"/>
          <s v="13.iun"/>
          <s v="14.iun"/>
          <s v="15.iun"/>
          <s v="16.iun"/>
          <s v="17.iun"/>
          <s v="18.iun"/>
          <s v="19.iun"/>
          <s v="20.iun"/>
          <s v="21.iun"/>
          <s v="22.iun"/>
          <s v="23.iun"/>
          <s v="24.iun"/>
          <s v="25.iun"/>
          <s v="26.iun"/>
          <s v="27.iun"/>
          <s v="28.iun"/>
          <s v="29.iun"/>
          <s v="30.iun"/>
          <s v="01.iul"/>
          <s v="02.iul"/>
          <s v="03.iul"/>
          <s v="04.iul"/>
          <s v="05.iul"/>
          <s v="06.iul"/>
          <s v="07.iul"/>
          <s v="08.iul"/>
          <s v="09.iul"/>
          <s v="10.iul"/>
          <s v="11.iul"/>
          <s v="12.iul"/>
          <s v="13.iul"/>
          <s v="14.iul"/>
          <s v="15.iul"/>
          <s v="16.iul"/>
          <s v="17.iul"/>
          <s v="18.iul"/>
          <s v="19.iul"/>
          <s v="20.iul"/>
          <s v="21.iul"/>
          <s v="22.iul"/>
          <s v="23.iul"/>
          <s v="24.iul"/>
          <s v="25.iul"/>
          <s v="26.iul"/>
          <s v="27.iul"/>
          <s v="28.iul"/>
          <s v="29.iul"/>
          <s v="30.iul"/>
          <s v="31.i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t"/>
          <s v="02.sept"/>
          <s v="03.sept"/>
          <s v="04.sept"/>
          <s v="05.sept"/>
          <s v="06.sept"/>
          <s v="07.sept"/>
          <s v="08.sept"/>
          <s v="09.sept"/>
          <s v="10.sept"/>
          <s v="11.sept"/>
          <s v="12.sept"/>
          <s v="13.sept"/>
          <s v="14.sept"/>
          <s v="15.sept"/>
          <s v="16.sept"/>
          <s v="17.sept"/>
          <s v="18.sept"/>
          <s v="19.sept"/>
          <s v="20.sept"/>
          <s v="21.sept"/>
          <s v="22.sept"/>
          <s v="23.sept"/>
          <s v="24.sept"/>
          <s v="25.sept"/>
          <s v="26.sept"/>
          <s v="27.sept"/>
          <s v="28.sept"/>
          <s v="29.sept"/>
          <s v="30.sept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01.10.2024"/>
        </groupItems>
      </fieldGroup>
    </cacheField>
    <cacheField name="Expenses" numFmtId="0">
      <sharedItems count="17">
        <s v="DAIRY"/>
        <s v="MEAT"/>
        <s v="BREAD"/>
        <s v="VEGETABLES"/>
        <s v="FRUITS"/>
        <s v="OTHER FOODS"/>
        <s v="WATER"/>
        <s v="EGGS"/>
        <s v="OTHER COSTS"/>
        <s v="HYGIENE"/>
        <s v="ELECTRICITY"/>
        <s v="CABLE &amp; INTERNET"/>
        <s v="FUEL"/>
        <s v="PHONE"/>
        <s v="GAS"/>
        <s v="MEDICINE"/>
        <s v="CLOTHES"/>
      </sharedItems>
    </cacheField>
    <cacheField name="Value" numFmtId="0">
      <sharedItems containsSemiMixedTypes="0" containsString="0" containsNumber="1" minValue="1.04" maxValue="2000" count="261">
        <n v="4.78"/>
        <n v="8.39"/>
        <n v="5.79"/>
        <n v="17.97"/>
        <n v="2.78"/>
        <n v="66.61"/>
        <n v="67.09"/>
        <n v="10.5"/>
        <n v="11.49"/>
        <n v="14.99"/>
        <n v="8.99"/>
        <n v="92"/>
        <n v="52.35"/>
        <n v="17.760000000000002"/>
        <n v="6.5"/>
        <n v="22.14"/>
        <n v="33.65"/>
        <n v="16.48"/>
        <n v="63.09"/>
        <n v="49.7"/>
        <n v="73.03"/>
        <n v="14.38"/>
        <n v="1999.47"/>
        <n v="8.4"/>
        <n v="5.99"/>
        <n v="4.5"/>
        <n v="18.93"/>
        <n v="2.4"/>
        <n v="86.06"/>
        <n v="8.5"/>
        <n v="4.99"/>
        <n v="5.5"/>
        <n v="21.78"/>
        <n v="31.67"/>
        <n v="11.75"/>
        <n v="110.17"/>
        <n v="12.99"/>
        <n v="201.15"/>
        <n v="13.6"/>
        <n v="21.6"/>
        <n v="35.090000000000003"/>
        <n v="169.8"/>
        <n v="6.36"/>
        <n v="1.1499999999999999"/>
        <n v="2.88"/>
        <n v="25.15"/>
        <n v="131"/>
        <n v="28.06"/>
        <n v="10.72"/>
        <n v="129.9"/>
        <n v="18.97"/>
        <n v="19.28"/>
        <n v="17.809999999999999"/>
        <n v="10"/>
        <n v="105.2"/>
        <n v="41.03"/>
        <n v="10.38"/>
        <n v="1.28"/>
        <n v="37.130000000000003"/>
        <n v="3"/>
        <n v="12.23"/>
        <n v="13.7"/>
        <n v="13.3"/>
        <n v="3.93"/>
        <n v="2.99"/>
        <n v="75.5"/>
        <n v="101.99"/>
        <n v="80"/>
        <n v="37"/>
        <n v="760"/>
        <n v="305"/>
        <n v="250"/>
        <n v="86.5"/>
        <n v="48.97"/>
        <n v="134.16999999999999"/>
        <n v="24.98"/>
        <n v="32.380000000000003"/>
        <n v="52"/>
        <n v="5"/>
        <n v="46.8"/>
        <n v="18.420000000000002"/>
        <n v="30.3"/>
        <n v="208"/>
        <n v="2"/>
        <n v="45"/>
        <n v="4.79"/>
        <n v="18.73"/>
        <n v="59.62"/>
        <n v="16.89"/>
        <n v="11"/>
        <n v="11.8"/>
        <n v="20.98"/>
        <n v="13.53"/>
        <n v="70.8"/>
        <n v="37.96"/>
        <n v="9.5500000000000007"/>
        <n v="38.97"/>
        <n v="22.5"/>
        <n v="21"/>
        <n v="24"/>
        <n v="26.47"/>
        <n v="2.38"/>
        <n v="219.85"/>
        <n v="9.49"/>
        <n v="105"/>
        <n v="3.59"/>
        <n v="4.49"/>
        <n v="52.81"/>
        <n v="83"/>
        <n v="13"/>
        <n v="3.65"/>
        <n v="6.59"/>
        <n v="45.67"/>
        <n v="14.25"/>
        <n v="51.07"/>
        <n v="199.27"/>
        <n v="2000"/>
        <n v="2.66"/>
        <n v="18.88"/>
        <n v="13.43"/>
        <n v="39.99"/>
        <n v="59"/>
        <n v="9.99"/>
        <n v="41.73"/>
        <n v="12.5"/>
        <n v="19.96"/>
        <n v="25.28"/>
        <n v="74.17"/>
        <n v="18.98"/>
        <n v="9.5"/>
        <n v="41.8"/>
        <n v="99"/>
        <n v="101"/>
        <n v="11.71"/>
        <n v="4.0999999999999996"/>
        <n v="7.3"/>
        <n v="16.97"/>
        <n v="6.99"/>
        <n v="4.5999999999999996"/>
        <n v="8.89"/>
        <n v="73.37"/>
        <n v="58.8"/>
        <n v="15.99"/>
        <n v="128.6"/>
        <n v="4.75"/>
        <n v="21.9"/>
        <n v="5.4"/>
        <n v="4.5199999999999996"/>
        <n v="9.9"/>
        <n v="50"/>
        <n v="35.69"/>
        <n v="70.3"/>
        <n v="130.35"/>
        <n v="7.81"/>
        <n v="7.7"/>
        <n v="1.8"/>
        <n v="1.5"/>
        <n v="4.4800000000000004"/>
        <n v="17.48"/>
        <n v="44.26"/>
        <n v="248.94"/>
        <n v="9.5299999999999994"/>
        <n v="19.87"/>
        <n v="185"/>
        <n v="200"/>
        <n v="2.83"/>
        <n v="19.2"/>
        <n v="500"/>
        <n v="10.23"/>
        <n v="22.24"/>
        <n v="51.91"/>
        <n v="10.19"/>
        <n v="15.98"/>
        <n v="78.319999999999993"/>
        <n v="18.45"/>
        <n v="9.98"/>
        <n v="8.93"/>
        <n v="5.56"/>
        <n v="13.17"/>
        <n v="56.23"/>
        <n v="21.5"/>
        <n v="16.5"/>
        <n v="23.5"/>
        <n v="6.8"/>
        <n v="25.2"/>
        <n v="10.69"/>
        <n v="15.7"/>
        <n v="14.3"/>
        <n v="6"/>
        <n v="176.4"/>
        <n v="1500"/>
        <n v="4.59"/>
        <n v="3.2"/>
        <n v="39.97"/>
        <n v="45.4"/>
        <n v="12.88"/>
        <n v="34.270000000000003"/>
        <n v="200.21"/>
        <n v="11.99"/>
        <n v="13.4"/>
        <n v="5.49"/>
        <n v="103.46"/>
        <n v="15.88"/>
        <n v="24.96"/>
        <n v="8.1"/>
        <n v="26.29"/>
        <n v="8.48"/>
        <n v="6.29"/>
        <n v="5.9"/>
        <n v="10.75"/>
        <n v="3.98"/>
        <n v="7.38"/>
        <n v="52.36"/>
        <n v="5.8"/>
        <n v="7.8"/>
        <n v="7.5"/>
        <n v="86.08"/>
        <n v="70.75"/>
        <n v="11.73"/>
        <n v="70.34"/>
        <n v="2.5"/>
        <n v="53.67"/>
        <n v="2.6"/>
        <n v="1.04"/>
        <n v="20.399999999999999"/>
        <n v="103.9"/>
        <n v="8"/>
        <n v="162"/>
        <n v="16.57"/>
        <n v="12"/>
        <n v="327.39999999999998"/>
        <n v="58"/>
        <n v="47.25"/>
        <n v="18.2"/>
        <n v="188.4"/>
        <n v="7.2"/>
        <n v="5.89"/>
        <n v="14.98"/>
        <n v="30"/>
        <n v="10.99"/>
        <n v="67.75"/>
        <n v="21.27"/>
        <n v="45.01"/>
        <n v="9.4"/>
        <n v="3.52"/>
        <n v="11.1"/>
        <n v="114.96"/>
        <n v="20.079999999999998"/>
        <n v="19.48"/>
        <n v="1.99"/>
        <n v="35.17"/>
        <n v="5.26"/>
        <n v="9.9600000000000009"/>
        <n v="18.989999999999998"/>
        <n v="150.72"/>
        <n v="12.9"/>
        <n v="6.79"/>
        <n v="77.290000000000006"/>
        <n v="60"/>
        <n v="13.1"/>
        <n v="42.3"/>
      </sharedItems>
    </cacheField>
    <cacheField name="Months" numFmtId="0" databaseField="0">
      <fieldGroup base="0">
        <rangePr groupBy="months" startDate="2024-07-02T00:00:00" endDate="2024-10-01T00:00:00"/>
        <groupItems count="14">
          <s v="&lt;02.07.2024"/>
          <s v="ian"/>
          <s v="feb"/>
          <s v="mar"/>
          <s v="apr"/>
          <s v="mai"/>
          <s v="iun"/>
          <s v="iul"/>
          <s v="aug"/>
          <s v="sept"/>
          <s v="oct"/>
          <s v="nov"/>
          <s v="dec"/>
          <s v="&gt;01.10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6"/>
    <x v="6"/>
  </r>
  <r>
    <x v="2"/>
    <x v="2"/>
    <x v="7"/>
  </r>
  <r>
    <x v="3"/>
    <x v="7"/>
    <x v="8"/>
  </r>
  <r>
    <x v="3"/>
    <x v="2"/>
    <x v="9"/>
  </r>
  <r>
    <x v="3"/>
    <x v="3"/>
    <x v="10"/>
  </r>
  <r>
    <x v="3"/>
    <x v="8"/>
    <x v="11"/>
  </r>
  <r>
    <x v="4"/>
    <x v="0"/>
    <x v="12"/>
  </r>
  <r>
    <x v="4"/>
    <x v="1"/>
    <x v="13"/>
  </r>
  <r>
    <x v="4"/>
    <x v="2"/>
    <x v="14"/>
  </r>
  <r>
    <x v="4"/>
    <x v="3"/>
    <x v="15"/>
  </r>
  <r>
    <x v="4"/>
    <x v="5"/>
    <x v="16"/>
  </r>
  <r>
    <x v="4"/>
    <x v="9"/>
    <x v="17"/>
  </r>
  <r>
    <x v="4"/>
    <x v="8"/>
    <x v="18"/>
  </r>
  <r>
    <x v="5"/>
    <x v="10"/>
    <x v="19"/>
  </r>
  <r>
    <x v="5"/>
    <x v="2"/>
    <x v="14"/>
  </r>
  <r>
    <x v="5"/>
    <x v="9"/>
    <x v="20"/>
  </r>
  <r>
    <x v="6"/>
    <x v="5"/>
    <x v="21"/>
  </r>
  <r>
    <x v="6"/>
    <x v="8"/>
    <x v="22"/>
  </r>
  <r>
    <x v="7"/>
    <x v="7"/>
    <x v="23"/>
  </r>
  <r>
    <x v="7"/>
    <x v="1"/>
    <x v="24"/>
  </r>
  <r>
    <x v="7"/>
    <x v="2"/>
    <x v="25"/>
  </r>
  <r>
    <x v="7"/>
    <x v="9"/>
    <x v="26"/>
  </r>
  <r>
    <x v="7"/>
    <x v="8"/>
    <x v="27"/>
  </r>
  <r>
    <x v="8"/>
    <x v="11"/>
    <x v="28"/>
  </r>
  <r>
    <x v="8"/>
    <x v="2"/>
    <x v="29"/>
  </r>
  <r>
    <x v="8"/>
    <x v="9"/>
    <x v="30"/>
  </r>
  <r>
    <x v="8"/>
    <x v="8"/>
    <x v="31"/>
  </r>
  <r>
    <x v="9"/>
    <x v="0"/>
    <x v="32"/>
  </r>
  <r>
    <x v="9"/>
    <x v="1"/>
    <x v="33"/>
  </r>
  <r>
    <x v="9"/>
    <x v="3"/>
    <x v="34"/>
  </r>
  <r>
    <x v="9"/>
    <x v="4"/>
    <x v="8"/>
  </r>
  <r>
    <x v="9"/>
    <x v="5"/>
    <x v="35"/>
  </r>
  <r>
    <x v="9"/>
    <x v="9"/>
    <x v="36"/>
  </r>
  <r>
    <x v="9"/>
    <x v="12"/>
    <x v="37"/>
  </r>
  <r>
    <x v="10"/>
    <x v="5"/>
    <x v="38"/>
  </r>
  <r>
    <x v="10"/>
    <x v="9"/>
    <x v="39"/>
  </r>
  <r>
    <x v="10"/>
    <x v="8"/>
    <x v="40"/>
  </r>
  <r>
    <x v="11"/>
    <x v="8"/>
    <x v="41"/>
  </r>
  <r>
    <x v="12"/>
    <x v="0"/>
    <x v="42"/>
  </r>
  <r>
    <x v="12"/>
    <x v="2"/>
    <x v="43"/>
  </r>
  <r>
    <x v="12"/>
    <x v="4"/>
    <x v="44"/>
  </r>
  <r>
    <x v="12"/>
    <x v="8"/>
    <x v="45"/>
  </r>
  <r>
    <x v="13"/>
    <x v="13"/>
    <x v="46"/>
  </r>
  <r>
    <x v="13"/>
    <x v="14"/>
    <x v="47"/>
  </r>
  <r>
    <x v="13"/>
    <x v="2"/>
    <x v="48"/>
  </r>
  <r>
    <x v="14"/>
    <x v="8"/>
    <x v="49"/>
  </r>
  <r>
    <x v="15"/>
    <x v="0"/>
    <x v="50"/>
  </r>
  <r>
    <x v="15"/>
    <x v="1"/>
    <x v="51"/>
  </r>
  <r>
    <x v="15"/>
    <x v="3"/>
    <x v="30"/>
  </r>
  <r>
    <x v="15"/>
    <x v="5"/>
    <x v="52"/>
  </r>
  <r>
    <x v="16"/>
    <x v="3"/>
    <x v="53"/>
  </r>
  <r>
    <x v="16"/>
    <x v="8"/>
    <x v="54"/>
  </r>
  <r>
    <x v="17"/>
    <x v="7"/>
    <x v="23"/>
  </r>
  <r>
    <x v="17"/>
    <x v="0"/>
    <x v="55"/>
  </r>
  <r>
    <x v="17"/>
    <x v="1"/>
    <x v="56"/>
  </r>
  <r>
    <x v="17"/>
    <x v="2"/>
    <x v="2"/>
  </r>
  <r>
    <x v="17"/>
    <x v="4"/>
    <x v="57"/>
  </r>
  <r>
    <x v="17"/>
    <x v="5"/>
    <x v="58"/>
  </r>
  <r>
    <x v="18"/>
    <x v="5"/>
    <x v="59"/>
  </r>
  <r>
    <x v="19"/>
    <x v="3"/>
    <x v="60"/>
  </r>
  <r>
    <x v="19"/>
    <x v="5"/>
    <x v="25"/>
  </r>
  <r>
    <x v="19"/>
    <x v="9"/>
    <x v="61"/>
  </r>
  <r>
    <x v="19"/>
    <x v="8"/>
    <x v="62"/>
  </r>
  <r>
    <x v="20"/>
    <x v="2"/>
    <x v="2"/>
  </r>
  <r>
    <x v="20"/>
    <x v="4"/>
    <x v="63"/>
  </r>
  <r>
    <x v="20"/>
    <x v="5"/>
    <x v="64"/>
  </r>
  <r>
    <x v="20"/>
    <x v="15"/>
    <x v="65"/>
  </r>
  <r>
    <x v="20"/>
    <x v="9"/>
    <x v="66"/>
  </r>
  <r>
    <x v="20"/>
    <x v="8"/>
    <x v="67"/>
  </r>
  <r>
    <x v="21"/>
    <x v="5"/>
    <x v="68"/>
  </r>
  <r>
    <x v="21"/>
    <x v="8"/>
    <x v="69"/>
  </r>
  <r>
    <x v="22"/>
    <x v="5"/>
    <x v="70"/>
  </r>
  <r>
    <x v="22"/>
    <x v="8"/>
    <x v="71"/>
  </r>
  <r>
    <x v="23"/>
    <x v="5"/>
    <x v="72"/>
  </r>
  <r>
    <x v="24"/>
    <x v="10"/>
    <x v="73"/>
  </r>
  <r>
    <x v="24"/>
    <x v="6"/>
    <x v="74"/>
  </r>
  <r>
    <x v="24"/>
    <x v="1"/>
    <x v="75"/>
  </r>
  <r>
    <x v="24"/>
    <x v="5"/>
    <x v="76"/>
  </r>
  <r>
    <x v="24"/>
    <x v="16"/>
    <x v="77"/>
  </r>
  <r>
    <x v="24"/>
    <x v="9"/>
    <x v="78"/>
  </r>
  <r>
    <x v="24"/>
    <x v="8"/>
    <x v="59"/>
  </r>
  <r>
    <x v="25"/>
    <x v="5"/>
    <x v="79"/>
  </r>
  <r>
    <x v="26"/>
    <x v="3"/>
    <x v="80"/>
  </r>
  <r>
    <x v="26"/>
    <x v="5"/>
    <x v="25"/>
  </r>
  <r>
    <x v="26"/>
    <x v="15"/>
    <x v="81"/>
  </r>
  <r>
    <x v="26"/>
    <x v="8"/>
    <x v="82"/>
  </r>
  <r>
    <x v="27"/>
    <x v="15"/>
    <x v="83"/>
  </r>
  <r>
    <x v="27"/>
    <x v="8"/>
    <x v="84"/>
  </r>
  <r>
    <x v="28"/>
    <x v="2"/>
    <x v="85"/>
  </r>
  <r>
    <x v="28"/>
    <x v="3"/>
    <x v="86"/>
  </r>
  <r>
    <x v="28"/>
    <x v="5"/>
    <x v="87"/>
  </r>
  <r>
    <x v="28"/>
    <x v="9"/>
    <x v="88"/>
  </r>
  <r>
    <x v="28"/>
    <x v="8"/>
    <x v="11"/>
  </r>
  <r>
    <x v="29"/>
    <x v="2"/>
    <x v="89"/>
  </r>
  <r>
    <x v="30"/>
    <x v="1"/>
    <x v="90"/>
  </r>
  <r>
    <x v="30"/>
    <x v="2"/>
    <x v="30"/>
  </r>
  <r>
    <x v="30"/>
    <x v="3"/>
    <x v="91"/>
  </r>
  <r>
    <x v="30"/>
    <x v="4"/>
    <x v="92"/>
  </r>
  <r>
    <x v="30"/>
    <x v="5"/>
    <x v="93"/>
  </r>
  <r>
    <x v="30"/>
    <x v="9"/>
    <x v="94"/>
  </r>
  <r>
    <x v="31"/>
    <x v="2"/>
    <x v="29"/>
  </r>
  <r>
    <x v="31"/>
    <x v="5"/>
    <x v="95"/>
  </r>
  <r>
    <x v="31"/>
    <x v="16"/>
    <x v="96"/>
  </r>
  <r>
    <x v="31"/>
    <x v="9"/>
    <x v="97"/>
  </r>
  <r>
    <x v="32"/>
    <x v="2"/>
    <x v="98"/>
  </r>
  <r>
    <x v="33"/>
    <x v="2"/>
    <x v="29"/>
  </r>
  <r>
    <x v="33"/>
    <x v="8"/>
    <x v="99"/>
  </r>
  <r>
    <x v="34"/>
    <x v="3"/>
    <x v="100"/>
  </r>
  <r>
    <x v="34"/>
    <x v="4"/>
    <x v="101"/>
  </r>
  <r>
    <x v="34"/>
    <x v="5"/>
    <x v="50"/>
  </r>
  <r>
    <x v="34"/>
    <x v="15"/>
    <x v="102"/>
  </r>
  <r>
    <x v="34"/>
    <x v="9"/>
    <x v="103"/>
  </r>
  <r>
    <x v="34"/>
    <x v="8"/>
    <x v="104"/>
  </r>
  <r>
    <x v="35"/>
    <x v="2"/>
    <x v="105"/>
  </r>
  <r>
    <x v="35"/>
    <x v="3"/>
    <x v="106"/>
  </r>
  <r>
    <x v="35"/>
    <x v="5"/>
    <x v="107"/>
  </r>
  <r>
    <x v="35"/>
    <x v="15"/>
    <x v="108"/>
  </r>
  <r>
    <x v="35"/>
    <x v="9"/>
    <x v="109"/>
  </r>
  <r>
    <x v="35"/>
    <x v="8"/>
    <x v="104"/>
  </r>
  <r>
    <x v="36"/>
    <x v="2"/>
    <x v="110"/>
  </r>
  <r>
    <x v="36"/>
    <x v="3"/>
    <x v="111"/>
  </r>
  <r>
    <x v="36"/>
    <x v="4"/>
    <x v="103"/>
  </r>
  <r>
    <x v="36"/>
    <x v="5"/>
    <x v="112"/>
  </r>
  <r>
    <x v="36"/>
    <x v="9"/>
    <x v="113"/>
  </r>
  <r>
    <x v="36"/>
    <x v="8"/>
    <x v="114"/>
  </r>
  <r>
    <x v="37"/>
    <x v="2"/>
    <x v="14"/>
  </r>
  <r>
    <x v="37"/>
    <x v="12"/>
    <x v="115"/>
  </r>
  <r>
    <x v="37"/>
    <x v="8"/>
    <x v="116"/>
  </r>
  <r>
    <x v="38"/>
    <x v="3"/>
    <x v="117"/>
  </r>
  <r>
    <x v="38"/>
    <x v="5"/>
    <x v="118"/>
  </r>
  <r>
    <x v="39"/>
    <x v="2"/>
    <x v="105"/>
  </r>
  <r>
    <x v="39"/>
    <x v="5"/>
    <x v="119"/>
  </r>
  <r>
    <x v="39"/>
    <x v="8"/>
    <x v="120"/>
  </r>
  <r>
    <x v="40"/>
    <x v="5"/>
    <x v="121"/>
  </r>
  <r>
    <x v="41"/>
    <x v="0"/>
    <x v="122"/>
  </r>
  <r>
    <x v="41"/>
    <x v="1"/>
    <x v="123"/>
  </r>
  <r>
    <x v="41"/>
    <x v="2"/>
    <x v="124"/>
  </r>
  <r>
    <x v="41"/>
    <x v="3"/>
    <x v="125"/>
  </r>
  <r>
    <x v="41"/>
    <x v="4"/>
    <x v="126"/>
  </r>
  <r>
    <x v="41"/>
    <x v="5"/>
    <x v="127"/>
  </r>
  <r>
    <x v="41"/>
    <x v="9"/>
    <x v="128"/>
  </r>
  <r>
    <x v="42"/>
    <x v="5"/>
    <x v="129"/>
  </r>
  <r>
    <x v="42"/>
    <x v="8"/>
    <x v="130"/>
  </r>
  <r>
    <x v="43"/>
    <x v="5"/>
    <x v="131"/>
  </r>
  <r>
    <x v="44"/>
    <x v="11"/>
    <x v="28"/>
  </r>
  <r>
    <x v="44"/>
    <x v="13"/>
    <x v="132"/>
  </r>
  <r>
    <x v="44"/>
    <x v="0"/>
    <x v="133"/>
  </r>
  <r>
    <x v="44"/>
    <x v="4"/>
    <x v="134"/>
  </r>
  <r>
    <x v="44"/>
    <x v="5"/>
    <x v="135"/>
  </r>
  <r>
    <x v="44"/>
    <x v="16"/>
    <x v="136"/>
  </r>
  <r>
    <x v="44"/>
    <x v="9"/>
    <x v="137"/>
  </r>
  <r>
    <x v="44"/>
    <x v="8"/>
    <x v="138"/>
  </r>
  <r>
    <x v="45"/>
    <x v="6"/>
    <x v="74"/>
  </r>
  <r>
    <x v="45"/>
    <x v="1"/>
    <x v="139"/>
  </r>
  <r>
    <x v="45"/>
    <x v="2"/>
    <x v="89"/>
  </r>
  <r>
    <x v="45"/>
    <x v="5"/>
    <x v="140"/>
  </r>
  <r>
    <x v="45"/>
    <x v="15"/>
    <x v="141"/>
  </r>
  <r>
    <x v="45"/>
    <x v="9"/>
    <x v="142"/>
  </r>
  <r>
    <x v="45"/>
    <x v="8"/>
    <x v="143"/>
  </r>
  <r>
    <x v="46"/>
    <x v="0"/>
    <x v="144"/>
  </r>
  <r>
    <x v="47"/>
    <x v="5"/>
    <x v="139"/>
  </r>
  <r>
    <x v="47"/>
    <x v="8"/>
    <x v="145"/>
  </r>
  <r>
    <x v="48"/>
    <x v="7"/>
    <x v="23"/>
  </r>
  <r>
    <x v="48"/>
    <x v="1"/>
    <x v="146"/>
  </r>
  <r>
    <x v="48"/>
    <x v="2"/>
    <x v="89"/>
  </r>
  <r>
    <x v="48"/>
    <x v="3"/>
    <x v="147"/>
  </r>
  <r>
    <x v="48"/>
    <x v="5"/>
    <x v="148"/>
  </r>
  <r>
    <x v="48"/>
    <x v="8"/>
    <x v="149"/>
  </r>
  <r>
    <x v="49"/>
    <x v="14"/>
    <x v="150"/>
  </r>
  <r>
    <x v="49"/>
    <x v="5"/>
    <x v="149"/>
  </r>
  <r>
    <x v="49"/>
    <x v="15"/>
    <x v="151"/>
  </r>
  <r>
    <x v="49"/>
    <x v="8"/>
    <x v="152"/>
  </r>
  <r>
    <x v="50"/>
    <x v="4"/>
    <x v="153"/>
  </r>
  <r>
    <x v="50"/>
    <x v="5"/>
    <x v="154"/>
  </r>
  <r>
    <x v="50"/>
    <x v="15"/>
    <x v="155"/>
  </r>
  <r>
    <x v="50"/>
    <x v="8"/>
    <x v="156"/>
  </r>
  <r>
    <x v="51"/>
    <x v="1"/>
    <x v="157"/>
  </r>
  <r>
    <x v="51"/>
    <x v="3"/>
    <x v="158"/>
  </r>
  <r>
    <x v="51"/>
    <x v="5"/>
    <x v="159"/>
  </r>
  <r>
    <x v="51"/>
    <x v="8"/>
    <x v="160"/>
  </r>
  <r>
    <x v="52"/>
    <x v="2"/>
    <x v="161"/>
  </r>
  <r>
    <x v="52"/>
    <x v="3"/>
    <x v="162"/>
  </r>
  <r>
    <x v="52"/>
    <x v="15"/>
    <x v="163"/>
  </r>
  <r>
    <x v="52"/>
    <x v="8"/>
    <x v="164"/>
  </r>
  <r>
    <x v="53"/>
    <x v="2"/>
    <x v="78"/>
  </r>
  <r>
    <x v="53"/>
    <x v="4"/>
    <x v="165"/>
  </r>
  <r>
    <x v="53"/>
    <x v="5"/>
    <x v="166"/>
  </r>
  <r>
    <x v="53"/>
    <x v="8"/>
    <x v="167"/>
  </r>
  <r>
    <x v="54"/>
    <x v="4"/>
    <x v="168"/>
  </r>
  <r>
    <x v="55"/>
    <x v="0"/>
    <x v="169"/>
  </r>
  <r>
    <x v="55"/>
    <x v="1"/>
    <x v="170"/>
  </r>
  <r>
    <x v="55"/>
    <x v="2"/>
    <x v="171"/>
  </r>
  <r>
    <x v="55"/>
    <x v="3"/>
    <x v="172"/>
  </r>
  <r>
    <x v="55"/>
    <x v="5"/>
    <x v="173"/>
  </r>
  <r>
    <x v="55"/>
    <x v="9"/>
    <x v="174"/>
  </r>
  <r>
    <x v="55"/>
    <x v="8"/>
    <x v="149"/>
  </r>
  <r>
    <x v="56"/>
    <x v="2"/>
    <x v="146"/>
  </r>
  <r>
    <x v="56"/>
    <x v="5"/>
    <x v="175"/>
  </r>
  <r>
    <x v="57"/>
    <x v="8"/>
    <x v="98"/>
  </r>
  <r>
    <x v="58"/>
    <x v="1"/>
    <x v="176"/>
  </r>
  <r>
    <x v="58"/>
    <x v="2"/>
    <x v="177"/>
  </r>
  <r>
    <x v="58"/>
    <x v="3"/>
    <x v="154"/>
  </r>
  <r>
    <x v="58"/>
    <x v="4"/>
    <x v="178"/>
  </r>
  <r>
    <x v="58"/>
    <x v="5"/>
    <x v="179"/>
  </r>
  <r>
    <x v="59"/>
    <x v="5"/>
    <x v="180"/>
  </r>
  <r>
    <x v="59"/>
    <x v="9"/>
    <x v="181"/>
  </r>
  <r>
    <x v="59"/>
    <x v="8"/>
    <x v="182"/>
  </r>
  <r>
    <x v="60"/>
    <x v="7"/>
    <x v="23"/>
  </r>
  <r>
    <x v="60"/>
    <x v="0"/>
    <x v="183"/>
  </r>
  <r>
    <x v="60"/>
    <x v="1"/>
    <x v="184"/>
  </r>
  <r>
    <x v="60"/>
    <x v="2"/>
    <x v="185"/>
  </r>
  <r>
    <x v="60"/>
    <x v="3"/>
    <x v="135"/>
  </r>
  <r>
    <x v="60"/>
    <x v="5"/>
    <x v="186"/>
  </r>
  <r>
    <x v="60"/>
    <x v="9"/>
    <x v="187"/>
  </r>
  <r>
    <x v="61"/>
    <x v="2"/>
    <x v="14"/>
  </r>
  <r>
    <x v="61"/>
    <x v="16"/>
    <x v="188"/>
  </r>
  <r>
    <x v="61"/>
    <x v="8"/>
    <x v="189"/>
  </r>
  <r>
    <x v="62"/>
    <x v="8"/>
    <x v="190"/>
  </r>
  <r>
    <x v="63"/>
    <x v="0"/>
    <x v="191"/>
  </r>
  <r>
    <x v="63"/>
    <x v="2"/>
    <x v="110"/>
  </r>
  <r>
    <x v="63"/>
    <x v="3"/>
    <x v="192"/>
  </r>
  <r>
    <x v="63"/>
    <x v="5"/>
    <x v="193"/>
  </r>
  <r>
    <x v="63"/>
    <x v="9"/>
    <x v="194"/>
  </r>
  <r>
    <x v="64"/>
    <x v="3"/>
    <x v="195"/>
  </r>
  <r>
    <x v="64"/>
    <x v="5"/>
    <x v="196"/>
  </r>
  <r>
    <x v="64"/>
    <x v="12"/>
    <x v="197"/>
  </r>
  <r>
    <x v="64"/>
    <x v="8"/>
    <x v="198"/>
  </r>
  <r>
    <x v="65"/>
    <x v="4"/>
    <x v="137"/>
  </r>
  <r>
    <x v="65"/>
    <x v="5"/>
    <x v="199"/>
  </r>
  <r>
    <x v="65"/>
    <x v="9"/>
    <x v="128"/>
  </r>
  <r>
    <x v="65"/>
    <x v="8"/>
    <x v="190"/>
  </r>
  <r>
    <x v="66"/>
    <x v="2"/>
    <x v="200"/>
  </r>
  <r>
    <x v="66"/>
    <x v="5"/>
    <x v="201"/>
  </r>
  <r>
    <x v="66"/>
    <x v="8"/>
    <x v="202"/>
  </r>
  <r>
    <x v="67"/>
    <x v="3"/>
    <x v="203"/>
  </r>
  <r>
    <x v="67"/>
    <x v="5"/>
    <x v="204"/>
  </r>
  <r>
    <x v="68"/>
    <x v="3"/>
    <x v="36"/>
  </r>
  <r>
    <x v="69"/>
    <x v="0"/>
    <x v="205"/>
  </r>
  <r>
    <x v="69"/>
    <x v="1"/>
    <x v="206"/>
  </r>
  <r>
    <x v="69"/>
    <x v="2"/>
    <x v="207"/>
  </r>
  <r>
    <x v="69"/>
    <x v="4"/>
    <x v="208"/>
  </r>
  <r>
    <x v="69"/>
    <x v="5"/>
    <x v="209"/>
  </r>
  <r>
    <x v="69"/>
    <x v="9"/>
    <x v="210"/>
  </r>
  <r>
    <x v="69"/>
    <x v="8"/>
    <x v="211"/>
  </r>
  <r>
    <x v="70"/>
    <x v="10"/>
    <x v="212"/>
  </r>
  <r>
    <x v="70"/>
    <x v="0"/>
    <x v="213"/>
  </r>
  <r>
    <x v="70"/>
    <x v="4"/>
    <x v="214"/>
  </r>
  <r>
    <x v="70"/>
    <x v="5"/>
    <x v="215"/>
  </r>
  <r>
    <x v="70"/>
    <x v="8"/>
    <x v="156"/>
  </r>
  <r>
    <x v="71"/>
    <x v="11"/>
    <x v="216"/>
  </r>
  <r>
    <x v="71"/>
    <x v="13"/>
    <x v="217"/>
  </r>
  <r>
    <x v="71"/>
    <x v="2"/>
    <x v="218"/>
  </r>
  <r>
    <x v="71"/>
    <x v="5"/>
    <x v="219"/>
  </r>
  <r>
    <x v="71"/>
    <x v="8"/>
    <x v="220"/>
  </r>
  <r>
    <x v="72"/>
    <x v="6"/>
    <x v="221"/>
  </r>
  <r>
    <x v="72"/>
    <x v="2"/>
    <x v="222"/>
  </r>
  <r>
    <x v="72"/>
    <x v="3"/>
    <x v="223"/>
  </r>
  <r>
    <x v="72"/>
    <x v="5"/>
    <x v="224"/>
  </r>
  <r>
    <x v="72"/>
    <x v="8"/>
    <x v="225"/>
  </r>
  <r>
    <x v="73"/>
    <x v="5"/>
    <x v="226"/>
  </r>
  <r>
    <x v="73"/>
    <x v="8"/>
    <x v="149"/>
  </r>
  <r>
    <x v="74"/>
    <x v="8"/>
    <x v="227"/>
  </r>
  <r>
    <x v="75"/>
    <x v="1"/>
    <x v="228"/>
  </r>
  <r>
    <x v="75"/>
    <x v="2"/>
    <x v="229"/>
  </r>
  <r>
    <x v="75"/>
    <x v="4"/>
    <x v="0"/>
  </r>
  <r>
    <x v="75"/>
    <x v="5"/>
    <x v="230"/>
  </r>
  <r>
    <x v="75"/>
    <x v="15"/>
    <x v="231"/>
  </r>
  <r>
    <x v="75"/>
    <x v="9"/>
    <x v="232"/>
  </r>
  <r>
    <x v="76"/>
    <x v="7"/>
    <x v="23"/>
  </r>
  <r>
    <x v="76"/>
    <x v="0"/>
    <x v="233"/>
  </r>
  <r>
    <x v="76"/>
    <x v="5"/>
    <x v="234"/>
  </r>
  <r>
    <x v="77"/>
    <x v="0"/>
    <x v="235"/>
  </r>
  <r>
    <x v="77"/>
    <x v="1"/>
    <x v="24"/>
  </r>
  <r>
    <x v="77"/>
    <x v="3"/>
    <x v="236"/>
  </r>
  <r>
    <x v="77"/>
    <x v="5"/>
    <x v="237"/>
  </r>
  <r>
    <x v="77"/>
    <x v="15"/>
    <x v="238"/>
  </r>
  <r>
    <x v="77"/>
    <x v="9"/>
    <x v="239"/>
  </r>
  <r>
    <x v="77"/>
    <x v="8"/>
    <x v="240"/>
  </r>
  <r>
    <x v="78"/>
    <x v="5"/>
    <x v="220"/>
  </r>
  <r>
    <x v="78"/>
    <x v="15"/>
    <x v="241"/>
  </r>
  <r>
    <x v="79"/>
    <x v="14"/>
    <x v="242"/>
  </r>
  <r>
    <x v="79"/>
    <x v="0"/>
    <x v="243"/>
  </r>
  <r>
    <x v="79"/>
    <x v="3"/>
    <x v="244"/>
  </r>
  <r>
    <x v="79"/>
    <x v="5"/>
    <x v="245"/>
  </r>
  <r>
    <x v="79"/>
    <x v="8"/>
    <x v="149"/>
  </r>
  <r>
    <x v="80"/>
    <x v="2"/>
    <x v="7"/>
  </r>
  <r>
    <x v="80"/>
    <x v="5"/>
    <x v="215"/>
  </r>
  <r>
    <x v="80"/>
    <x v="8"/>
    <x v="246"/>
  </r>
  <r>
    <x v="81"/>
    <x v="0"/>
    <x v="247"/>
  </r>
  <r>
    <x v="81"/>
    <x v="1"/>
    <x v="248"/>
  </r>
  <r>
    <x v="81"/>
    <x v="2"/>
    <x v="249"/>
  </r>
  <r>
    <x v="81"/>
    <x v="3"/>
    <x v="250"/>
  </r>
  <r>
    <x v="81"/>
    <x v="4"/>
    <x v="251"/>
  </r>
  <r>
    <x v="81"/>
    <x v="5"/>
    <x v="252"/>
  </r>
  <r>
    <x v="81"/>
    <x v="16"/>
    <x v="11"/>
  </r>
  <r>
    <x v="81"/>
    <x v="9"/>
    <x v="253"/>
  </r>
  <r>
    <x v="81"/>
    <x v="8"/>
    <x v="254"/>
  </r>
  <r>
    <x v="82"/>
    <x v="1"/>
    <x v="255"/>
  </r>
  <r>
    <x v="82"/>
    <x v="2"/>
    <x v="256"/>
  </r>
  <r>
    <x v="82"/>
    <x v="5"/>
    <x v="257"/>
  </r>
  <r>
    <x v="82"/>
    <x v="15"/>
    <x v="258"/>
  </r>
  <r>
    <x v="82"/>
    <x v="9"/>
    <x v="259"/>
  </r>
  <r>
    <x v="83"/>
    <x v="2"/>
    <x v="14"/>
  </r>
  <r>
    <x v="83"/>
    <x v="15"/>
    <x v="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6"/>
    <x v="6"/>
  </r>
  <r>
    <x v="2"/>
    <x v="2"/>
    <x v="7"/>
  </r>
  <r>
    <x v="3"/>
    <x v="7"/>
    <x v="8"/>
  </r>
  <r>
    <x v="3"/>
    <x v="2"/>
    <x v="9"/>
  </r>
  <r>
    <x v="3"/>
    <x v="3"/>
    <x v="10"/>
  </r>
  <r>
    <x v="3"/>
    <x v="8"/>
    <x v="11"/>
  </r>
  <r>
    <x v="4"/>
    <x v="0"/>
    <x v="12"/>
  </r>
  <r>
    <x v="4"/>
    <x v="1"/>
    <x v="13"/>
  </r>
  <r>
    <x v="4"/>
    <x v="2"/>
    <x v="14"/>
  </r>
  <r>
    <x v="4"/>
    <x v="3"/>
    <x v="15"/>
  </r>
  <r>
    <x v="4"/>
    <x v="5"/>
    <x v="16"/>
  </r>
  <r>
    <x v="4"/>
    <x v="9"/>
    <x v="17"/>
  </r>
  <r>
    <x v="4"/>
    <x v="8"/>
    <x v="18"/>
  </r>
  <r>
    <x v="5"/>
    <x v="10"/>
    <x v="19"/>
  </r>
  <r>
    <x v="5"/>
    <x v="2"/>
    <x v="14"/>
  </r>
  <r>
    <x v="5"/>
    <x v="9"/>
    <x v="20"/>
  </r>
  <r>
    <x v="6"/>
    <x v="5"/>
    <x v="21"/>
  </r>
  <r>
    <x v="6"/>
    <x v="8"/>
    <x v="22"/>
  </r>
  <r>
    <x v="7"/>
    <x v="7"/>
    <x v="23"/>
  </r>
  <r>
    <x v="7"/>
    <x v="1"/>
    <x v="24"/>
  </r>
  <r>
    <x v="7"/>
    <x v="2"/>
    <x v="25"/>
  </r>
  <r>
    <x v="7"/>
    <x v="9"/>
    <x v="26"/>
  </r>
  <r>
    <x v="7"/>
    <x v="8"/>
    <x v="27"/>
  </r>
  <r>
    <x v="8"/>
    <x v="11"/>
    <x v="28"/>
  </r>
  <r>
    <x v="8"/>
    <x v="2"/>
    <x v="29"/>
  </r>
  <r>
    <x v="8"/>
    <x v="9"/>
    <x v="30"/>
  </r>
  <r>
    <x v="8"/>
    <x v="8"/>
    <x v="31"/>
  </r>
  <r>
    <x v="9"/>
    <x v="0"/>
    <x v="32"/>
  </r>
  <r>
    <x v="9"/>
    <x v="1"/>
    <x v="33"/>
  </r>
  <r>
    <x v="9"/>
    <x v="3"/>
    <x v="34"/>
  </r>
  <r>
    <x v="9"/>
    <x v="4"/>
    <x v="8"/>
  </r>
  <r>
    <x v="9"/>
    <x v="5"/>
    <x v="35"/>
  </r>
  <r>
    <x v="9"/>
    <x v="9"/>
    <x v="36"/>
  </r>
  <r>
    <x v="9"/>
    <x v="12"/>
    <x v="37"/>
  </r>
  <r>
    <x v="10"/>
    <x v="5"/>
    <x v="38"/>
  </r>
  <r>
    <x v="10"/>
    <x v="9"/>
    <x v="39"/>
  </r>
  <r>
    <x v="10"/>
    <x v="8"/>
    <x v="40"/>
  </r>
  <r>
    <x v="11"/>
    <x v="8"/>
    <x v="41"/>
  </r>
  <r>
    <x v="12"/>
    <x v="0"/>
    <x v="42"/>
  </r>
  <r>
    <x v="12"/>
    <x v="2"/>
    <x v="43"/>
  </r>
  <r>
    <x v="12"/>
    <x v="4"/>
    <x v="44"/>
  </r>
  <r>
    <x v="12"/>
    <x v="8"/>
    <x v="45"/>
  </r>
  <r>
    <x v="13"/>
    <x v="13"/>
    <x v="46"/>
  </r>
  <r>
    <x v="13"/>
    <x v="14"/>
    <x v="47"/>
  </r>
  <r>
    <x v="13"/>
    <x v="2"/>
    <x v="48"/>
  </r>
  <r>
    <x v="14"/>
    <x v="8"/>
    <x v="49"/>
  </r>
  <r>
    <x v="15"/>
    <x v="0"/>
    <x v="50"/>
  </r>
  <r>
    <x v="15"/>
    <x v="1"/>
    <x v="51"/>
  </r>
  <r>
    <x v="15"/>
    <x v="3"/>
    <x v="30"/>
  </r>
  <r>
    <x v="15"/>
    <x v="5"/>
    <x v="52"/>
  </r>
  <r>
    <x v="16"/>
    <x v="3"/>
    <x v="53"/>
  </r>
  <r>
    <x v="16"/>
    <x v="8"/>
    <x v="54"/>
  </r>
  <r>
    <x v="17"/>
    <x v="7"/>
    <x v="23"/>
  </r>
  <r>
    <x v="17"/>
    <x v="0"/>
    <x v="55"/>
  </r>
  <r>
    <x v="17"/>
    <x v="1"/>
    <x v="56"/>
  </r>
  <r>
    <x v="17"/>
    <x v="2"/>
    <x v="2"/>
  </r>
  <r>
    <x v="17"/>
    <x v="4"/>
    <x v="57"/>
  </r>
  <r>
    <x v="17"/>
    <x v="5"/>
    <x v="58"/>
  </r>
  <r>
    <x v="18"/>
    <x v="5"/>
    <x v="59"/>
  </r>
  <r>
    <x v="19"/>
    <x v="3"/>
    <x v="60"/>
  </r>
  <r>
    <x v="19"/>
    <x v="5"/>
    <x v="25"/>
  </r>
  <r>
    <x v="19"/>
    <x v="9"/>
    <x v="61"/>
  </r>
  <r>
    <x v="19"/>
    <x v="8"/>
    <x v="62"/>
  </r>
  <r>
    <x v="20"/>
    <x v="2"/>
    <x v="2"/>
  </r>
  <r>
    <x v="20"/>
    <x v="4"/>
    <x v="63"/>
  </r>
  <r>
    <x v="20"/>
    <x v="5"/>
    <x v="64"/>
  </r>
  <r>
    <x v="20"/>
    <x v="15"/>
    <x v="65"/>
  </r>
  <r>
    <x v="20"/>
    <x v="9"/>
    <x v="66"/>
  </r>
  <r>
    <x v="20"/>
    <x v="8"/>
    <x v="67"/>
  </r>
  <r>
    <x v="21"/>
    <x v="5"/>
    <x v="68"/>
  </r>
  <r>
    <x v="21"/>
    <x v="8"/>
    <x v="69"/>
  </r>
  <r>
    <x v="22"/>
    <x v="5"/>
    <x v="70"/>
  </r>
  <r>
    <x v="22"/>
    <x v="8"/>
    <x v="71"/>
  </r>
  <r>
    <x v="23"/>
    <x v="5"/>
    <x v="72"/>
  </r>
  <r>
    <x v="24"/>
    <x v="10"/>
    <x v="73"/>
  </r>
  <r>
    <x v="24"/>
    <x v="6"/>
    <x v="74"/>
  </r>
  <r>
    <x v="24"/>
    <x v="1"/>
    <x v="75"/>
  </r>
  <r>
    <x v="24"/>
    <x v="5"/>
    <x v="76"/>
  </r>
  <r>
    <x v="24"/>
    <x v="16"/>
    <x v="77"/>
  </r>
  <r>
    <x v="24"/>
    <x v="9"/>
    <x v="78"/>
  </r>
  <r>
    <x v="24"/>
    <x v="8"/>
    <x v="59"/>
  </r>
  <r>
    <x v="25"/>
    <x v="5"/>
    <x v="79"/>
  </r>
  <r>
    <x v="26"/>
    <x v="3"/>
    <x v="80"/>
  </r>
  <r>
    <x v="26"/>
    <x v="5"/>
    <x v="25"/>
  </r>
  <r>
    <x v="26"/>
    <x v="15"/>
    <x v="81"/>
  </r>
  <r>
    <x v="26"/>
    <x v="8"/>
    <x v="82"/>
  </r>
  <r>
    <x v="27"/>
    <x v="15"/>
    <x v="83"/>
  </r>
  <r>
    <x v="27"/>
    <x v="8"/>
    <x v="84"/>
  </r>
  <r>
    <x v="28"/>
    <x v="2"/>
    <x v="85"/>
  </r>
  <r>
    <x v="28"/>
    <x v="3"/>
    <x v="86"/>
  </r>
  <r>
    <x v="28"/>
    <x v="5"/>
    <x v="87"/>
  </r>
  <r>
    <x v="28"/>
    <x v="9"/>
    <x v="88"/>
  </r>
  <r>
    <x v="28"/>
    <x v="8"/>
    <x v="11"/>
  </r>
  <r>
    <x v="29"/>
    <x v="2"/>
    <x v="89"/>
  </r>
  <r>
    <x v="30"/>
    <x v="1"/>
    <x v="90"/>
  </r>
  <r>
    <x v="30"/>
    <x v="2"/>
    <x v="30"/>
  </r>
  <r>
    <x v="30"/>
    <x v="3"/>
    <x v="91"/>
  </r>
  <r>
    <x v="30"/>
    <x v="4"/>
    <x v="92"/>
  </r>
  <r>
    <x v="30"/>
    <x v="5"/>
    <x v="93"/>
  </r>
  <r>
    <x v="30"/>
    <x v="9"/>
    <x v="94"/>
  </r>
  <r>
    <x v="31"/>
    <x v="2"/>
    <x v="29"/>
  </r>
  <r>
    <x v="31"/>
    <x v="5"/>
    <x v="95"/>
  </r>
  <r>
    <x v="31"/>
    <x v="16"/>
    <x v="96"/>
  </r>
  <r>
    <x v="31"/>
    <x v="9"/>
    <x v="97"/>
  </r>
  <r>
    <x v="32"/>
    <x v="2"/>
    <x v="98"/>
  </r>
  <r>
    <x v="33"/>
    <x v="2"/>
    <x v="29"/>
  </r>
  <r>
    <x v="33"/>
    <x v="8"/>
    <x v="99"/>
  </r>
  <r>
    <x v="34"/>
    <x v="3"/>
    <x v="100"/>
  </r>
  <r>
    <x v="34"/>
    <x v="4"/>
    <x v="101"/>
  </r>
  <r>
    <x v="34"/>
    <x v="5"/>
    <x v="50"/>
  </r>
  <r>
    <x v="34"/>
    <x v="15"/>
    <x v="102"/>
  </r>
  <r>
    <x v="34"/>
    <x v="9"/>
    <x v="103"/>
  </r>
  <r>
    <x v="34"/>
    <x v="8"/>
    <x v="104"/>
  </r>
  <r>
    <x v="35"/>
    <x v="2"/>
    <x v="105"/>
  </r>
  <r>
    <x v="35"/>
    <x v="3"/>
    <x v="106"/>
  </r>
  <r>
    <x v="35"/>
    <x v="5"/>
    <x v="107"/>
  </r>
  <r>
    <x v="35"/>
    <x v="15"/>
    <x v="108"/>
  </r>
  <r>
    <x v="35"/>
    <x v="9"/>
    <x v="109"/>
  </r>
  <r>
    <x v="35"/>
    <x v="8"/>
    <x v="104"/>
  </r>
  <r>
    <x v="36"/>
    <x v="2"/>
    <x v="110"/>
  </r>
  <r>
    <x v="36"/>
    <x v="3"/>
    <x v="111"/>
  </r>
  <r>
    <x v="36"/>
    <x v="4"/>
    <x v="103"/>
  </r>
  <r>
    <x v="36"/>
    <x v="5"/>
    <x v="112"/>
  </r>
  <r>
    <x v="36"/>
    <x v="9"/>
    <x v="113"/>
  </r>
  <r>
    <x v="36"/>
    <x v="8"/>
    <x v="114"/>
  </r>
  <r>
    <x v="37"/>
    <x v="2"/>
    <x v="14"/>
  </r>
  <r>
    <x v="37"/>
    <x v="12"/>
    <x v="115"/>
  </r>
  <r>
    <x v="37"/>
    <x v="8"/>
    <x v="116"/>
  </r>
  <r>
    <x v="38"/>
    <x v="3"/>
    <x v="117"/>
  </r>
  <r>
    <x v="38"/>
    <x v="5"/>
    <x v="118"/>
  </r>
  <r>
    <x v="39"/>
    <x v="2"/>
    <x v="105"/>
  </r>
  <r>
    <x v="39"/>
    <x v="5"/>
    <x v="119"/>
  </r>
  <r>
    <x v="39"/>
    <x v="8"/>
    <x v="120"/>
  </r>
  <r>
    <x v="40"/>
    <x v="5"/>
    <x v="121"/>
  </r>
  <r>
    <x v="41"/>
    <x v="0"/>
    <x v="122"/>
  </r>
  <r>
    <x v="41"/>
    <x v="1"/>
    <x v="123"/>
  </r>
  <r>
    <x v="41"/>
    <x v="2"/>
    <x v="124"/>
  </r>
  <r>
    <x v="41"/>
    <x v="3"/>
    <x v="125"/>
  </r>
  <r>
    <x v="41"/>
    <x v="4"/>
    <x v="126"/>
  </r>
  <r>
    <x v="41"/>
    <x v="5"/>
    <x v="127"/>
  </r>
  <r>
    <x v="41"/>
    <x v="9"/>
    <x v="128"/>
  </r>
  <r>
    <x v="42"/>
    <x v="5"/>
    <x v="129"/>
  </r>
  <r>
    <x v="42"/>
    <x v="8"/>
    <x v="130"/>
  </r>
  <r>
    <x v="43"/>
    <x v="5"/>
    <x v="131"/>
  </r>
  <r>
    <x v="44"/>
    <x v="11"/>
    <x v="28"/>
  </r>
  <r>
    <x v="44"/>
    <x v="13"/>
    <x v="132"/>
  </r>
  <r>
    <x v="44"/>
    <x v="0"/>
    <x v="133"/>
  </r>
  <r>
    <x v="44"/>
    <x v="4"/>
    <x v="134"/>
  </r>
  <r>
    <x v="44"/>
    <x v="5"/>
    <x v="135"/>
  </r>
  <r>
    <x v="44"/>
    <x v="16"/>
    <x v="136"/>
  </r>
  <r>
    <x v="44"/>
    <x v="9"/>
    <x v="137"/>
  </r>
  <r>
    <x v="44"/>
    <x v="8"/>
    <x v="138"/>
  </r>
  <r>
    <x v="45"/>
    <x v="6"/>
    <x v="74"/>
  </r>
  <r>
    <x v="45"/>
    <x v="1"/>
    <x v="139"/>
  </r>
  <r>
    <x v="45"/>
    <x v="2"/>
    <x v="89"/>
  </r>
  <r>
    <x v="45"/>
    <x v="5"/>
    <x v="140"/>
  </r>
  <r>
    <x v="45"/>
    <x v="15"/>
    <x v="141"/>
  </r>
  <r>
    <x v="45"/>
    <x v="9"/>
    <x v="142"/>
  </r>
  <r>
    <x v="45"/>
    <x v="8"/>
    <x v="143"/>
  </r>
  <r>
    <x v="46"/>
    <x v="0"/>
    <x v="144"/>
  </r>
  <r>
    <x v="47"/>
    <x v="5"/>
    <x v="139"/>
  </r>
  <r>
    <x v="47"/>
    <x v="8"/>
    <x v="145"/>
  </r>
  <r>
    <x v="48"/>
    <x v="7"/>
    <x v="23"/>
  </r>
  <r>
    <x v="48"/>
    <x v="1"/>
    <x v="146"/>
  </r>
  <r>
    <x v="48"/>
    <x v="2"/>
    <x v="89"/>
  </r>
  <r>
    <x v="48"/>
    <x v="3"/>
    <x v="147"/>
  </r>
  <r>
    <x v="48"/>
    <x v="5"/>
    <x v="148"/>
  </r>
  <r>
    <x v="48"/>
    <x v="8"/>
    <x v="149"/>
  </r>
  <r>
    <x v="49"/>
    <x v="14"/>
    <x v="150"/>
  </r>
  <r>
    <x v="49"/>
    <x v="5"/>
    <x v="149"/>
  </r>
  <r>
    <x v="49"/>
    <x v="15"/>
    <x v="151"/>
  </r>
  <r>
    <x v="49"/>
    <x v="8"/>
    <x v="152"/>
  </r>
  <r>
    <x v="50"/>
    <x v="4"/>
    <x v="153"/>
  </r>
  <r>
    <x v="50"/>
    <x v="5"/>
    <x v="154"/>
  </r>
  <r>
    <x v="50"/>
    <x v="15"/>
    <x v="155"/>
  </r>
  <r>
    <x v="50"/>
    <x v="8"/>
    <x v="156"/>
  </r>
  <r>
    <x v="51"/>
    <x v="1"/>
    <x v="157"/>
  </r>
  <r>
    <x v="51"/>
    <x v="3"/>
    <x v="158"/>
  </r>
  <r>
    <x v="51"/>
    <x v="5"/>
    <x v="159"/>
  </r>
  <r>
    <x v="51"/>
    <x v="8"/>
    <x v="160"/>
  </r>
  <r>
    <x v="52"/>
    <x v="2"/>
    <x v="161"/>
  </r>
  <r>
    <x v="52"/>
    <x v="3"/>
    <x v="162"/>
  </r>
  <r>
    <x v="52"/>
    <x v="15"/>
    <x v="163"/>
  </r>
  <r>
    <x v="52"/>
    <x v="8"/>
    <x v="164"/>
  </r>
  <r>
    <x v="53"/>
    <x v="2"/>
    <x v="78"/>
  </r>
  <r>
    <x v="53"/>
    <x v="4"/>
    <x v="165"/>
  </r>
  <r>
    <x v="53"/>
    <x v="5"/>
    <x v="166"/>
  </r>
  <r>
    <x v="53"/>
    <x v="8"/>
    <x v="167"/>
  </r>
  <r>
    <x v="54"/>
    <x v="4"/>
    <x v="168"/>
  </r>
  <r>
    <x v="55"/>
    <x v="0"/>
    <x v="169"/>
  </r>
  <r>
    <x v="55"/>
    <x v="1"/>
    <x v="170"/>
  </r>
  <r>
    <x v="55"/>
    <x v="2"/>
    <x v="171"/>
  </r>
  <r>
    <x v="55"/>
    <x v="3"/>
    <x v="172"/>
  </r>
  <r>
    <x v="55"/>
    <x v="5"/>
    <x v="173"/>
  </r>
  <r>
    <x v="55"/>
    <x v="9"/>
    <x v="174"/>
  </r>
  <r>
    <x v="55"/>
    <x v="8"/>
    <x v="149"/>
  </r>
  <r>
    <x v="56"/>
    <x v="2"/>
    <x v="146"/>
  </r>
  <r>
    <x v="56"/>
    <x v="5"/>
    <x v="175"/>
  </r>
  <r>
    <x v="57"/>
    <x v="8"/>
    <x v="98"/>
  </r>
  <r>
    <x v="58"/>
    <x v="1"/>
    <x v="176"/>
  </r>
  <r>
    <x v="58"/>
    <x v="2"/>
    <x v="177"/>
  </r>
  <r>
    <x v="58"/>
    <x v="3"/>
    <x v="154"/>
  </r>
  <r>
    <x v="58"/>
    <x v="4"/>
    <x v="178"/>
  </r>
  <r>
    <x v="58"/>
    <x v="5"/>
    <x v="179"/>
  </r>
  <r>
    <x v="59"/>
    <x v="5"/>
    <x v="180"/>
  </r>
  <r>
    <x v="59"/>
    <x v="9"/>
    <x v="181"/>
  </r>
  <r>
    <x v="59"/>
    <x v="8"/>
    <x v="182"/>
  </r>
  <r>
    <x v="60"/>
    <x v="7"/>
    <x v="23"/>
  </r>
  <r>
    <x v="60"/>
    <x v="0"/>
    <x v="183"/>
  </r>
  <r>
    <x v="60"/>
    <x v="1"/>
    <x v="184"/>
  </r>
  <r>
    <x v="60"/>
    <x v="2"/>
    <x v="185"/>
  </r>
  <r>
    <x v="60"/>
    <x v="3"/>
    <x v="135"/>
  </r>
  <r>
    <x v="60"/>
    <x v="5"/>
    <x v="186"/>
  </r>
  <r>
    <x v="60"/>
    <x v="9"/>
    <x v="187"/>
  </r>
  <r>
    <x v="61"/>
    <x v="2"/>
    <x v="14"/>
  </r>
  <r>
    <x v="61"/>
    <x v="16"/>
    <x v="188"/>
  </r>
  <r>
    <x v="61"/>
    <x v="8"/>
    <x v="189"/>
  </r>
  <r>
    <x v="62"/>
    <x v="8"/>
    <x v="190"/>
  </r>
  <r>
    <x v="63"/>
    <x v="0"/>
    <x v="191"/>
  </r>
  <r>
    <x v="63"/>
    <x v="2"/>
    <x v="110"/>
  </r>
  <r>
    <x v="63"/>
    <x v="3"/>
    <x v="192"/>
  </r>
  <r>
    <x v="63"/>
    <x v="5"/>
    <x v="193"/>
  </r>
  <r>
    <x v="63"/>
    <x v="9"/>
    <x v="194"/>
  </r>
  <r>
    <x v="64"/>
    <x v="3"/>
    <x v="195"/>
  </r>
  <r>
    <x v="64"/>
    <x v="5"/>
    <x v="196"/>
  </r>
  <r>
    <x v="64"/>
    <x v="12"/>
    <x v="197"/>
  </r>
  <r>
    <x v="64"/>
    <x v="8"/>
    <x v="198"/>
  </r>
  <r>
    <x v="65"/>
    <x v="4"/>
    <x v="137"/>
  </r>
  <r>
    <x v="65"/>
    <x v="5"/>
    <x v="199"/>
  </r>
  <r>
    <x v="65"/>
    <x v="9"/>
    <x v="128"/>
  </r>
  <r>
    <x v="65"/>
    <x v="8"/>
    <x v="190"/>
  </r>
  <r>
    <x v="66"/>
    <x v="2"/>
    <x v="200"/>
  </r>
  <r>
    <x v="66"/>
    <x v="5"/>
    <x v="201"/>
  </r>
  <r>
    <x v="66"/>
    <x v="8"/>
    <x v="202"/>
  </r>
  <r>
    <x v="67"/>
    <x v="3"/>
    <x v="203"/>
  </r>
  <r>
    <x v="67"/>
    <x v="5"/>
    <x v="204"/>
  </r>
  <r>
    <x v="68"/>
    <x v="3"/>
    <x v="36"/>
  </r>
  <r>
    <x v="69"/>
    <x v="0"/>
    <x v="205"/>
  </r>
  <r>
    <x v="69"/>
    <x v="1"/>
    <x v="206"/>
  </r>
  <r>
    <x v="69"/>
    <x v="2"/>
    <x v="207"/>
  </r>
  <r>
    <x v="69"/>
    <x v="4"/>
    <x v="208"/>
  </r>
  <r>
    <x v="69"/>
    <x v="5"/>
    <x v="209"/>
  </r>
  <r>
    <x v="69"/>
    <x v="9"/>
    <x v="210"/>
  </r>
  <r>
    <x v="69"/>
    <x v="8"/>
    <x v="211"/>
  </r>
  <r>
    <x v="70"/>
    <x v="10"/>
    <x v="212"/>
  </r>
  <r>
    <x v="70"/>
    <x v="0"/>
    <x v="213"/>
  </r>
  <r>
    <x v="70"/>
    <x v="4"/>
    <x v="214"/>
  </r>
  <r>
    <x v="70"/>
    <x v="5"/>
    <x v="215"/>
  </r>
  <r>
    <x v="70"/>
    <x v="8"/>
    <x v="156"/>
  </r>
  <r>
    <x v="71"/>
    <x v="11"/>
    <x v="216"/>
  </r>
  <r>
    <x v="71"/>
    <x v="13"/>
    <x v="217"/>
  </r>
  <r>
    <x v="71"/>
    <x v="2"/>
    <x v="218"/>
  </r>
  <r>
    <x v="71"/>
    <x v="5"/>
    <x v="219"/>
  </r>
  <r>
    <x v="71"/>
    <x v="8"/>
    <x v="220"/>
  </r>
  <r>
    <x v="72"/>
    <x v="6"/>
    <x v="221"/>
  </r>
  <r>
    <x v="72"/>
    <x v="2"/>
    <x v="222"/>
  </r>
  <r>
    <x v="72"/>
    <x v="3"/>
    <x v="223"/>
  </r>
  <r>
    <x v="72"/>
    <x v="5"/>
    <x v="224"/>
  </r>
  <r>
    <x v="72"/>
    <x v="8"/>
    <x v="225"/>
  </r>
  <r>
    <x v="73"/>
    <x v="5"/>
    <x v="226"/>
  </r>
  <r>
    <x v="73"/>
    <x v="8"/>
    <x v="149"/>
  </r>
  <r>
    <x v="74"/>
    <x v="8"/>
    <x v="227"/>
  </r>
  <r>
    <x v="75"/>
    <x v="1"/>
    <x v="228"/>
  </r>
  <r>
    <x v="75"/>
    <x v="2"/>
    <x v="229"/>
  </r>
  <r>
    <x v="75"/>
    <x v="4"/>
    <x v="0"/>
  </r>
  <r>
    <x v="75"/>
    <x v="5"/>
    <x v="230"/>
  </r>
  <r>
    <x v="75"/>
    <x v="15"/>
    <x v="231"/>
  </r>
  <r>
    <x v="75"/>
    <x v="9"/>
    <x v="232"/>
  </r>
  <r>
    <x v="76"/>
    <x v="7"/>
    <x v="23"/>
  </r>
  <r>
    <x v="76"/>
    <x v="0"/>
    <x v="233"/>
  </r>
  <r>
    <x v="76"/>
    <x v="5"/>
    <x v="234"/>
  </r>
  <r>
    <x v="77"/>
    <x v="0"/>
    <x v="235"/>
  </r>
  <r>
    <x v="77"/>
    <x v="1"/>
    <x v="24"/>
  </r>
  <r>
    <x v="77"/>
    <x v="3"/>
    <x v="236"/>
  </r>
  <r>
    <x v="77"/>
    <x v="5"/>
    <x v="237"/>
  </r>
  <r>
    <x v="77"/>
    <x v="15"/>
    <x v="238"/>
  </r>
  <r>
    <x v="77"/>
    <x v="9"/>
    <x v="239"/>
  </r>
  <r>
    <x v="77"/>
    <x v="8"/>
    <x v="240"/>
  </r>
  <r>
    <x v="78"/>
    <x v="5"/>
    <x v="220"/>
  </r>
  <r>
    <x v="78"/>
    <x v="15"/>
    <x v="241"/>
  </r>
  <r>
    <x v="79"/>
    <x v="14"/>
    <x v="242"/>
  </r>
  <r>
    <x v="79"/>
    <x v="0"/>
    <x v="243"/>
  </r>
  <r>
    <x v="79"/>
    <x v="3"/>
    <x v="244"/>
  </r>
  <r>
    <x v="79"/>
    <x v="5"/>
    <x v="245"/>
  </r>
  <r>
    <x v="79"/>
    <x v="8"/>
    <x v="149"/>
  </r>
  <r>
    <x v="80"/>
    <x v="2"/>
    <x v="7"/>
  </r>
  <r>
    <x v="80"/>
    <x v="5"/>
    <x v="215"/>
  </r>
  <r>
    <x v="80"/>
    <x v="8"/>
    <x v="246"/>
  </r>
  <r>
    <x v="81"/>
    <x v="0"/>
    <x v="247"/>
  </r>
  <r>
    <x v="81"/>
    <x v="1"/>
    <x v="248"/>
  </r>
  <r>
    <x v="81"/>
    <x v="2"/>
    <x v="249"/>
  </r>
  <r>
    <x v="81"/>
    <x v="3"/>
    <x v="250"/>
  </r>
  <r>
    <x v="81"/>
    <x v="4"/>
    <x v="251"/>
  </r>
  <r>
    <x v="81"/>
    <x v="5"/>
    <x v="252"/>
  </r>
  <r>
    <x v="81"/>
    <x v="16"/>
    <x v="11"/>
  </r>
  <r>
    <x v="81"/>
    <x v="9"/>
    <x v="253"/>
  </r>
  <r>
    <x v="81"/>
    <x v="8"/>
    <x v="254"/>
  </r>
  <r>
    <x v="82"/>
    <x v="1"/>
    <x v="255"/>
  </r>
  <r>
    <x v="82"/>
    <x v="2"/>
    <x v="256"/>
  </r>
  <r>
    <x v="82"/>
    <x v="5"/>
    <x v="257"/>
  </r>
  <r>
    <x v="82"/>
    <x v="15"/>
    <x v="258"/>
  </r>
  <r>
    <x v="82"/>
    <x v="9"/>
    <x v="259"/>
  </r>
  <r>
    <x v="83"/>
    <x v="2"/>
    <x v="14"/>
  </r>
  <r>
    <x v="83"/>
    <x v="15"/>
    <x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EC15-11A8-4222-B182-BACB7DB7061E}" name="Monthly Expens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5" rowHeaderCaption="Monthly Expenses" fieldListSortAscending="1">
  <location ref="A3:B20" firstHeaderRow="1" firstDataRow="1" firstDataCol="1"/>
  <pivotFields count="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multipleItemSelectionAllowed="1" showAll="0">
      <items count="18">
        <item x="2"/>
        <item x="11"/>
        <item x="16"/>
        <item x="0"/>
        <item x="7"/>
        <item x="10"/>
        <item x="4"/>
        <item x="12"/>
        <item x="14"/>
        <item x="9"/>
        <item x="1"/>
        <item x="15"/>
        <item h="1" x="8"/>
        <item x="5"/>
        <item x="13"/>
        <item x="3"/>
        <item x="6"/>
        <item t="default"/>
      </items>
    </pivotField>
    <pivotField dataField="1" showAll="0" avgSubtotal="1">
      <items count="262">
        <item x="223"/>
        <item x="43"/>
        <item x="57"/>
        <item x="156"/>
        <item x="155"/>
        <item x="249"/>
        <item x="83"/>
        <item x="101"/>
        <item x="27"/>
        <item x="220"/>
        <item x="222"/>
        <item x="117"/>
        <item x="4"/>
        <item x="165"/>
        <item x="44"/>
        <item x="64"/>
        <item x="59"/>
        <item x="192"/>
        <item x="244"/>
        <item x="105"/>
        <item x="110"/>
        <item x="63"/>
        <item x="210"/>
        <item x="134"/>
        <item x="157"/>
        <item x="106"/>
        <item x="25"/>
        <item x="147"/>
        <item x="191"/>
        <item x="138"/>
        <item x="144"/>
        <item x="0"/>
        <item x="85"/>
        <item x="30"/>
        <item x="78"/>
        <item x="251"/>
        <item x="146"/>
        <item x="200"/>
        <item x="31"/>
        <item x="177"/>
        <item x="2"/>
        <item x="213"/>
        <item x="236"/>
        <item x="208"/>
        <item x="24"/>
        <item x="188"/>
        <item x="207"/>
        <item x="42"/>
        <item x="14"/>
        <item x="111"/>
        <item x="256"/>
        <item x="183"/>
        <item x="137"/>
        <item x="235"/>
        <item x="135"/>
        <item x="211"/>
        <item x="215"/>
        <item x="154"/>
        <item x="214"/>
        <item x="153"/>
        <item x="226"/>
        <item x="204"/>
        <item x="1"/>
        <item x="23"/>
        <item x="206"/>
        <item x="29"/>
        <item x="139"/>
        <item x="176"/>
        <item x="10"/>
        <item x="243"/>
        <item x="103"/>
        <item x="129"/>
        <item x="161"/>
        <item x="95"/>
        <item x="148"/>
        <item x="252"/>
        <item x="175"/>
        <item x="122"/>
        <item x="53"/>
        <item x="171"/>
        <item x="168"/>
        <item x="56"/>
        <item x="7"/>
        <item x="185"/>
        <item x="48"/>
        <item x="209"/>
        <item x="239"/>
        <item x="89"/>
        <item x="245"/>
        <item x="8"/>
        <item x="133"/>
        <item x="218"/>
        <item x="34"/>
        <item x="90"/>
        <item x="198"/>
        <item x="229"/>
        <item x="60"/>
        <item x="124"/>
        <item x="195"/>
        <item x="255"/>
        <item x="36"/>
        <item x="109"/>
        <item x="259"/>
        <item x="178"/>
        <item x="62"/>
        <item x="199"/>
        <item x="119"/>
        <item x="92"/>
        <item x="38"/>
        <item x="61"/>
        <item x="113"/>
        <item x="187"/>
        <item x="21"/>
        <item x="237"/>
        <item x="9"/>
        <item x="186"/>
        <item x="202"/>
        <item x="172"/>
        <item x="142"/>
        <item x="17"/>
        <item x="181"/>
        <item x="228"/>
        <item x="88"/>
        <item x="136"/>
        <item x="158"/>
        <item x="13"/>
        <item x="52"/>
        <item x="3"/>
        <item x="233"/>
        <item x="80"/>
        <item x="174"/>
        <item x="86"/>
        <item x="118"/>
        <item x="26"/>
        <item x="50"/>
        <item x="128"/>
        <item x="253"/>
        <item x="166"/>
        <item x="51"/>
        <item x="248"/>
        <item x="162"/>
        <item x="125"/>
        <item x="247"/>
        <item x="224"/>
        <item x="91"/>
        <item x="98"/>
        <item x="241"/>
        <item x="180"/>
        <item x="39"/>
        <item x="32"/>
        <item x="145"/>
        <item x="15"/>
        <item x="169"/>
        <item x="97"/>
        <item x="182"/>
        <item x="99"/>
        <item x="203"/>
        <item x="75"/>
        <item x="45"/>
        <item x="184"/>
        <item x="126"/>
        <item x="205"/>
        <item x="100"/>
        <item x="47"/>
        <item x="238"/>
        <item x="81"/>
        <item x="33"/>
        <item x="76"/>
        <item x="16"/>
        <item x="196"/>
        <item x="40"/>
        <item x="250"/>
        <item x="150"/>
        <item x="68"/>
        <item x="58"/>
        <item x="94"/>
        <item x="96"/>
        <item x="193"/>
        <item x="120"/>
        <item x="55"/>
        <item x="123"/>
        <item x="130"/>
        <item x="260"/>
        <item x="159"/>
        <item x="84"/>
        <item x="242"/>
        <item x="194"/>
        <item x="112"/>
        <item x="79"/>
        <item x="232"/>
        <item x="73"/>
        <item x="19"/>
        <item x="149"/>
        <item x="114"/>
        <item x="170"/>
        <item x="77"/>
        <item x="12"/>
        <item x="212"/>
        <item x="107"/>
        <item x="221"/>
        <item x="179"/>
        <item x="231"/>
        <item x="141"/>
        <item x="121"/>
        <item x="87"/>
        <item x="258"/>
        <item x="18"/>
        <item x="5"/>
        <item x="6"/>
        <item x="240"/>
        <item x="151"/>
        <item x="219"/>
        <item x="217"/>
        <item x="93"/>
        <item x="20"/>
        <item x="140"/>
        <item x="127"/>
        <item x="65"/>
        <item x="257"/>
        <item x="173"/>
        <item x="67"/>
        <item x="108"/>
        <item x="28"/>
        <item x="216"/>
        <item x="72"/>
        <item x="11"/>
        <item x="131"/>
        <item x="132"/>
        <item x="66"/>
        <item x="201"/>
        <item x="225"/>
        <item x="104"/>
        <item x="54"/>
        <item x="35"/>
        <item x="246"/>
        <item x="143"/>
        <item x="49"/>
        <item x="152"/>
        <item x="46"/>
        <item x="74"/>
        <item x="254"/>
        <item x="227"/>
        <item x="41"/>
        <item x="189"/>
        <item x="163"/>
        <item x="234"/>
        <item x="115"/>
        <item x="164"/>
        <item x="197"/>
        <item x="37"/>
        <item x="82"/>
        <item x="102"/>
        <item x="160"/>
        <item x="71"/>
        <item x="70"/>
        <item x="230"/>
        <item x="167"/>
        <item x="69"/>
        <item x="190"/>
        <item x="22"/>
        <item x="116"/>
        <item t="avg"/>
      </items>
    </pivotField>
    <pivotField axis="axisRow" showAll="0" sortType="descending">
      <items count="15">
        <item h="1" x="13"/>
        <item h="1" x="0"/>
        <item h="1" x="12"/>
        <item h="1" x="11"/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t="default"/>
      </items>
    </pivotField>
  </pivotFields>
  <rowFields count="2">
    <field x="3"/>
    <field x="1"/>
  </rowFields>
  <rowItems count="17"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Total Costs" fld="2" baseField="0" baseItem="0"/>
  </dataFields>
  <formats count="1">
    <format dxfId="4">
      <pivotArea dataOnly="0" labelOnly="1" outline="0" axis="axisValues" fieldPosition="0"/>
    </format>
  </formats>
  <chartFormats count="5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6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6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6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6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6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6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6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6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6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6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6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</references>
      </pivotArea>
    </chartFormat>
    <chartFormat chart="36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36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</references>
      </pivotArea>
    </chartFormat>
    <chartFormat chart="36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</references>
      </pivotArea>
    </chartFormat>
    <chartFormat chart="36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</references>
      </pivotArea>
    </chartFormat>
    <chartFormat chart="36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7"/>
          </reference>
        </references>
      </pivotArea>
    </chartFormat>
    <chartFormat chart="36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</references>
      </pivotArea>
    </chartFormat>
    <chartFormat chart="36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7"/>
          </reference>
        </references>
      </pivotArea>
    </chartFormat>
    <chartFormat chart="36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</references>
      </pivotArea>
    </chartFormat>
    <chartFormat chart="36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7"/>
          </reference>
        </references>
      </pivotArea>
    </chartFormat>
    <chartFormat chart="36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</references>
      </pivotArea>
    </chartFormat>
    <chartFormat chart="36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7"/>
          </reference>
        </references>
      </pivotArea>
    </chartFormat>
    <chartFormat chart="36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7"/>
          </reference>
        </references>
      </pivotArea>
    </chartFormat>
    <chartFormat chart="36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</references>
      </pivotArea>
    </chartFormat>
    <chartFormat chart="36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7"/>
          </reference>
        </references>
      </pivotArea>
    </chartFormat>
    <chartFormat chart="36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</references>
      </pivotArea>
    </chartFormat>
    <chartFormat chart="37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</references>
      </pivotArea>
    </chartFormat>
    <chartFormat chart="37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37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</references>
      </pivotArea>
    </chartFormat>
    <chartFormat chart="37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</references>
      </pivotArea>
    </chartFormat>
    <chartFormat chart="37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</references>
      </pivotArea>
    </chartFormat>
    <chartFormat chart="37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7"/>
          </reference>
        </references>
      </pivotArea>
    </chartFormat>
    <chartFormat chart="37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</references>
      </pivotArea>
    </chartFormat>
    <chartFormat chart="37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7"/>
          </reference>
        </references>
      </pivotArea>
    </chartFormat>
    <chartFormat chart="37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</references>
      </pivotArea>
    </chartFormat>
    <chartFormat chart="37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7"/>
          </reference>
        </references>
      </pivotArea>
    </chartFormat>
    <chartFormat chart="37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</references>
      </pivotArea>
    </chartFormat>
    <chartFormat chart="37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7"/>
          </reference>
        </references>
      </pivotArea>
    </chartFormat>
    <chartFormat chart="37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7"/>
          </reference>
        </references>
      </pivotArea>
    </chartFormat>
    <chartFormat chart="37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</references>
      </pivotArea>
    </chartFormat>
    <chartFormat chart="37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7"/>
          </reference>
        </references>
      </pivotArea>
    </chartFormat>
    <chartFormat chart="37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3AF4E-67D3-4C4A-9213-CAA10B54F576}" name="Cost Evolution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Date" fieldListSortAscending="1">
  <location ref="A3:B29" firstHeaderRow="1" firstDataRow="1" firstDataCol="1" rowPageCount="1" colPageCount="1"/>
  <pivotFields count="4"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name="Items" axis="axisPage" multipleItemSelectionAllowed="1" showAll="0" defaultSubtotal="0">
      <items count="17">
        <item x="2"/>
        <item x="11"/>
        <item x="16"/>
        <item x="0"/>
        <item x="7"/>
        <item x="10"/>
        <item x="4"/>
        <item x="12"/>
        <item x="14"/>
        <item x="9"/>
        <item x="1"/>
        <item x="15"/>
        <item h="1" x="8"/>
        <item x="5"/>
        <item x="13"/>
        <item x="3"/>
        <item x="6"/>
      </items>
    </pivotField>
    <pivotField dataField="1" showAll="0" avgSubtotal="1">
      <items count="262">
        <item x="223"/>
        <item x="43"/>
        <item x="57"/>
        <item x="156"/>
        <item x="155"/>
        <item x="249"/>
        <item x="83"/>
        <item x="101"/>
        <item x="27"/>
        <item x="220"/>
        <item x="222"/>
        <item x="117"/>
        <item x="4"/>
        <item x="165"/>
        <item x="44"/>
        <item x="64"/>
        <item x="59"/>
        <item x="192"/>
        <item x="244"/>
        <item x="105"/>
        <item x="110"/>
        <item x="63"/>
        <item x="210"/>
        <item x="134"/>
        <item x="157"/>
        <item x="106"/>
        <item x="25"/>
        <item x="147"/>
        <item x="191"/>
        <item x="138"/>
        <item x="144"/>
        <item x="0"/>
        <item x="85"/>
        <item x="30"/>
        <item x="78"/>
        <item x="251"/>
        <item x="146"/>
        <item x="200"/>
        <item x="31"/>
        <item x="177"/>
        <item x="2"/>
        <item x="213"/>
        <item x="236"/>
        <item x="208"/>
        <item x="24"/>
        <item x="188"/>
        <item x="207"/>
        <item x="42"/>
        <item x="14"/>
        <item x="111"/>
        <item x="256"/>
        <item x="183"/>
        <item x="137"/>
        <item x="235"/>
        <item x="135"/>
        <item x="211"/>
        <item x="215"/>
        <item x="154"/>
        <item x="214"/>
        <item x="153"/>
        <item x="226"/>
        <item x="204"/>
        <item x="1"/>
        <item x="23"/>
        <item x="206"/>
        <item x="29"/>
        <item x="139"/>
        <item x="176"/>
        <item x="10"/>
        <item x="243"/>
        <item x="103"/>
        <item x="129"/>
        <item x="161"/>
        <item x="95"/>
        <item x="148"/>
        <item x="252"/>
        <item x="175"/>
        <item x="122"/>
        <item x="53"/>
        <item x="171"/>
        <item x="168"/>
        <item x="56"/>
        <item x="7"/>
        <item x="185"/>
        <item x="48"/>
        <item x="209"/>
        <item x="239"/>
        <item x="89"/>
        <item x="245"/>
        <item x="8"/>
        <item x="133"/>
        <item x="218"/>
        <item x="34"/>
        <item x="90"/>
        <item x="198"/>
        <item x="229"/>
        <item x="60"/>
        <item x="124"/>
        <item x="195"/>
        <item x="255"/>
        <item x="36"/>
        <item x="109"/>
        <item x="259"/>
        <item x="178"/>
        <item x="62"/>
        <item x="199"/>
        <item x="119"/>
        <item x="92"/>
        <item x="38"/>
        <item x="61"/>
        <item x="113"/>
        <item x="187"/>
        <item x="21"/>
        <item x="237"/>
        <item x="9"/>
        <item x="186"/>
        <item x="202"/>
        <item x="172"/>
        <item x="142"/>
        <item x="17"/>
        <item x="181"/>
        <item x="228"/>
        <item x="88"/>
        <item x="136"/>
        <item x="158"/>
        <item x="13"/>
        <item x="52"/>
        <item x="3"/>
        <item x="233"/>
        <item x="80"/>
        <item x="174"/>
        <item x="86"/>
        <item x="118"/>
        <item x="26"/>
        <item x="50"/>
        <item x="128"/>
        <item x="253"/>
        <item x="166"/>
        <item x="51"/>
        <item x="248"/>
        <item x="162"/>
        <item x="125"/>
        <item x="247"/>
        <item x="224"/>
        <item x="91"/>
        <item x="98"/>
        <item x="241"/>
        <item x="180"/>
        <item x="39"/>
        <item x="32"/>
        <item x="145"/>
        <item x="15"/>
        <item x="169"/>
        <item x="97"/>
        <item x="182"/>
        <item x="99"/>
        <item x="203"/>
        <item x="75"/>
        <item x="45"/>
        <item x="184"/>
        <item x="126"/>
        <item x="205"/>
        <item x="100"/>
        <item x="47"/>
        <item x="238"/>
        <item x="81"/>
        <item x="33"/>
        <item x="76"/>
        <item x="16"/>
        <item x="196"/>
        <item x="40"/>
        <item x="250"/>
        <item x="150"/>
        <item x="68"/>
        <item x="58"/>
        <item x="94"/>
        <item x="96"/>
        <item x="193"/>
        <item x="120"/>
        <item x="55"/>
        <item x="123"/>
        <item x="130"/>
        <item x="260"/>
        <item x="159"/>
        <item x="84"/>
        <item x="242"/>
        <item x="194"/>
        <item x="112"/>
        <item x="79"/>
        <item x="232"/>
        <item x="73"/>
        <item x="19"/>
        <item x="149"/>
        <item x="114"/>
        <item x="170"/>
        <item x="77"/>
        <item x="12"/>
        <item x="212"/>
        <item x="107"/>
        <item x="221"/>
        <item x="179"/>
        <item x="231"/>
        <item x="141"/>
        <item x="121"/>
        <item x="87"/>
        <item x="258"/>
        <item x="18"/>
        <item x="5"/>
        <item x="6"/>
        <item x="240"/>
        <item x="151"/>
        <item x="219"/>
        <item x="217"/>
        <item x="93"/>
        <item x="20"/>
        <item x="140"/>
        <item x="127"/>
        <item x="65"/>
        <item x="257"/>
        <item x="173"/>
        <item x="67"/>
        <item x="108"/>
        <item x="28"/>
        <item x="216"/>
        <item x="72"/>
        <item x="11"/>
        <item x="131"/>
        <item x="132"/>
        <item x="66"/>
        <item x="201"/>
        <item x="225"/>
        <item x="104"/>
        <item x="54"/>
        <item x="35"/>
        <item x="246"/>
        <item x="143"/>
        <item x="49"/>
        <item x="152"/>
        <item x="46"/>
        <item x="74"/>
        <item x="254"/>
        <item x="227"/>
        <item x="41"/>
        <item x="189"/>
        <item x="163"/>
        <item x="234"/>
        <item x="115"/>
        <item x="164"/>
        <item x="197"/>
        <item x="37"/>
        <item x="82"/>
        <item x="102"/>
        <item x="160"/>
        <item x="71"/>
        <item x="70"/>
        <item x="230"/>
        <item x="167"/>
        <item x="69"/>
        <item x="190"/>
        <item x="22"/>
        <item x="116"/>
        <item t="avg"/>
      </items>
    </pivotField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26">
    <i>
      <x v="184"/>
    </i>
    <i>
      <x v="185"/>
    </i>
    <i>
      <x v="186"/>
    </i>
    <i>
      <x v="187"/>
    </i>
    <i>
      <x v="188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pageFields count="1">
    <pageField fld="1" hier="-1"/>
  </pageFields>
  <dataFields count="1">
    <dataField name="Sum of Value" fld="2" baseField="0" baseItem="205" numFmtId="4"/>
  </dataFields>
  <chartFormats count="1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ly" displayName="July" ref="A2:S34" totalsRowCount="1" headerRowDxfId="125">
  <autoFilter ref="A2:S33" xr:uid="{00000000-0009-0000-0100-000001000000}"/>
  <tableColumns count="19">
    <tableColumn id="1" xr3:uid="{00000000-0010-0000-0000-000001000000}" name="DATE" totalsRowLabel="TOTAL" dataDxfId="124" totalsRowDxfId="123"/>
    <tableColumn id="2" xr3:uid="{00000000-0010-0000-0000-000002000000}" name="CABLE &amp; INTERNET" totalsRowFunction="custom" dataDxfId="122" totalsRowDxfId="121">
      <totalsRowFormula>SUM(B3:B33)</totalsRowFormula>
    </tableColumn>
    <tableColumn id="3" xr3:uid="{00000000-0010-0000-0000-000003000000}" name="PHONE" totalsRowFunction="custom" dataDxfId="120" totalsRowDxfId="119">
      <totalsRowFormula>SUM(C3:C33)</totalsRowFormula>
    </tableColumn>
    <tableColumn id="4" xr3:uid="{00000000-0010-0000-0000-000004000000}" name="GAS" totalsRowFunction="custom" dataDxfId="118" totalsRowDxfId="117">
      <totalsRowFormula>SUM(D3:D33)</totalsRowFormula>
    </tableColumn>
    <tableColumn id="5" xr3:uid="{00000000-0010-0000-0000-000005000000}" name="ELECTRICITY" totalsRowFunction="custom" dataDxfId="116" totalsRowDxfId="115">
      <totalsRowFormula>SUM(E3:E33)</totalsRowFormula>
    </tableColumn>
    <tableColumn id="6" xr3:uid="{00000000-0010-0000-0000-000006000000}" name="WATER" totalsRowFunction="custom" dataDxfId="114" totalsRowDxfId="113">
      <totalsRowFormula>SUM(F3:F33)</totalsRowFormula>
    </tableColumn>
    <tableColumn id="7" xr3:uid="{00000000-0010-0000-0000-000007000000}" name="EGGS" totalsRowFunction="custom" dataDxfId="112" totalsRowDxfId="111">
      <totalsRowFormula>SUM(G3:G33)</totalsRowFormula>
    </tableColumn>
    <tableColumn id="8" xr3:uid="{00000000-0010-0000-0000-000008000000}" name="DAIRY" totalsRowFunction="custom" dataDxfId="110" totalsRowDxfId="109">
      <totalsRowFormula>SUM(H3:H33)</totalsRowFormula>
    </tableColumn>
    <tableColumn id="9" xr3:uid="{00000000-0010-0000-0000-000009000000}" name="MEAT" totalsRowFunction="custom" dataDxfId="108" totalsRowDxfId="107">
      <totalsRowFormula>SUM(I3:I33)</totalsRowFormula>
    </tableColumn>
    <tableColumn id="10" xr3:uid="{00000000-0010-0000-0000-00000A000000}" name="BREAD" totalsRowFunction="custom" dataDxfId="106" totalsRowDxfId="105">
      <totalsRowFormula>SUM(J3:J33)</totalsRowFormula>
    </tableColumn>
    <tableColumn id="15" xr3:uid="{00000000-0010-0000-0000-00000F000000}" name="VEGETABLES" totalsRowFunction="custom" dataDxfId="104" totalsRowDxfId="103">
      <totalsRowFormula>SUM(K3:K33)</totalsRowFormula>
    </tableColumn>
    <tableColumn id="16" xr3:uid="{00000000-0010-0000-0000-000010000000}" name="FRUITS" totalsRowFunction="custom" dataDxfId="102" totalsRowDxfId="101">
      <totalsRowFormula>SUM(L3:L33)</totalsRowFormula>
    </tableColumn>
    <tableColumn id="11" xr3:uid="{00000000-0010-0000-0000-00000B000000}" name="OTHER FOODS" totalsRowFunction="custom" dataDxfId="100" totalsRowDxfId="99">
      <totalsRowFormula>SUM(M3:M33)</totalsRowFormula>
    </tableColumn>
    <tableColumn id="17" xr3:uid="{00000000-0010-0000-0000-000011000000}" name="MEDICINE" totalsRowFunction="custom" dataDxfId="98" totalsRowDxfId="97">
      <totalsRowFormula>SUM(N3:N33)</totalsRowFormula>
    </tableColumn>
    <tableColumn id="12" xr3:uid="{00000000-0010-0000-0000-00000C000000}" name="CLOTHES" totalsRowFunction="custom" dataDxfId="96" totalsRowDxfId="95">
      <totalsRowFormula>SUM(O3:O33)</totalsRowFormula>
    </tableColumn>
    <tableColumn id="13" xr3:uid="{00000000-0010-0000-0000-00000D000000}" name="HYGIENE" totalsRowFunction="custom" dataDxfId="94" totalsRowDxfId="93">
      <totalsRowFormula>SUM(P3:P33)</totalsRowFormula>
    </tableColumn>
    <tableColumn id="19" xr3:uid="{00000000-0010-0000-0000-000013000000}" name="FUEL" totalsRowFunction="custom" dataDxfId="92" totalsRowDxfId="91">
      <totalsRowFormula>SUM(Q3:Q33)</totalsRowFormula>
    </tableColumn>
    <tableColumn id="14" xr3:uid="{00000000-0010-0000-0000-00000E000000}" name="OTHER COSTS" totalsRowFunction="custom" dataDxfId="90" totalsRowDxfId="89">
      <totalsRowFormula>SUM(R3:R33)</totalsRowFormula>
    </tableColumn>
    <tableColumn id="20" xr3:uid="{00000000-0010-0000-0000-000014000000}" name="TOTAL" totalsRowFunction="custom" dataDxfId="88" totalsRowDxfId="87">
      <calculatedColumnFormula>SUM(B3:R3)</calculatedColumnFormula>
      <totalsRowFormula>SUM(B34:R34)</totalsRowFormula>
    </tableColumn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4C52-BB26-4882-AC00-2D83C263F259}" name="August" displayName="August" ref="A2:S34" totalsRowCount="1" headerRowDxfId="86" dataDxfId="85" totalsRowDxfId="84">
  <autoFilter ref="A2:S33" xr:uid="{7D624C52-BB26-4882-AC00-2D83C263F2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65636EBE-DFD9-48AE-B8B0-966B80B89B6F}" name="DATE" totalsRowLabel="TOTAL" dataDxfId="83" totalsRowDxfId="82"/>
    <tableColumn id="2" xr3:uid="{C4737AE2-BEB3-470E-BAE8-8DCE2EFEBEEC}" name="CABLE &amp; INTERNET" totalsRowFunction="custom" dataDxfId="81" totalsRowDxfId="80">
      <totalsRowFormula>SUM(B3:B33)</totalsRowFormula>
    </tableColumn>
    <tableColumn id="3" xr3:uid="{4889688E-2C0A-4454-997A-AD234D0D89C0}" name="PHONE" totalsRowFunction="custom" dataDxfId="79" totalsRowDxfId="78">
      <totalsRowFormula>SUM(C3:C33)</totalsRowFormula>
    </tableColumn>
    <tableColumn id="4" xr3:uid="{C57C2EA2-DF03-43CF-BD96-F133517465B7}" name="GAS" totalsRowFunction="custom" dataDxfId="77" totalsRowDxfId="76">
      <totalsRowFormula>SUM(D3:D33)</totalsRowFormula>
    </tableColumn>
    <tableColumn id="5" xr3:uid="{7A13AFAF-141A-476D-A2C0-639AD2FCB4E0}" name="ELECTRICITY" totalsRowFunction="custom" dataDxfId="75" totalsRowDxfId="74">
      <totalsRowFormula>SUM(E3:E33)</totalsRowFormula>
    </tableColumn>
    <tableColumn id="6" xr3:uid="{2720EC0C-0F86-4C84-8147-70E5418BB307}" name="WATER" totalsRowFunction="custom" dataDxfId="73" totalsRowDxfId="72">
      <totalsRowFormula>SUM(F3:F33)</totalsRowFormula>
    </tableColumn>
    <tableColumn id="7" xr3:uid="{1721238D-5F1B-4AB3-8EB8-8C9B7086341A}" name="EGGS" totalsRowFunction="custom" dataDxfId="71" totalsRowDxfId="70">
      <totalsRowFormula>SUM(G3:G33)</totalsRowFormula>
    </tableColumn>
    <tableColumn id="8" xr3:uid="{94DDF130-1665-4F87-9F9F-05805B896591}" name="DAIRY" totalsRowFunction="custom" dataDxfId="69" totalsRowDxfId="68">
      <totalsRowFormula>SUM(H3:H33)</totalsRowFormula>
    </tableColumn>
    <tableColumn id="9" xr3:uid="{8184D726-4951-4F2C-98C7-79D5D19891A0}" name="MEAT" totalsRowFunction="custom" dataDxfId="67" totalsRowDxfId="66">
      <totalsRowFormula>SUM(I3:I33)</totalsRowFormula>
    </tableColumn>
    <tableColumn id="10" xr3:uid="{552AE06E-3171-47BC-AEAA-B05C50B3BDFB}" name="BREAD" totalsRowFunction="custom" dataDxfId="65" totalsRowDxfId="64">
      <totalsRowFormula>SUM(J3:J33)</totalsRowFormula>
    </tableColumn>
    <tableColumn id="15" xr3:uid="{B2C3CA44-ABAA-4D35-B5FE-964E6BA65D02}" name="VEGETABLES" totalsRowFunction="custom" dataDxfId="63" totalsRowDxfId="62">
      <totalsRowFormula>SUM(K3:K33)</totalsRowFormula>
    </tableColumn>
    <tableColumn id="16" xr3:uid="{C58AEBCC-6865-4997-B92E-B47CC52FFE3E}" name="FRUITS" totalsRowFunction="custom" dataDxfId="61" totalsRowDxfId="60">
      <totalsRowFormula>SUM(L3:L33)</totalsRowFormula>
    </tableColumn>
    <tableColumn id="11" xr3:uid="{498D6CC3-F969-4450-ADCC-2C852AC6AD3A}" name="OTHER FOODS" totalsRowFunction="custom" dataDxfId="59" totalsRowDxfId="58">
      <totalsRowFormula>SUM(M3:M33)</totalsRowFormula>
    </tableColumn>
    <tableColumn id="17" xr3:uid="{03BE896F-A02B-4D88-8371-E4EBF33C2423}" name="MEDICINE" totalsRowFunction="custom" dataDxfId="57" totalsRowDxfId="56">
      <totalsRowFormula>SUM(N3:N33)</totalsRowFormula>
    </tableColumn>
    <tableColumn id="12" xr3:uid="{87726109-71CA-45E4-B97F-F5E3ABAFB52C}" name="CLOTHES" totalsRowFunction="custom" dataDxfId="55" totalsRowDxfId="54">
      <totalsRowFormula>SUM(O3:O33)</totalsRowFormula>
    </tableColumn>
    <tableColumn id="13" xr3:uid="{5C65E87D-CE55-44EB-B7DC-95C8DF16D5D4}" name="HYGIENE" totalsRowFunction="custom" dataDxfId="53" totalsRowDxfId="52">
      <totalsRowFormula>SUM(P3:P33)</totalsRowFormula>
    </tableColumn>
    <tableColumn id="19" xr3:uid="{81403A93-1120-4C41-A004-2CB23E3C7FB1}" name="FUEL" totalsRowFunction="custom" dataDxfId="51" totalsRowDxfId="50">
      <totalsRowFormula>SUM(Q3:Q33)</totalsRowFormula>
    </tableColumn>
    <tableColumn id="14" xr3:uid="{F6E1E5B9-25E6-41C4-8F78-AD0A23F174AA}" name="OTHER COSTS" totalsRowFunction="custom" dataDxfId="49" totalsRowDxfId="48">
      <totalsRowFormula>SUM(R3:R33)</totalsRowFormula>
    </tableColumn>
    <tableColumn id="20" xr3:uid="{436FEECD-F002-4537-8888-139CAA340D40}" name="TOTAL" totalsRowFunction="custom" dataDxfId="47" totalsRowDxfId="46">
      <calculatedColumnFormula>SUM(B3:R3)</calculatedColumnFormula>
      <totalsRowFormula>SUM(B34:R34)</totalsRowFormula>
    </tableColumn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AF822-DCD9-425D-A14C-E3024CA150F9}" name="Septembre" displayName="Septembre" ref="A2:S33" totalsRowCount="1" headerRowDxfId="45" dataDxfId="44" totalsRowDxfId="43">
  <autoFilter ref="A2:S32" xr:uid="{E00AF822-DCD9-425D-A14C-E3024CA150F9}"/>
  <tableColumns count="19">
    <tableColumn id="1" xr3:uid="{F6E36231-27FE-4384-A96C-5FB6CEBE92EE}" name="DATE" totalsRowLabel="TOTAL" dataDxfId="42" totalsRowDxfId="41"/>
    <tableColumn id="2" xr3:uid="{ECE19CAB-CF5A-46C0-9413-B8D7CDE22AD2}" name="CABLE &amp; INTERNET" totalsRowFunction="custom" dataDxfId="40" totalsRowDxfId="39">
      <totalsRowFormula>SUM(B3:B32)</totalsRowFormula>
    </tableColumn>
    <tableColumn id="3" xr3:uid="{734B1795-5992-480D-93E0-8FA0678F9F9D}" name="PHONE" totalsRowFunction="custom" dataDxfId="38" totalsRowDxfId="37">
      <totalsRowFormula>SUM(C3:C32)</totalsRowFormula>
    </tableColumn>
    <tableColumn id="4" xr3:uid="{2E9C6551-B626-464C-8A7A-8E17D3ECA1EB}" name="GAS" totalsRowFunction="custom" dataDxfId="36" totalsRowDxfId="35">
      <totalsRowFormula>SUM(D3:D32)</totalsRowFormula>
    </tableColumn>
    <tableColumn id="5" xr3:uid="{965ED03D-CC05-4C4B-BB46-43E61471CCBB}" name="ELECTRICITY" totalsRowFunction="custom" dataDxfId="34" totalsRowDxfId="33">
      <totalsRowFormula>SUM(E3:E32)</totalsRowFormula>
    </tableColumn>
    <tableColumn id="6" xr3:uid="{513163EA-5B12-4A87-9682-6203E76B60DE}" name="WATER" totalsRowFunction="custom" dataDxfId="32" totalsRowDxfId="31">
      <totalsRowFormula>SUM(F3:F32)</totalsRowFormula>
    </tableColumn>
    <tableColumn id="7" xr3:uid="{C57DCA52-D1D1-4968-94D6-BF3201951A51}" name="EGGS" totalsRowFunction="custom" dataDxfId="30" totalsRowDxfId="29">
      <totalsRowFormula>SUM(G3:G32)</totalsRowFormula>
    </tableColumn>
    <tableColumn id="8" xr3:uid="{0797FF3F-9313-4904-BC75-D5777AFB6899}" name="DAIRY" totalsRowFunction="custom" dataDxfId="28" totalsRowDxfId="27">
      <totalsRowFormula>SUM(H3:H32)</totalsRowFormula>
    </tableColumn>
    <tableColumn id="9" xr3:uid="{17D94F82-8E8F-47EF-A49A-C7D24529B7CB}" name="MEAT" totalsRowFunction="custom" dataDxfId="26" totalsRowDxfId="25">
      <totalsRowFormula>SUM(I3:I32)</totalsRowFormula>
    </tableColumn>
    <tableColumn id="10" xr3:uid="{6BD64B98-D871-44E6-89C1-EA512D989165}" name="BREAD" totalsRowFunction="custom" dataDxfId="24" totalsRowDxfId="23">
      <totalsRowFormula>SUM(J3:J32)</totalsRowFormula>
    </tableColumn>
    <tableColumn id="15" xr3:uid="{D0BC8358-F34C-412E-A851-E96A6C1B9A12}" name="VEGETABLES" totalsRowFunction="custom" dataDxfId="22" totalsRowDxfId="21">
      <totalsRowFormula>SUM(K3:K32)</totalsRowFormula>
    </tableColumn>
    <tableColumn id="16" xr3:uid="{60D9A4E2-3960-40B4-8A43-FCF081BF458B}" name="FRUITS" totalsRowFunction="custom" dataDxfId="20" totalsRowDxfId="19">
      <totalsRowFormula>SUM(L3:L32)</totalsRowFormula>
    </tableColumn>
    <tableColumn id="11" xr3:uid="{AEEA73AB-646B-4B91-84B2-BBD08156DDFC}" name="OTHER FOODS" totalsRowFunction="custom" dataDxfId="18" totalsRowDxfId="17">
      <totalsRowFormula>SUM(M3:M32)</totalsRowFormula>
    </tableColumn>
    <tableColumn id="17" xr3:uid="{95E37771-A361-45E4-93CE-9E30EEC326B5}" name="MEDICINE" totalsRowFunction="custom" dataDxfId="16" totalsRowDxfId="15">
      <totalsRowFormula>SUM(N3:N32)</totalsRowFormula>
    </tableColumn>
    <tableColumn id="12" xr3:uid="{952B6E34-EFB2-49A0-A8CE-9DF58259241E}" name="CLOTHES" totalsRowFunction="custom" dataDxfId="14" totalsRowDxfId="13">
      <totalsRowFormula>SUM(O3:O32)</totalsRowFormula>
    </tableColumn>
    <tableColumn id="13" xr3:uid="{655C7C67-80D0-4245-AC91-0891BD2B9874}" name="HYGIENE" totalsRowFunction="custom" dataDxfId="12" totalsRowDxfId="11">
      <totalsRowFormula>SUM(P3:P32)</totalsRowFormula>
    </tableColumn>
    <tableColumn id="19" xr3:uid="{064B5F26-4AA8-440C-9CF1-CDF5ECADC8B7}" name="FUEL" totalsRowFunction="custom" dataDxfId="10" totalsRowDxfId="9">
      <totalsRowFormula>SUM(Q3:Q32)</totalsRowFormula>
    </tableColumn>
    <tableColumn id="14" xr3:uid="{9342C9FC-23E5-40D1-8E03-4FEC19274FCE}" name="OTHER COSTS" totalsRowFunction="custom" dataDxfId="8" totalsRowDxfId="7">
      <totalsRowFormula>SUM(R3:R32)</totalsRowFormula>
    </tableColumn>
    <tableColumn id="20" xr3:uid="{3466C057-DCCC-434E-BA78-A2E1A3DFE699}" name="TOTAL" totalsRowFunction="custom" dataDxfId="6" totalsRowDxfId="5">
      <calculatedColumnFormula>SUM(B3:R3)</calculatedColumnFormula>
      <totalsRowFormula>SUM(B33:R33)</totalsRowFormula>
    </tableColumn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C1" zoomScaleNormal="100" workbookViewId="0">
      <selection activeCell="D3" sqref="D3"/>
    </sheetView>
  </sheetViews>
  <sheetFormatPr defaultRowHeight="15" x14ac:dyDescent="0.25"/>
  <cols>
    <col min="1" max="1" width="11.42578125" customWidth="1"/>
    <col min="2" max="2" width="20.42578125" customWidth="1"/>
    <col min="3" max="3" width="10.140625" customWidth="1"/>
    <col min="5" max="5" width="14.140625" customWidth="1"/>
    <col min="6" max="6" width="10.140625" customWidth="1"/>
    <col min="7" max="7" width="12.140625" customWidth="1"/>
    <col min="8" max="8" width="11.7109375" customWidth="1"/>
    <col min="9" max="9" width="11" customWidth="1"/>
    <col min="10" max="10" width="11.7109375" customWidth="1"/>
    <col min="11" max="11" width="16.140625" customWidth="1"/>
    <col min="12" max="12" width="10.140625" customWidth="1"/>
    <col min="13" max="14" width="15.5703125" customWidth="1"/>
    <col min="15" max="15" width="12" customWidth="1"/>
    <col min="16" max="16" width="11.42578125" customWidth="1"/>
    <col min="17" max="17" width="12.28515625" customWidth="1"/>
    <col min="18" max="18" width="15.7109375" customWidth="1"/>
    <col min="19" max="19" width="14.7109375" customWidth="1"/>
  </cols>
  <sheetData>
    <row r="1" spans="1:19" ht="15.75" thickTop="1" x14ac:dyDescent="0.25">
      <c r="B1" s="37" t="s">
        <v>14</v>
      </c>
      <c r="C1" s="38"/>
      <c r="D1" s="38"/>
      <c r="E1" s="38"/>
      <c r="F1" s="39"/>
      <c r="G1" s="37" t="s">
        <v>15</v>
      </c>
      <c r="H1" s="38"/>
      <c r="I1" s="38"/>
      <c r="J1" s="38"/>
      <c r="K1" s="38"/>
      <c r="L1" s="38"/>
      <c r="M1" s="39"/>
      <c r="N1" s="37" t="s">
        <v>16</v>
      </c>
      <c r="O1" s="38"/>
      <c r="P1" s="38"/>
      <c r="Q1" s="38"/>
      <c r="R1" s="39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8</v>
      </c>
      <c r="K2" s="2" t="s">
        <v>17</v>
      </c>
      <c r="L2" s="2" t="s">
        <v>18</v>
      </c>
      <c r="M2" s="2" t="s">
        <v>9</v>
      </c>
      <c r="N2" s="2" t="s">
        <v>20</v>
      </c>
      <c r="O2" s="2" t="s">
        <v>11</v>
      </c>
      <c r="P2" s="2" t="s">
        <v>19</v>
      </c>
      <c r="Q2" s="2" t="s">
        <v>12</v>
      </c>
      <c r="R2" s="2" t="s">
        <v>13</v>
      </c>
      <c r="S2" s="2" t="s">
        <v>21</v>
      </c>
    </row>
    <row r="3" spans="1:19" x14ac:dyDescent="0.25">
      <c r="A3" s="1">
        <v>45474</v>
      </c>
      <c r="B3" s="16"/>
      <c r="C3" s="17"/>
      <c r="D3" s="17"/>
      <c r="E3" s="17"/>
      <c r="F3" s="18"/>
      <c r="G3" s="17"/>
      <c r="H3" s="17"/>
      <c r="I3" s="17"/>
      <c r="J3" s="17"/>
      <c r="K3" s="17"/>
      <c r="L3" s="17"/>
      <c r="M3" s="18"/>
      <c r="N3" s="17"/>
      <c r="O3" s="17"/>
      <c r="P3" s="17"/>
      <c r="Q3" s="17"/>
      <c r="R3" s="18"/>
      <c r="S3" s="19">
        <f t="shared" ref="S3:S34" si="0">SUM(B3:R3)</f>
        <v>0</v>
      </c>
    </row>
    <row r="4" spans="1:19" x14ac:dyDescent="0.25">
      <c r="A4" s="1">
        <v>45475</v>
      </c>
      <c r="B4" s="16"/>
      <c r="C4" s="17"/>
      <c r="D4" s="17"/>
      <c r="E4" s="17"/>
      <c r="F4" s="18"/>
      <c r="G4" s="17"/>
      <c r="H4" s="17">
        <v>4.78</v>
      </c>
      <c r="I4" s="17">
        <v>8.39</v>
      </c>
      <c r="J4" s="17">
        <v>5.79</v>
      </c>
      <c r="K4" s="17">
        <v>17.97</v>
      </c>
      <c r="L4" s="17">
        <v>2.78</v>
      </c>
      <c r="M4" s="18">
        <v>66.61</v>
      </c>
      <c r="N4" s="17"/>
      <c r="O4" s="17"/>
      <c r="P4" s="17"/>
      <c r="Q4" s="17"/>
      <c r="R4" s="18"/>
      <c r="S4" s="19">
        <f t="shared" si="0"/>
        <v>106.32</v>
      </c>
    </row>
    <row r="5" spans="1:19" x14ac:dyDescent="0.25">
      <c r="A5" s="1">
        <v>45476</v>
      </c>
      <c r="B5" s="16"/>
      <c r="C5" s="17"/>
      <c r="D5" s="17"/>
      <c r="E5" s="17"/>
      <c r="F5" s="18">
        <v>67.09</v>
      </c>
      <c r="G5" s="17"/>
      <c r="H5" s="17"/>
      <c r="I5" s="17"/>
      <c r="J5" s="17"/>
      <c r="K5" s="17"/>
      <c r="L5" s="17"/>
      <c r="M5" s="18"/>
      <c r="N5" s="17"/>
      <c r="O5" s="17"/>
      <c r="P5" s="17"/>
      <c r="Q5" s="17"/>
      <c r="R5" s="18"/>
      <c r="S5" s="19">
        <f t="shared" si="0"/>
        <v>67.09</v>
      </c>
    </row>
    <row r="6" spans="1:19" x14ac:dyDescent="0.25">
      <c r="A6" s="1">
        <v>45477</v>
      </c>
      <c r="B6" s="16"/>
      <c r="C6" s="17"/>
      <c r="D6" s="17"/>
      <c r="E6" s="17"/>
      <c r="F6" s="18"/>
      <c r="G6" s="17"/>
      <c r="H6" s="17"/>
      <c r="I6" s="17"/>
      <c r="J6" s="17">
        <v>10.5</v>
      </c>
      <c r="K6" s="17"/>
      <c r="L6" s="17"/>
      <c r="M6" s="18"/>
      <c r="N6" s="17"/>
      <c r="O6" s="17"/>
      <c r="P6" s="17"/>
      <c r="Q6" s="17"/>
      <c r="R6" s="18"/>
      <c r="S6" s="19">
        <f t="shared" si="0"/>
        <v>10.5</v>
      </c>
    </row>
    <row r="7" spans="1:19" x14ac:dyDescent="0.25">
      <c r="A7" s="1">
        <v>45478</v>
      </c>
      <c r="B7" s="16"/>
      <c r="C7" s="17"/>
      <c r="D7" s="17"/>
      <c r="E7" s="17"/>
      <c r="F7" s="18"/>
      <c r="G7" s="17">
        <v>11.49</v>
      </c>
      <c r="H7" s="17"/>
      <c r="I7" s="17"/>
      <c r="J7" s="17">
        <v>14.99</v>
      </c>
      <c r="K7" s="17">
        <v>8.99</v>
      </c>
      <c r="L7" s="17"/>
      <c r="M7" s="18"/>
      <c r="N7" s="17"/>
      <c r="O7" s="17"/>
      <c r="P7" s="17"/>
      <c r="Q7" s="17"/>
      <c r="R7" s="18">
        <v>92</v>
      </c>
      <c r="S7" s="19">
        <f t="shared" si="0"/>
        <v>127.47</v>
      </c>
    </row>
    <row r="8" spans="1:19" x14ac:dyDescent="0.25">
      <c r="A8" s="1">
        <v>45479</v>
      </c>
      <c r="B8" s="16"/>
      <c r="C8" s="17"/>
      <c r="D8" s="17"/>
      <c r="E8" s="17"/>
      <c r="F8" s="18"/>
      <c r="G8" s="17"/>
      <c r="H8" s="17">
        <v>52.35</v>
      </c>
      <c r="I8" s="17">
        <v>17.760000000000002</v>
      </c>
      <c r="J8" s="17">
        <v>6.5</v>
      </c>
      <c r="K8" s="17">
        <v>22.14</v>
      </c>
      <c r="L8" s="17"/>
      <c r="M8" s="18">
        <v>33.65</v>
      </c>
      <c r="N8" s="17"/>
      <c r="O8" s="17"/>
      <c r="P8" s="17">
        <f>12.99+3.49</f>
        <v>16.48</v>
      </c>
      <c r="Q8" s="17"/>
      <c r="R8" s="18">
        <v>63.09</v>
      </c>
      <c r="S8" s="19">
        <f t="shared" si="0"/>
        <v>211.97</v>
      </c>
    </row>
    <row r="9" spans="1:19" x14ac:dyDescent="0.25">
      <c r="A9" s="1">
        <v>45480</v>
      </c>
      <c r="B9" s="16"/>
      <c r="C9" s="17"/>
      <c r="D9" s="17"/>
      <c r="E9" s="17"/>
      <c r="F9" s="18"/>
      <c r="G9" s="17"/>
      <c r="H9" s="17"/>
      <c r="I9" s="17"/>
      <c r="J9" s="17"/>
      <c r="K9" s="17"/>
      <c r="L9" s="17"/>
      <c r="M9" s="18"/>
      <c r="N9" s="17"/>
      <c r="O9" s="17"/>
      <c r="P9" s="17"/>
      <c r="Q9" s="17"/>
      <c r="R9" s="18"/>
      <c r="S9" s="19">
        <f t="shared" si="0"/>
        <v>0</v>
      </c>
    </row>
    <row r="10" spans="1:19" x14ac:dyDescent="0.25">
      <c r="A10" s="1">
        <v>45481</v>
      </c>
      <c r="B10" s="16"/>
      <c r="C10" s="17"/>
      <c r="D10" s="17"/>
      <c r="E10" s="17"/>
      <c r="F10" s="18"/>
      <c r="G10" s="17"/>
      <c r="H10" s="17"/>
      <c r="I10" s="17"/>
      <c r="J10" s="17"/>
      <c r="K10" s="17"/>
      <c r="L10" s="17"/>
      <c r="M10" s="18"/>
      <c r="N10" s="17"/>
      <c r="O10" s="17"/>
      <c r="P10" s="17"/>
      <c r="Q10" s="17"/>
      <c r="R10" s="18"/>
      <c r="S10" s="19">
        <f t="shared" si="0"/>
        <v>0</v>
      </c>
    </row>
    <row r="11" spans="1:19" x14ac:dyDescent="0.25">
      <c r="A11" s="1">
        <v>45482</v>
      </c>
      <c r="B11" s="16"/>
      <c r="C11" s="17"/>
      <c r="D11" s="17"/>
      <c r="E11" s="17">
        <v>49.7</v>
      </c>
      <c r="F11" s="18"/>
      <c r="G11" s="17"/>
      <c r="H11" s="17"/>
      <c r="I11" s="17"/>
      <c r="J11" s="17">
        <v>6.5</v>
      </c>
      <c r="K11" s="17"/>
      <c r="L11" s="17"/>
      <c r="M11" s="18"/>
      <c r="N11" s="17"/>
      <c r="O11" s="17"/>
      <c r="P11" s="17">
        <v>73.03</v>
      </c>
      <c r="Q11" s="17"/>
      <c r="R11" s="18"/>
      <c r="S11" s="19">
        <f t="shared" si="0"/>
        <v>129.23000000000002</v>
      </c>
    </row>
    <row r="12" spans="1:19" x14ac:dyDescent="0.25">
      <c r="A12" s="1">
        <v>45483</v>
      </c>
      <c r="B12" s="16"/>
      <c r="C12" s="17"/>
      <c r="D12" s="17"/>
      <c r="E12" s="17"/>
      <c r="F12" s="18"/>
      <c r="G12" s="17"/>
      <c r="H12" s="17"/>
      <c r="I12" s="17"/>
      <c r="J12" s="17"/>
      <c r="K12" s="17"/>
      <c r="L12" s="17"/>
      <c r="M12" s="18">
        <v>14.38</v>
      </c>
      <c r="N12" s="17"/>
      <c r="O12" s="17"/>
      <c r="P12" s="17"/>
      <c r="Q12" s="17"/>
      <c r="R12" s="18">
        <v>1999.47</v>
      </c>
      <c r="S12" s="19">
        <f t="shared" si="0"/>
        <v>2013.8500000000001</v>
      </c>
    </row>
    <row r="13" spans="1:19" x14ac:dyDescent="0.25">
      <c r="A13" s="1">
        <v>45484</v>
      </c>
      <c r="B13" s="16"/>
      <c r="C13" s="17"/>
      <c r="D13" s="17"/>
      <c r="E13" s="17"/>
      <c r="F13" s="18"/>
      <c r="G13" s="17">
        <v>8.4</v>
      </c>
      <c r="H13" s="17"/>
      <c r="I13" s="17">
        <v>5.99</v>
      </c>
      <c r="J13" s="17">
        <v>4.5</v>
      </c>
      <c r="K13" s="17"/>
      <c r="L13" s="17"/>
      <c r="M13" s="18"/>
      <c r="N13" s="17"/>
      <c r="O13" s="17"/>
      <c r="P13" s="17">
        <v>18.93</v>
      </c>
      <c r="Q13" s="17"/>
      <c r="R13" s="18">
        <v>2.4</v>
      </c>
      <c r="S13" s="19">
        <f t="shared" si="0"/>
        <v>40.22</v>
      </c>
    </row>
    <row r="14" spans="1:19" x14ac:dyDescent="0.25">
      <c r="A14" s="1">
        <v>45485</v>
      </c>
      <c r="B14" s="16">
        <v>86.06</v>
      </c>
      <c r="C14" s="17"/>
      <c r="D14" s="17"/>
      <c r="E14" s="17"/>
      <c r="F14" s="18"/>
      <c r="G14" s="17"/>
      <c r="H14" s="17"/>
      <c r="I14" s="17"/>
      <c r="J14" s="17">
        <v>8.5</v>
      </c>
      <c r="K14" s="17"/>
      <c r="L14" s="17"/>
      <c r="M14" s="18"/>
      <c r="N14" s="17"/>
      <c r="O14" s="17"/>
      <c r="P14" s="17">
        <v>4.99</v>
      </c>
      <c r="Q14" s="17"/>
      <c r="R14" s="18">
        <v>5.5</v>
      </c>
      <c r="S14" s="19">
        <f t="shared" si="0"/>
        <v>105.05</v>
      </c>
    </row>
    <row r="15" spans="1:19" x14ac:dyDescent="0.25">
      <c r="A15" s="1">
        <v>45486</v>
      </c>
      <c r="B15" s="16"/>
      <c r="C15" s="17"/>
      <c r="D15" s="17"/>
      <c r="E15" s="17"/>
      <c r="F15" s="18"/>
      <c r="G15" s="17"/>
      <c r="H15" s="17">
        <v>21.78</v>
      </c>
      <c r="I15" s="17">
        <v>31.67</v>
      </c>
      <c r="J15" s="17"/>
      <c r="K15" s="17">
        <v>11.75</v>
      </c>
      <c r="L15" s="17">
        <v>11.49</v>
      </c>
      <c r="M15" s="18">
        <f>40+70.17</f>
        <v>110.17</v>
      </c>
      <c r="N15" s="17"/>
      <c r="O15" s="17"/>
      <c r="P15" s="17">
        <v>12.99</v>
      </c>
      <c r="Q15" s="17">
        <v>201.15</v>
      </c>
      <c r="R15" s="18"/>
      <c r="S15" s="19">
        <f t="shared" si="0"/>
        <v>401</v>
      </c>
    </row>
    <row r="16" spans="1:19" x14ac:dyDescent="0.25">
      <c r="A16" s="1">
        <v>45487</v>
      </c>
      <c r="B16" s="16"/>
      <c r="C16" s="17"/>
      <c r="D16" s="17"/>
      <c r="E16" s="17"/>
      <c r="F16" s="18"/>
      <c r="G16" s="17"/>
      <c r="H16" s="17"/>
      <c r="I16" s="17"/>
      <c r="J16" s="17"/>
      <c r="K16" s="17"/>
      <c r="L16" s="17"/>
      <c r="M16" s="18">
        <v>13.6</v>
      </c>
      <c r="N16" s="17"/>
      <c r="O16" s="17"/>
      <c r="P16" s="17">
        <v>21.6</v>
      </c>
      <c r="Q16" s="17"/>
      <c r="R16" s="18">
        <v>35.090000000000003</v>
      </c>
      <c r="S16" s="19">
        <f t="shared" si="0"/>
        <v>70.290000000000006</v>
      </c>
    </row>
    <row r="17" spans="1:19" x14ac:dyDescent="0.25">
      <c r="A17" s="1">
        <v>45488</v>
      </c>
      <c r="B17" s="16"/>
      <c r="C17" s="17"/>
      <c r="D17" s="17"/>
      <c r="E17" s="17"/>
      <c r="F17" s="18"/>
      <c r="G17" s="17"/>
      <c r="H17" s="17"/>
      <c r="I17" s="17"/>
      <c r="J17" s="17"/>
      <c r="K17" s="17"/>
      <c r="L17" s="17"/>
      <c r="M17" s="18"/>
      <c r="N17" s="17"/>
      <c r="O17" s="17"/>
      <c r="P17" s="17"/>
      <c r="Q17" s="17"/>
      <c r="R17" s="18">
        <v>169.8</v>
      </c>
      <c r="S17" s="19">
        <f t="shared" si="0"/>
        <v>169.8</v>
      </c>
    </row>
    <row r="18" spans="1:19" x14ac:dyDescent="0.25">
      <c r="A18" s="1">
        <v>45489</v>
      </c>
      <c r="B18" s="16"/>
      <c r="C18" s="17"/>
      <c r="D18" s="17"/>
      <c r="E18" s="17"/>
      <c r="F18" s="18"/>
      <c r="G18" s="17"/>
      <c r="H18" s="17">
        <v>6.36</v>
      </c>
      <c r="I18" s="17"/>
      <c r="J18" s="17">
        <v>1.1499999999999999</v>
      </c>
      <c r="K18" s="17"/>
      <c r="L18" s="17">
        <v>2.88</v>
      </c>
      <c r="M18" s="18"/>
      <c r="N18" s="17"/>
      <c r="O18" s="17"/>
      <c r="P18" s="17"/>
      <c r="Q18" s="17"/>
      <c r="R18" s="18">
        <v>25.15</v>
      </c>
      <c r="S18" s="19">
        <f t="shared" si="0"/>
        <v>35.54</v>
      </c>
    </row>
    <row r="19" spans="1:19" x14ac:dyDescent="0.25">
      <c r="A19" s="1">
        <v>45490</v>
      </c>
      <c r="B19" s="16"/>
      <c r="C19" s="17">
        <v>131</v>
      </c>
      <c r="D19" s="17">
        <v>28.06</v>
      </c>
      <c r="E19" s="17"/>
      <c r="F19" s="18"/>
      <c r="G19" s="17"/>
      <c r="H19" s="17"/>
      <c r="I19" s="17"/>
      <c r="J19" s="17">
        <v>10.72</v>
      </c>
      <c r="K19" s="17"/>
      <c r="L19" s="17"/>
      <c r="M19" s="18"/>
      <c r="N19" s="17"/>
      <c r="O19" s="17"/>
      <c r="P19" s="17"/>
      <c r="Q19" s="17"/>
      <c r="R19" s="18"/>
      <c r="S19" s="19">
        <f t="shared" si="0"/>
        <v>169.78</v>
      </c>
    </row>
    <row r="20" spans="1:19" x14ac:dyDescent="0.25">
      <c r="A20" s="1">
        <v>45491</v>
      </c>
      <c r="B20" s="16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8"/>
      <c r="N20" s="17"/>
      <c r="O20" s="17"/>
      <c r="P20" s="17"/>
      <c r="Q20" s="17"/>
      <c r="R20" s="18">
        <v>129.9</v>
      </c>
      <c r="S20" s="19">
        <f t="shared" si="0"/>
        <v>129.9</v>
      </c>
    </row>
    <row r="21" spans="1:19" x14ac:dyDescent="0.25">
      <c r="A21" s="1">
        <v>45492</v>
      </c>
      <c r="B21" s="16"/>
      <c r="C21" s="17"/>
      <c r="D21" s="17"/>
      <c r="E21" s="17"/>
      <c r="F21" s="18"/>
      <c r="G21" s="17"/>
      <c r="H21" s="17">
        <v>18.97</v>
      </c>
      <c r="I21" s="17">
        <v>19.28</v>
      </c>
      <c r="J21" s="17"/>
      <c r="K21" s="17">
        <v>4.99</v>
      </c>
      <c r="L21" s="17"/>
      <c r="M21" s="18">
        <v>17.809999999999999</v>
      </c>
      <c r="N21" s="17"/>
      <c r="O21" s="17"/>
      <c r="P21" s="17"/>
      <c r="Q21" s="17"/>
      <c r="R21" s="18"/>
      <c r="S21" s="19">
        <f t="shared" si="0"/>
        <v>61.05</v>
      </c>
    </row>
    <row r="22" spans="1:19" x14ac:dyDescent="0.25">
      <c r="A22" s="1">
        <v>45493</v>
      </c>
      <c r="B22" s="16"/>
      <c r="C22" s="17"/>
      <c r="D22" s="17"/>
      <c r="E22" s="17"/>
      <c r="F22" s="18"/>
      <c r="G22" s="17"/>
      <c r="H22" s="17"/>
      <c r="I22" s="17"/>
      <c r="J22" s="17"/>
      <c r="K22" s="17">
        <v>10</v>
      </c>
      <c r="L22" s="17"/>
      <c r="M22" s="18"/>
      <c r="N22" s="17"/>
      <c r="O22" s="17"/>
      <c r="P22" s="17"/>
      <c r="Q22" s="17"/>
      <c r="R22" s="18">
        <v>105.2</v>
      </c>
      <c r="S22" s="19">
        <f t="shared" si="0"/>
        <v>115.2</v>
      </c>
    </row>
    <row r="23" spans="1:19" x14ac:dyDescent="0.25">
      <c r="A23" s="1">
        <v>45494</v>
      </c>
      <c r="B23" s="16"/>
      <c r="C23" s="17"/>
      <c r="D23" s="17"/>
      <c r="E23" s="17"/>
      <c r="F23" s="18"/>
      <c r="G23" s="17"/>
      <c r="H23" s="17"/>
      <c r="I23" s="17"/>
      <c r="J23" s="17"/>
      <c r="K23" s="17"/>
      <c r="L23" s="17"/>
      <c r="M23" s="18"/>
      <c r="N23" s="17"/>
      <c r="O23" s="17"/>
      <c r="P23" s="17"/>
      <c r="Q23" s="17"/>
      <c r="R23" s="18"/>
      <c r="S23" s="19">
        <f t="shared" si="0"/>
        <v>0</v>
      </c>
    </row>
    <row r="24" spans="1:19" x14ac:dyDescent="0.25">
      <c r="A24" s="1">
        <v>45495</v>
      </c>
      <c r="B24" s="16"/>
      <c r="C24" s="17"/>
      <c r="D24" s="17"/>
      <c r="E24" s="17"/>
      <c r="F24" s="18"/>
      <c r="G24" s="17">
        <v>8.4</v>
      </c>
      <c r="H24" s="17">
        <v>41.03</v>
      </c>
      <c r="I24" s="17">
        <v>10.38</v>
      </c>
      <c r="J24" s="17">
        <v>5.79</v>
      </c>
      <c r="K24" s="17"/>
      <c r="L24" s="17">
        <v>1.28</v>
      </c>
      <c r="M24" s="18">
        <v>37.130000000000003</v>
      </c>
      <c r="N24" s="17"/>
      <c r="O24" s="17"/>
      <c r="P24" s="17"/>
      <c r="Q24" s="17"/>
      <c r="R24" s="18"/>
      <c r="S24" s="19">
        <f t="shared" si="0"/>
        <v>104.01000000000002</v>
      </c>
    </row>
    <row r="25" spans="1:19" x14ac:dyDescent="0.25">
      <c r="A25" s="1">
        <v>45496</v>
      </c>
      <c r="B25" s="16"/>
      <c r="C25" s="17"/>
      <c r="D25" s="17"/>
      <c r="E25" s="17"/>
      <c r="F25" s="18"/>
      <c r="G25" s="17"/>
      <c r="H25" s="17"/>
      <c r="I25" s="17"/>
      <c r="J25" s="17"/>
      <c r="K25" s="17"/>
      <c r="L25" s="17"/>
      <c r="M25" s="18">
        <v>3</v>
      </c>
      <c r="N25" s="17"/>
      <c r="O25" s="17"/>
      <c r="P25" s="17"/>
      <c r="Q25" s="17"/>
      <c r="R25" s="18"/>
      <c r="S25" s="19">
        <f t="shared" si="0"/>
        <v>3</v>
      </c>
    </row>
    <row r="26" spans="1:19" x14ac:dyDescent="0.25">
      <c r="A26" s="1">
        <v>45497</v>
      </c>
      <c r="B26" s="16"/>
      <c r="C26" s="17"/>
      <c r="D26" s="17"/>
      <c r="E26" s="17"/>
      <c r="F26" s="18"/>
      <c r="G26" s="17"/>
      <c r="H26" s="17"/>
      <c r="I26" s="17"/>
      <c r="J26" s="17"/>
      <c r="K26" s="17">
        <v>12.23</v>
      </c>
      <c r="L26" s="17"/>
      <c r="M26" s="18">
        <v>4.5</v>
      </c>
      <c r="N26" s="17"/>
      <c r="O26" s="17"/>
      <c r="P26" s="17">
        <v>13.7</v>
      </c>
      <c r="Q26" s="17"/>
      <c r="R26" s="18">
        <v>13.3</v>
      </c>
      <c r="S26" s="19">
        <f t="shared" si="0"/>
        <v>43.730000000000004</v>
      </c>
    </row>
    <row r="27" spans="1:19" x14ac:dyDescent="0.25">
      <c r="A27" s="1">
        <v>45498</v>
      </c>
      <c r="B27" s="16"/>
      <c r="C27" s="17"/>
      <c r="D27" s="17"/>
      <c r="E27" s="17"/>
      <c r="F27" s="18"/>
      <c r="G27" s="17"/>
      <c r="H27" s="17"/>
      <c r="I27" s="17"/>
      <c r="J27" s="17">
        <v>5.79</v>
      </c>
      <c r="K27" s="17"/>
      <c r="L27" s="17">
        <v>3.93</v>
      </c>
      <c r="M27" s="18">
        <v>2.99</v>
      </c>
      <c r="N27" s="17">
        <v>75.5</v>
      </c>
      <c r="O27" s="17"/>
      <c r="P27" s="17">
        <v>101.99</v>
      </c>
      <c r="Q27" s="17"/>
      <c r="R27" s="18">
        <v>80</v>
      </c>
      <c r="S27" s="19">
        <f t="shared" si="0"/>
        <v>270.2</v>
      </c>
    </row>
    <row r="28" spans="1:19" x14ac:dyDescent="0.25">
      <c r="A28" s="1">
        <v>45499</v>
      </c>
      <c r="B28" s="16"/>
      <c r="C28" s="17"/>
      <c r="D28" s="17"/>
      <c r="E28" s="17"/>
      <c r="F28" s="18"/>
      <c r="G28" s="17"/>
      <c r="H28" s="17"/>
      <c r="I28" s="17"/>
      <c r="J28" s="17"/>
      <c r="K28" s="17"/>
      <c r="L28" s="17"/>
      <c r="M28" s="18">
        <v>37</v>
      </c>
      <c r="N28" s="17"/>
      <c r="O28" s="17"/>
      <c r="P28" s="17"/>
      <c r="Q28" s="17"/>
      <c r="R28" s="18">
        <v>760</v>
      </c>
      <c r="S28" s="19">
        <f t="shared" si="0"/>
        <v>797</v>
      </c>
    </row>
    <row r="29" spans="1:19" x14ac:dyDescent="0.25">
      <c r="A29" s="1">
        <v>45500</v>
      </c>
      <c r="B29" s="16"/>
      <c r="C29" s="17"/>
      <c r="D29" s="17"/>
      <c r="E29" s="17"/>
      <c r="F29" s="18"/>
      <c r="G29" s="17"/>
      <c r="H29" s="17"/>
      <c r="I29" s="17"/>
      <c r="J29" s="17"/>
      <c r="K29" s="17"/>
      <c r="L29" s="17"/>
      <c r="M29" s="18">
        <v>305</v>
      </c>
      <c r="N29" s="17"/>
      <c r="O29" s="17"/>
      <c r="P29" s="17"/>
      <c r="Q29" s="17"/>
      <c r="R29" s="18">
        <v>250</v>
      </c>
      <c r="S29" s="19">
        <f t="shared" si="0"/>
        <v>555</v>
      </c>
    </row>
    <row r="30" spans="1:19" x14ac:dyDescent="0.25">
      <c r="A30" s="1">
        <v>45501</v>
      </c>
      <c r="B30" s="16"/>
      <c r="C30" s="17"/>
      <c r="D30" s="17"/>
      <c r="E30" s="17"/>
      <c r="F30" s="18"/>
      <c r="G30" s="17"/>
      <c r="H30" s="17"/>
      <c r="I30" s="17"/>
      <c r="J30" s="17"/>
      <c r="K30" s="17"/>
      <c r="L30" s="17"/>
      <c r="M30" s="18">
        <v>86.5</v>
      </c>
      <c r="N30" s="17"/>
      <c r="O30" s="17"/>
      <c r="P30" s="17"/>
      <c r="Q30" s="17"/>
      <c r="R30" s="18"/>
      <c r="S30" s="19">
        <f t="shared" si="0"/>
        <v>86.5</v>
      </c>
    </row>
    <row r="31" spans="1:19" x14ac:dyDescent="0.25">
      <c r="A31" s="1">
        <v>45502</v>
      </c>
      <c r="B31" s="16"/>
      <c r="C31" s="17"/>
      <c r="D31" s="17"/>
      <c r="E31" s="17">
        <v>48.97</v>
      </c>
      <c r="F31" s="18">
        <v>134.16999999999999</v>
      </c>
      <c r="G31" s="17"/>
      <c r="H31" s="17"/>
      <c r="I31" s="17">
        <v>24.98</v>
      </c>
      <c r="J31" s="17"/>
      <c r="K31" s="17"/>
      <c r="L31" s="17"/>
      <c r="M31" s="18">
        <v>32.380000000000003</v>
      </c>
      <c r="N31" s="17"/>
      <c r="O31" s="17">
        <v>52</v>
      </c>
      <c r="P31" s="17">
        <v>5</v>
      </c>
      <c r="Q31" s="17"/>
      <c r="R31" s="18">
        <v>3</v>
      </c>
      <c r="S31" s="19">
        <f t="shared" si="0"/>
        <v>300.5</v>
      </c>
    </row>
    <row r="32" spans="1:19" x14ac:dyDescent="0.25">
      <c r="A32" s="1">
        <v>45503</v>
      </c>
      <c r="B32" s="16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8">
        <v>46.8</v>
      </c>
      <c r="N32" s="17"/>
      <c r="O32" s="17"/>
      <c r="P32" s="17"/>
      <c r="Q32" s="17"/>
      <c r="R32" s="18"/>
      <c r="S32" s="19">
        <f t="shared" si="0"/>
        <v>46.8</v>
      </c>
    </row>
    <row r="33" spans="1:19" ht="15.75" thickBot="1" x14ac:dyDescent="0.3">
      <c r="A33" s="1">
        <v>45504</v>
      </c>
      <c r="B33" s="20"/>
      <c r="C33" s="21"/>
      <c r="D33" s="21"/>
      <c r="E33" s="21"/>
      <c r="F33" s="22"/>
      <c r="G33" s="21"/>
      <c r="H33" s="21"/>
      <c r="I33" s="21"/>
      <c r="J33" s="21"/>
      <c r="K33" s="21">
        <v>18.420000000000002</v>
      </c>
      <c r="L33" s="21"/>
      <c r="M33" s="22">
        <v>4.5</v>
      </c>
      <c r="N33" s="21">
        <v>30.3</v>
      </c>
      <c r="O33" s="21"/>
      <c r="P33" s="21"/>
      <c r="Q33" s="21"/>
      <c r="R33" s="23">
        <v>208</v>
      </c>
      <c r="S33" s="19">
        <f t="shared" si="0"/>
        <v>261.22000000000003</v>
      </c>
    </row>
    <row r="34" spans="1:19" ht="16.5" thickTop="1" thickBot="1" x14ac:dyDescent="0.3">
      <c r="A34" s="1" t="s">
        <v>21</v>
      </c>
      <c r="B34" s="17">
        <f t="shared" ref="B34:K34" si="1">SUM(B3:B33)</f>
        <v>86.06</v>
      </c>
      <c r="C34" s="17">
        <f t="shared" si="1"/>
        <v>131</v>
      </c>
      <c r="D34" s="17">
        <f t="shared" si="1"/>
        <v>28.06</v>
      </c>
      <c r="E34" s="17">
        <f t="shared" si="1"/>
        <v>98.67</v>
      </c>
      <c r="F34" s="17">
        <f t="shared" si="1"/>
        <v>201.26</v>
      </c>
      <c r="G34" s="17">
        <f t="shared" si="1"/>
        <v>28.29</v>
      </c>
      <c r="H34" s="17">
        <f t="shared" si="1"/>
        <v>145.26999999999998</v>
      </c>
      <c r="I34" s="17">
        <f t="shared" si="1"/>
        <v>118.45</v>
      </c>
      <c r="J34" s="17">
        <f t="shared" si="1"/>
        <v>80.730000000000018</v>
      </c>
      <c r="K34" s="17">
        <f t="shared" si="1"/>
        <v>106.49000000000001</v>
      </c>
      <c r="L34" s="17">
        <f>SUM(L3:L33)</f>
        <v>22.36</v>
      </c>
      <c r="M34" s="17">
        <f t="shared" ref="M34:Q34" si="2">SUM(M3:M33)</f>
        <v>816.01999999999987</v>
      </c>
      <c r="N34" s="17">
        <f t="shared" si="2"/>
        <v>105.8</v>
      </c>
      <c r="O34" s="17">
        <f t="shared" si="2"/>
        <v>52</v>
      </c>
      <c r="P34" s="17">
        <f t="shared" si="2"/>
        <v>268.70999999999998</v>
      </c>
      <c r="Q34" s="17">
        <f t="shared" si="2"/>
        <v>201.15</v>
      </c>
      <c r="R34" s="17">
        <f>SUM(R3:R33)</f>
        <v>3941.9000000000005</v>
      </c>
      <c r="S34" s="24">
        <f t="shared" si="0"/>
        <v>6432.22</v>
      </c>
    </row>
    <row r="35" spans="1:19" ht="15.75" thickTop="1" x14ac:dyDescent="0.25">
      <c r="A35" s="31" t="s">
        <v>23</v>
      </c>
      <c r="B35" s="32">
        <f>AVERAGE(July[CABLE &amp; INTERNET])</f>
        <v>86.06</v>
      </c>
      <c r="C35" s="32">
        <f>AVERAGE(July[PHONE])</f>
        <v>131</v>
      </c>
      <c r="D35" s="32">
        <f>AVERAGE(July[GAS])</f>
        <v>28.06</v>
      </c>
      <c r="E35" s="32">
        <f>AVERAGE(July[ELECTRICITY])</f>
        <v>49.335000000000001</v>
      </c>
      <c r="F35" s="32">
        <f>AVERAGE(July[WATER])</f>
        <v>100.63</v>
      </c>
      <c r="G35" s="32">
        <f>AVERAGE(July[EGGS])</f>
        <v>9.43</v>
      </c>
      <c r="H35" s="32">
        <f>AVERAGE(July[DAIRY])</f>
        <v>24.211666666666662</v>
      </c>
      <c r="I35" s="32">
        <f>AVERAGE(July[MEAT])</f>
        <v>16.921428571428571</v>
      </c>
      <c r="J35" s="32">
        <f>AVERAGE(July[BREAD])</f>
        <v>7.3390909090909107</v>
      </c>
      <c r="K35" s="32">
        <f>AVERAGE(July[VEGETABLES])</f>
        <v>13.311250000000001</v>
      </c>
      <c r="L35" s="32">
        <f>AVERAGE(July[FRUITS])</f>
        <v>4.4719999999999995</v>
      </c>
      <c r="M35" s="32">
        <f>AVERAGE(July[OTHER FOODS])</f>
        <v>51.001249999999992</v>
      </c>
      <c r="N35" s="32">
        <f>AVERAGE(July[MEDICINE])</f>
        <v>52.9</v>
      </c>
      <c r="O35" s="32">
        <f>AVERAGE(July[CLOTHES])</f>
        <v>52</v>
      </c>
      <c r="P35" s="32">
        <f>AVERAGE(July[HYGIENE])</f>
        <v>29.856666666666666</v>
      </c>
      <c r="Q35" s="32">
        <f>AVERAGE(July[FUEL])</f>
        <v>201.15</v>
      </c>
      <c r="R35" s="32">
        <f>AVERAGE(July[OTHER COSTS])</f>
        <v>246.36875000000003</v>
      </c>
      <c r="S35" s="32">
        <f>AVERAGE(July[TOTAL])</f>
        <v>207.49096774193552</v>
      </c>
    </row>
    <row r="36" spans="1:19" x14ac:dyDescent="0.25">
      <c r="H36" s="3"/>
    </row>
  </sheetData>
  <dataConsolidate/>
  <mergeCells count="3">
    <mergeCell ref="B1:F1"/>
    <mergeCell ref="G1:M1"/>
    <mergeCell ref="N1: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workbookViewId="0">
      <selection activeCell="A3" sqref="A3"/>
    </sheetView>
  </sheetViews>
  <sheetFormatPr defaultRowHeight="15" x14ac:dyDescent="0.25"/>
  <cols>
    <col min="1" max="1" width="19.28515625" customWidth="1"/>
    <col min="2" max="2" width="20.5703125" customWidth="1"/>
    <col min="3" max="3" width="10.5703125" customWidth="1"/>
    <col min="5" max="5" width="14.85546875" customWidth="1"/>
    <col min="6" max="6" width="12.28515625" customWidth="1"/>
    <col min="11" max="11" width="15.5703125" customWidth="1"/>
    <col min="12" max="12" width="11.140625" customWidth="1"/>
    <col min="13" max="13" width="16.140625" customWidth="1"/>
    <col min="14" max="14" width="12" customWidth="1"/>
    <col min="15" max="15" width="13.7109375" customWidth="1"/>
    <col min="16" max="16" width="14.5703125" customWidth="1"/>
    <col min="18" max="18" width="17.28515625" customWidth="1"/>
    <col min="19" max="19" width="14" customWidth="1"/>
  </cols>
  <sheetData>
    <row r="1" spans="1:19" ht="15.75" thickTop="1" x14ac:dyDescent="0.25">
      <c r="A1" s="2"/>
      <c r="B1" s="40" t="s">
        <v>14</v>
      </c>
      <c r="C1" s="41"/>
      <c r="D1" s="41"/>
      <c r="E1" s="41"/>
      <c r="F1" s="42"/>
      <c r="G1" s="40" t="s">
        <v>15</v>
      </c>
      <c r="H1" s="41"/>
      <c r="I1" s="41"/>
      <c r="J1" s="41"/>
      <c r="K1" s="41"/>
      <c r="L1" s="41"/>
      <c r="M1" s="42"/>
      <c r="N1" s="40" t="s">
        <v>16</v>
      </c>
      <c r="O1" s="41"/>
      <c r="P1" s="41"/>
      <c r="Q1" s="41"/>
      <c r="R1" s="42"/>
      <c r="S1" s="2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8</v>
      </c>
      <c r="K2" s="2" t="s">
        <v>17</v>
      </c>
      <c r="L2" s="2" t="s">
        <v>18</v>
      </c>
      <c r="M2" s="2" t="s">
        <v>9</v>
      </c>
      <c r="N2" s="2" t="s">
        <v>20</v>
      </c>
      <c r="O2" s="2" t="s">
        <v>11</v>
      </c>
      <c r="P2" s="2" t="s">
        <v>19</v>
      </c>
      <c r="Q2" s="2" t="s">
        <v>12</v>
      </c>
      <c r="R2" s="2" t="s">
        <v>13</v>
      </c>
      <c r="S2" s="2" t="s">
        <v>21</v>
      </c>
    </row>
    <row r="3" spans="1:19" x14ac:dyDescent="0.25">
      <c r="A3" s="4">
        <v>45505</v>
      </c>
      <c r="B3" s="7"/>
      <c r="C3" s="8"/>
      <c r="D3" s="8"/>
      <c r="E3" s="8"/>
      <c r="F3" s="9"/>
      <c r="G3" s="8"/>
      <c r="H3" s="8"/>
      <c r="I3" s="8"/>
      <c r="J3" s="8"/>
      <c r="K3" s="8"/>
      <c r="L3" s="8"/>
      <c r="M3" s="9"/>
      <c r="N3" s="8">
        <v>2</v>
      </c>
      <c r="O3" s="8"/>
      <c r="P3" s="8"/>
      <c r="Q3" s="8"/>
      <c r="R3" s="9">
        <v>45</v>
      </c>
      <c r="S3" s="14">
        <f t="shared" ref="S3:S34" si="0">SUM(B3:R3)</f>
        <v>47</v>
      </c>
    </row>
    <row r="4" spans="1:19" x14ac:dyDescent="0.25">
      <c r="A4" s="4">
        <v>45506</v>
      </c>
      <c r="B4" s="7"/>
      <c r="C4" s="8"/>
      <c r="D4" s="8"/>
      <c r="E4" s="8"/>
      <c r="F4" s="9"/>
      <c r="G4" s="8"/>
      <c r="H4" s="8"/>
      <c r="I4" s="8"/>
      <c r="J4" s="8">
        <v>4.79</v>
      </c>
      <c r="K4" s="8">
        <v>18.73</v>
      </c>
      <c r="L4" s="8"/>
      <c r="M4" s="9">
        <v>59.62</v>
      </c>
      <c r="N4" s="8"/>
      <c r="O4" s="8"/>
      <c r="P4" s="8">
        <v>16.89</v>
      </c>
      <c r="Q4" s="8"/>
      <c r="R4" s="9">
        <v>92</v>
      </c>
      <c r="S4" s="14">
        <f t="shared" si="0"/>
        <v>192.03</v>
      </c>
    </row>
    <row r="5" spans="1:19" x14ac:dyDescent="0.25">
      <c r="A5" s="4">
        <v>45507</v>
      </c>
      <c r="B5" s="7"/>
      <c r="C5" s="8"/>
      <c r="D5" s="8"/>
      <c r="E5" s="8"/>
      <c r="F5" s="9"/>
      <c r="G5" s="8"/>
      <c r="H5" s="8"/>
      <c r="I5" s="8"/>
      <c r="J5" s="8">
        <v>11</v>
      </c>
      <c r="K5" s="8"/>
      <c r="L5" s="8"/>
      <c r="M5" s="9"/>
      <c r="N5" s="8"/>
      <c r="O5" s="8"/>
      <c r="P5" s="8"/>
      <c r="Q5" s="8"/>
      <c r="R5" s="9"/>
      <c r="S5" s="14">
        <f t="shared" si="0"/>
        <v>11</v>
      </c>
    </row>
    <row r="6" spans="1:19" x14ac:dyDescent="0.25">
      <c r="A6" s="4">
        <v>45508</v>
      </c>
      <c r="B6" s="7"/>
      <c r="C6" s="8"/>
      <c r="D6" s="8"/>
      <c r="E6" s="8"/>
      <c r="F6" s="9"/>
      <c r="G6" s="8"/>
      <c r="H6" s="8"/>
      <c r="I6" s="8">
        <v>11.8</v>
      </c>
      <c r="J6" s="8">
        <v>4.99</v>
      </c>
      <c r="K6" s="8">
        <v>20.98</v>
      </c>
      <c r="L6" s="8">
        <v>13.53</v>
      </c>
      <c r="M6" s="9">
        <v>70.8</v>
      </c>
      <c r="N6" s="8"/>
      <c r="O6" s="8"/>
      <c r="P6" s="8">
        <v>37.96</v>
      </c>
      <c r="Q6" s="8"/>
      <c r="R6" s="9"/>
      <c r="S6" s="14">
        <f t="shared" si="0"/>
        <v>160.06</v>
      </c>
    </row>
    <row r="7" spans="1:19" x14ac:dyDescent="0.25">
      <c r="A7" s="4">
        <v>45509</v>
      </c>
      <c r="B7" s="7"/>
      <c r="C7" s="8"/>
      <c r="D7" s="8"/>
      <c r="E7" s="8"/>
      <c r="F7" s="9"/>
      <c r="G7" s="8"/>
      <c r="H7" s="8"/>
      <c r="I7" s="8"/>
      <c r="J7" s="8">
        <v>8.5</v>
      </c>
      <c r="K7" s="8"/>
      <c r="L7" s="8"/>
      <c r="M7" s="9">
        <v>9.5500000000000007</v>
      </c>
      <c r="N7" s="8"/>
      <c r="O7" s="8">
        <v>38.97</v>
      </c>
      <c r="P7" s="8">
        <v>22.5</v>
      </c>
      <c r="Q7" s="8"/>
      <c r="R7" s="9"/>
      <c r="S7" s="14">
        <f>SUM(B7:R7)</f>
        <v>79.52</v>
      </c>
    </row>
    <row r="8" spans="1:19" x14ac:dyDescent="0.25">
      <c r="A8" s="4">
        <v>45510</v>
      </c>
      <c r="B8" s="7"/>
      <c r="C8" s="8"/>
      <c r="D8" s="8"/>
      <c r="E8" s="8"/>
      <c r="F8" s="9"/>
      <c r="G8" s="8"/>
      <c r="H8" s="8"/>
      <c r="I8" s="8"/>
      <c r="J8" s="8">
        <v>21</v>
      </c>
      <c r="K8" s="8"/>
      <c r="L8" s="8"/>
      <c r="M8" s="9"/>
      <c r="N8" s="8"/>
      <c r="O8" s="8"/>
      <c r="P8" s="8"/>
      <c r="Q8" s="8"/>
      <c r="R8" s="9"/>
      <c r="S8" s="14">
        <f t="shared" si="0"/>
        <v>21</v>
      </c>
    </row>
    <row r="9" spans="1:19" x14ac:dyDescent="0.25">
      <c r="A9" s="4">
        <v>45511</v>
      </c>
      <c r="B9" s="7"/>
      <c r="C9" s="8"/>
      <c r="D9" s="8"/>
      <c r="E9" s="8"/>
      <c r="F9" s="9"/>
      <c r="G9" s="8"/>
      <c r="H9" s="8"/>
      <c r="I9" s="8"/>
      <c r="J9" s="8">
        <v>8.5</v>
      </c>
      <c r="K9" s="8"/>
      <c r="L9" s="8"/>
      <c r="M9" s="9"/>
      <c r="N9" s="8"/>
      <c r="O9" s="8"/>
      <c r="P9" s="8"/>
      <c r="Q9" s="8"/>
      <c r="R9" s="9">
        <v>24</v>
      </c>
      <c r="S9" s="14">
        <f t="shared" si="0"/>
        <v>32.5</v>
      </c>
    </row>
    <row r="10" spans="1:19" x14ac:dyDescent="0.25">
      <c r="A10" s="4">
        <v>45512</v>
      </c>
      <c r="B10" s="7"/>
      <c r="C10" s="8"/>
      <c r="D10" s="8"/>
      <c r="E10" s="8"/>
      <c r="F10" s="9"/>
      <c r="G10" s="8"/>
      <c r="H10" s="8"/>
      <c r="I10" s="8"/>
      <c r="J10" s="8"/>
      <c r="K10" s="8">
        <v>26.47</v>
      </c>
      <c r="L10" s="8">
        <v>2.38</v>
      </c>
      <c r="M10" s="9">
        <v>18.97</v>
      </c>
      <c r="N10" s="8">
        <v>219.85</v>
      </c>
      <c r="O10" s="8"/>
      <c r="P10" s="8">
        <v>9.49</v>
      </c>
      <c r="Q10" s="8"/>
      <c r="R10" s="9">
        <v>105</v>
      </c>
      <c r="S10" s="14">
        <f t="shared" si="0"/>
        <v>382.15999999999997</v>
      </c>
    </row>
    <row r="11" spans="1:19" x14ac:dyDescent="0.25">
      <c r="A11" s="4">
        <v>45513</v>
      </c>
      <c r="B11" s="7"/>
      <c r="C11" s="8"/>
      <c r="D11" s="8"/>
      <c r="E11" s="8"/>
      <c r="F11" s="9"/>
      <c r="G11" s="8"/>
      <c r="H11" s="8"/>
      <c r="I11" s="8"/>
      <c r="J11" s="8">
        <v>3.59</v>
      </c>
      <c r="K11" s="8">
        <v>4.49</v>
      </c>
      <c r="L11" s="8"/>
      <c r="M11" s="9">
        <v>52.81</v>
      </c>
      <c r="N11" s="8">
        <v>83</v>
      </c>
      <c r="O11" s="8"/>
      <c r="P11" s="8">
        <v>13</v>
      </c>
      <c r="Q11" s="8"/>
      <c r="R11" s="9">
        <v>105</v>
      </c>
      <c r="S11" s="14">
        <f t="shared" si="0"/>
        <v>261.89</v>
      </c>
    </row>
    <row r="12" spans="1:19" x14ac:dyDescent="0.25">
      <c r="A12" s="4">
        <v>45514</v>
      </c>
      <c r="B12" s="7"/>
      <c r="C12" s="8"/>
      <c r="D12" s="8"/>
      <c r="E12" s="8"/>
      <c r="F12" s="9"/>
      <c r="G12" s="8"/>
      <c r="H12" s="8"/>
      <c r="I12" s="8"/>
      <c r="J12" s="8">
        <v>3.65</v>
      </c>
      <c r="K12" s="8">
        <v>6.59</v>
      </c>
      <c r="L12" s="8">
        <v>9.49</v>
      </c>
      <c r="M12" s="9">
        <v>45.67</v>
      </c>
      <c r="N12" s="8"/>
      <c r="O12" s="8"/>
      <c r="P12" s="8">
        <v>14.25</v>
      </c>
      <c r="Q12" s="8"/>
      <c r="R12" s="9">
        <v>51.07</v>
      </c>
      <c r="S12" s="14">
        <f t="shared" si="0"/>
        <v>130.72</v>
      </c>
    </row>
    <row r="13" spans="1:19" x14ac:dyDescent="0.25">
      <c r="A13" s="4">
        <v>45515</v>
      </c>
      <c r="B13" s="7"/>
      <c r="C13" s="8"/>
      <c r="D13" s="8"/>
      <c r="E13" s="8"/>
      <c r="F13" s="9"/>
      <c r="G13" s="8"/>
      <c r="H13" s="8"/>
      <c r="I13" s="8"/>
      <c r="J13" s="8"/>
      <c r="K13" s="8"/>
      <c r="L13" s="8"/>
      <c r="M13" s="9"/>
      <c r="N13" s="8"/>
      <c r="O13" s="8"/>
      <c r="P13" s="8"/>
      <c r="Q13" s="8"/>
      <c r="R13" s="9"/>
      <c r="S13" s="14">
        <f t="shared" si="0"/>
        <v>0</v>
      </c>
    </row>
    <row r="14" spans="1:19" x14ac:dyDescent="0.25">
      <c r="A14" s="4">
        <v>45516</v>
      </c>
      <c r="B14" s="7"/>
      <c r="C14" s="8"/>
      <c r="D14" s="8"/>
      <c r="E14" s="8"/>
      <c r="F14" s="9"/>
      <c r="G14" s="8"/>
      <c r="H14" s="8"/>
      <c r="I14" s="8"/>
      <c r="J14" s="8">
        <v>6.5</v>
      </c>
      <c r="K14" s="8"/>
      <c r="L14" s="8"/>
      <c r="M14" s="9"/>
      <c r="N14" s="8"/>
      <c r="O14" s="8"/>
      <c r="P14" s="8"/>
      <c r="Q14" s="8">
        <v>199.27</v>
      </c>
      <c r="R14" s="9">
        <v>2000</v>
      </c>
      <c r="S14" s="14">
        <f t="shared" si="0"/>
        <v>2205.77</v>
      </c>
    </row>
    <row r="15" spans="1:19" x14ac:dyDescent="0.25">
      <c r="A15" s="4">
        <v>45517</v>
      </c>
      <c r="B15" s="7"/>
      <c r="C15" s="8"/>
      <c r="D15" s="8"/>
      <c r="E15" s="8"/>
      <c r="F15" s="9"/>
      <c r="G15" s="8"/>
      <c r="H15" s="8"/>
      <c r="I15" s="8"/>
      <c r="J15" s="8"/>
      <c r="K15" s="8">
        <v>2.66</v>
      </c>
      <c r="L15" s="8"/>
      <c r="M15" s="9">
        <v>18.88</v>
      </c>
      <c r="N15" s="8"/>
      <c r="O15" s="8"/>
      <c r="P15" s="8"/>
      <c r="Q15" s="8"/>
      <c r="R15" s="9"/>
      <c r="S15" s="14">
        <f t="shared" si="0"/>
        <v>21.54</v>
      </c>
    </row>
    <row r="16" spans="1:19" x14ac:dyDescent="0.25">
      <c r="A16" s="4">
        <v>45518</v>
      </c>
      <c r="B16" s="7"/>
      <c r="C16" s="8"/>
      <c r="D16" s="8"/>
      <c r="E16" s="8"/>
      <c r="F16" s="9"/>
      <c r="G16" s="8"/>
      <c r="H16" s="8"/>
      <c r="I16" s="8"/>
      <c r="J16" s="8">
        <v>3.59</v>
      </c>
      <c r="K16" s="8"/>
      <c r="L16" s="8"/>
      <c r="M16" s="9">
        <v>13.43</v>
      </c>
      <c r="N16" s="8"/>
      <c r="O16" s="8"/>
      <c r="P16" s="8"/>
      <c r="Q16" s="8"/>
      <c r="R16" s="9">
        <v>39.99</v>
      </c>
      <c r="S16" s="14">
        <f t="shared" si="0"/>
        <v>57.010000000000005</v>
      </c>
    </row>
    <row r="17" spans="1:19" x14ac:dyDescent="0.25">
      <c r="A17" s="4">
        <v>45519</v>
      </c>
      <c r="B17" s="7"/>
      <c r="C17" s="8"/>
      <c r="D17" s="8"/>
      <c r="E17" s="8"/>
      <c r="F17" s="9"/>
      <c r="G17" s="8"/>
      <c r="H17" s="8"/>
      <c r="I17" s="8"/>
      <c r="J17" s="8"/>
      <c r="K17" s="8"/>
      <c r="L17" s="8"/>
      <c r="M17" s="9">
        <v>59</v>
      </c>
      <c r="N17" s="8"/>
      <c r="O17" s="8"/>
      <c r="P17" s="8"/>
      <c r="Q17" s="8"/>
      <c r="R17" s="9"/>
      <c r="S17" s="14">
        <f>SUM(B17:R17)</f>
        <v>59</v>
      </c>
    </row>
    <row r="18" spans="1:19" x14ac:dyDescent="0.25">
      <c r="A18" s="4">
        <v>45520</v>
      </c>
      <c r="B18" s="7"/>
      <c r="C18" s="8"/>
      <c r="D18" s="8"/>
      <c r="E18" s="8"/>
      <c r="F18" s="9"/>
      <c r="G18" s="8"/>
      <c r="H18" s="8">
        <v>9.99</v>
      </c>
      <c r="I18" s="8">
        <v>41.73</v>
      </c>
      <c r="J18" s="8">
        <v>12.5</v>
      </c>
      <c r="K18" s="8">
        <v>19.96</v>
      </c>
      <c r="L18" s="8">
        <v>25.28</v>
      </c>
      <c r="M18" s="9">
        <v>74.17</v>
      </c>
      <c r="N18" s="8"/>
      <c r="O18" s="8"/>
      <c r="P18" s="8">
        <v>18.98</v>
      </c>
      <c r="Q18" s="8"/>
      <c r="R18" s="9"/>
      <c r="S18" s="14">
        <f t="shared" si="0"/>
        <v>202.60999999999999</v>
      </c>
    </row>
    <row r="19" spans="1:19" x14ac:dyDescent="0.25">
      <c r="A19" s="4">
        <v>45521</v>
      </c>
      <c r="B19" s="7"/>
      <c r="C19" s="8"/>
      <c r="D19" s="8"/>
      <c r="E19" s="8"/>
      <c r="F19" s="9"/>
      <c r="G19" s="8"/>
      <c r="H19" s="8"/>
      <c r="I19" s="8"/>
      <c r="J19" s="8"/>
      <c r="K19" s="8"/>
      <c r="L19" s="8"/>
      <c r="M19" s="9">
        <v>9.5</v>
      </c>
      <c r="N19" s="8"/>
      <c r="O19" s="8"/>
      <c r="P19" s="8"/>
      <c r="Q19" s="8"/>
      <c r="R19" s="9">
        <v>41.8</v>
      </c>
      <c r="S19" s="14">
        <f t="shared" si="0"/>
        <v>51.3</v>
      </c>
    </row>
    <row r="20" spans="1:19" x14ac:dyDescent="0.25">
      <c r="A20" s="4">
        <v>45522</v>
      </c>
      <c r="B20" s="7"/>
      <c r="C20" s="8"/>
      <c r="D20" s="8"/>
      <c r="E20" s="8"/>
      <c r="F20" s="9"/>
      <c r="G20" s="8"/>
      <c r="H20" s="8"/>
      <c r="I20" s="8"/>
      <c r="J20" s="8"/>
      <c r="K20" s="8"/>
      <c r="L20" s="8"/>
      <c r="M20" s="9">
        <v>99</v>
      </c>
      <c r="N20" s="8"/>
      <c r="O20" s="8"/>
      <c r="P20" s="8"/>
      <c r="Q20" s="8"/>
      <c r="R20" s="9"/>
      <c r="S20" s="14">
        <f t="shared" si="0"/>
        <v>99</v>
      </c>
    </row>
    <row r="21" spans="1:19" x14ac:dyDescent="0.25">
      <c r="A21" s="4">
        <v>45523</v>
      </c>
      <c r="B21" s="7">
        <v>86.06</v>
      </c>
      <c r="C21" s="8">
        <v>101</v>
      </c>
      <c r="D21" s="8"/>
      <c r="E21" s="8"/>
      <c r="F21" s="9"/>
      <c r="G21" s="8"/>
      <c r="H21" s="8">
        <v>11.71</v>
      </c>
      <c r="I21" s="8"/>
      <c r="J21" s="8"/>
      <c r="K21" s="8"/>
      <c r="L21" s="8">
        <v>4.0999999999999996</v>
      </c>
      <c r="M21" s="9">
        <v>7.3</v>
      </c>
      <c r="N21" s="8"/>
      <c r="O21" s="8">
        <v>16.97</v>
      </c>
      <c r="P21" s="8">
        <v>6.99</v>
      </c>
      <c r="Q21" s="8"/>
      <c r="R21" s="9">
        <v>4.5999999999999996</v>
      </c>
      <c r="S21" s="14">
        <f t="shared" si="0"/>
        <v>238.73000000000002</v>
      </c>
    </row>
    <row r="22" spans="1:19" ht="14.25" customHeight="1" x14ac:dyDescent="0.25">
      <c r="A22" s="4">
        <v>45524</v>
      </c>
      <c r="B22" s="7"/>
      <c r="C22" s="8"/>
      <c r="D22" s="8"/>
      <c r="E22" s="8"/>
      <c r="F22" s="9">
        <v>134.16999999999999</v>
      </c>
      <c r="G22" s="8"/>
      <c r="H22" s="8"/>
      <c r="I22" s="8">
        <v>8.89</v>
      </c>
      <c r="J22" s="8">
        <v>11</v>
      </c>
      <c r="K22" s="8"/>
      <c r="L22" s="8"/>
      <c r="M22" s="9">
        <v>73.37</v>
      </c>
      <c r="N22" s="8">
        <v>58.8</v>
      </c>
      <c r="O22" s="8"/>
      <c r="P22" s="8">
        <v>15.99</v>
      </c>
      <c r="Q22" s="8"/>
      <c r="R22" s="9">
        <v>128.6</v>
      </c>
      <c r="S22" s="14">
        <f t="shared" si="0"/>
        <v>430.82000000000005</v>
      </c>
    </row>
    <row r="23" spans="1:19" x14ac:dyDescent="0.25">
      <c r="A23" s="4">
        <v>45525</v>
      </c>
      <c r="B23" s="7"/>
      <c r="C23" s="8"/>
      <c r="D23" s="8"/>
      <c r="E23" s="8"/>
      <c r="F23" s="9"/>
      <c r="G23" s="8"/>
      <c r="H23" s="8"/>
      <c r="I23" s="8"/>
      <c r="J23" s="8"/>
      <c r="K23" s="8"/>
      <c r="L23" s="8"/>
      <c r="M23" s="9"/>
      <c r="N23" s="8"/>
      <c r="O23" s="8"/>
      <c r="P23" s="8"/>
      <c r="Q23" s="8"/>
      <c r="R23" s="9"/>
      <c r="S23" s="14">
        <f t="shared" si="0"/>
        <v>0</v>
      </c>
    </row>
    <row r="24" spans="1:19" x14ac:dyDescent="0.25">
      <c r="A24" s="4">
        <v>45526</v>
      </c>
      <c r="B24" s="7"/>
      <c r="C24" s="8"/>
      <c r="D24" s="8"/>
      <c r="E24" s="8"/>
      <c r="F24" s="9"/>
      <c r="G24" s="8"/>
      <c r="H24" s="8">
        <v>4.75</v>
      </c>
      <c r="I24" s="8"/>
      <c r="J24" s="8"/>
      <c r="K24" s="8"/>
      <c r="L24" s="8"/>
      <c r="M24" s="9"/>
      <c r="N24" s="8"/>
      <c r="O24" s="8"/>
      <c r="P24" s="8"/>
      <c r="Q24" s="8"/>
      <c r="R24" s="9"/>
      <c r="S24" s="14">
        <f t="shared" si="0"/>
        <v>4.75</v>
      </c>
    </row>
    <row r="25" spans="1:19" x14ac:dyDescent="0.25">
      <c r="A25" s="4">
        <v>45527</v>
      </c>
      <c r="B25" s="7"/>
      <c r="C25" s="8"/>
      <c r="D25" s="8"/>
      <c r="E25" s="8"/>
      <c r="F25" s="9"/>
      <c r="G25" s="8"/>
      <c r="H25" s="8"/>
      <c r="I25" s="8"/>
      <c r="J25" s="8"/>
      <c r="K25" s="8"/>
      <c r="L25" s="8"/>
      <c r="M25" s="9">
        <v>8.89</v>
      </c>
      <c r="N25" s="8"/>
      <c r="O25" s="8"/>
      <c r="P25" s="8"/>
      <c r="Q25" s="8"/>
      <c r="R25" s="9">
        <v>21.9</v>
      </c>
      <c r="S25" s="14">
        <f t="shared" si="0"/>
        <v>30.79</v>
      </c>
    </row>
    <row r="26" spans="1:19" x14ac:dyDescent="0.25">
      <c r="A26" s="4">
        <v>45528</v>
      </c>
      <c r="B26" s="7"/>
      <c r="C26" s="8"/>
      <c r="D26" s="8"/>
      <c r="E26" s="8"/>
      <c r="F26" s="9"/>
      <c r="G26" s="8">
        <v>8.4</v>
      </c>
      <c r="H26" s="8"/>
      <c r="I26" s="8">
        <v>5.4</v>
      </c>
      <c r="J26" s="8">
        <v>11</v>
      </c>
      <c r="K26" s="8">
        <v>4.5199999999999996</v>
      </c>
      <c r="L26" s="8"/>
      <c r="M26" s="9">
        <v>9.9</v>
      </c>
      <c r="N26" s="8"/>
      <c r="O26" s="8"/>
      <c r="P26" s="8"/>
      <c r="Q26" s="8"/>
      <c r="R26" s="9">
        <v>50</v>
      </c>
      <c r="S26" s="14">
        <f t="shared" si="0"/>
        <v>89.22</v>
      </c>
    </row>
    <row r="27" spans="1:19" x14ac:dyDescent="0.25">
      <c r="A27" s="4">
        <v>45529</v>
      </c>
      <c r="B27" s="7"/>
      <c r="C27" s="8"/>
      <c r="D27" s="8">
        <v>35.69</v>
      </c>
      <c r="E27" s="8"/>
      <c r="F27" s="9"/>
      <c r="G27" s="8"/>
      <c r="H27" s="8"/>
      <c r="I27" s="8"/>
      <c r="J27" s="8"/>
      <c r="K27" s="8"/>
      <c r="L27" s="8"/>
      <c r="M27" s="9">
        <v>50</v>
      </c>
      <c r="N27" s="8">
        <v>70.3</v>
      </c>
      <c r="O27" s="8"/>
      <c r="P27" s="8"/>
      <c r="Q27" s="8"/>
      <c r="R27" s="9">
        <v>130.35</v>
      </c>
      <c r="S27" s="14">
        <f>SUM(B27:R27)</f>
        <v>286.34000000000003</v>
      </c>
    </row>
    <row r="28" spans="1:19" ht="14.25" customHeight="1" x14ac:dyDescent="0.25">
      <c r="A28" s="4">
        <v>45530</v>
      </c>
      <c r="B28" s="7"/>
      <c r="C28" s="8"/>
      <c r="D28" s="8"/>
      <c r="E28" s="8"/>
      <c r="F28" s="9"/>
      <c r="G28" s="8"/>
      <c r="H28" s="8"/>
      <c r="I28" s="8"/>
      <c r="J28" s="8"/>
      <c r="K28" s="8"/>
      <c r="L28" s="8">
        <v>7.81</v>
      </c>
      <c r="M28" s="9">
        <v>7.7</v>
      </c>
      <c r="N28" s="8">
        <v>1.8</v>
      </c>
      <c r="O28" s="8"/>
      <c r="P28" s="8"/>
      <c r="Q28" s="8"/>
      <c r="R28" s="9">
        <v>1.5</v>
      </c>
      <c r="S28" s="14">
        <f t="shared" si="0"/>
        <v>18.809999999999999</v>
      </c>
    </row>
    <row r="29" spans="1:19" x14ac:dyDescent="0.25">
      <c r="A29" s="4">
        <v>45531</v>
      </c>
      <c r="B29" s="7"/>
      <c r="C29" s="8"/>
      <c r="D29" s="8"/>
      <c r="E29" s="8"/>
      <c r="F29" s="9"/>
      <c r="G29" s="8"/>
      <c r="H29" s="8"/>
      <c r="I29" s="8">
        <v>4.4800000000000004</v>
      </c>
      <c r="J29" s="8"/>
      <c r="K29" s="8">
        <v>17.48</v>
      </c>
      <c r="L29" s="8"/>
      <c r="M29" s="9">
        <v>44.26</v>
      </c>
      <c r="N29" s="8"/>
      <c r="O29" s="8"/>
      <c r="P29" s="8"/>
      <c r="Q29" s="8"/>
      <c r="R29" s="9">
        <v>248.94</v>
      </c>
      <c r="S29" s="14">
        <f t="shared" si="0"/>
        <v>315.15999999999997</v>
      </c>
    </row>
    <row r="30" spans="1:19" x14ac:dyDescent="0.25">
      <c r="A30" s="4">
        <v>45532</v>
      </c>
      <c r="B30" s="7"/>
      <c r="C30" s="8"/>
      <c r="D30" s="8"/>
      <c r="E30" s="8"/>
      <c r="F30" s="9"/>
      <c r="G30" s="8"/>
      <c r="H30" s="8"/>
      <c r="I30" s="8"/>
      <c r="J30" s="8">
        <v>9.5299999999999994</v>
      </c>
      <c r="K30" s="8">
        <v>19.87</v>
      </c>
      <c r="L30" s="8"/>
      <c r="M30" s="9"/>
      <c r="N30" s="8">
        <v>185</v>
      </c>
      <c r="O30" s="8"/>
      <c r="P30" s="8"/>
      <c r="Q30" s="8"/>
      <c r="R30" s="9">
        <v>200</v>
      </c>
      <c r="S30" s="14">
        <f t="shared" si="0"/>
        <v>414.4</v>
      </c>
    </row>
    <row r="31" spans="1:19" x14ac:dyDescent="0.25">
      <c r="A31" s="4">
        <v>45533</v>
      </c>
      <c r="B31" s="7"/>
      <c r="C31" s="8"/>
      <c r="D31" s="8"/>
      <c r="E31" s="8"/>
      <c r="F31" s="9"/>
      <c r="G31" s="8"/>
      <c r="H31" s="8"/>
      <c r="I31" s="8"/>
      <c r="J31" s="8">
        <v>5</v>
      </c>
      <c r="K31" s="8"/>
      <c r="L31" s="8">
        <v>2.83</v>
      </c>
      <c r="M31" s="9">
        <v>19.2</v>
      </c>
      <c r="N31" s="8"/>
      <c r="O31" s="8"/>
      <c r="P31" s="8"/>
      <c r="Q31" s="8"/>
      <c r="R31" s="9">
        <v>500</v>
      </c>
      <c r="S31" s="14">
        <f t="shared" si="0"/>
        <v>527.03</v>
      </c>
    </row>
    <row r="32" spans="1:19" x14ac:dyDescent="0.25">
      <c r="A32" s="4">
        <v>45534</v>
      </c>
      <c r="B32" s="7"/>
      <c r="C32" s="8"/>
      <c r="D32" s="8"/>
      <c r="E32" s="8"/>
      <c r="F32" s="9"/>
      <c r="G32" s="8"/>
      <c r="H32" s="8"/>
      <c r="I32" s="8"/>
      <c r="J32" s="8"/>
      <c r="K32" s="8"/>
      <c r="L32" s="8">
        <v>10.23</v>
      </c>
      <c r="M32" s="9"/>
      <c r="N32" s="8"/>
      <c r="O32" s="8"/>
      <c r="P32" s="8"/>
      <c r="Q32" s="8"/>
      <c r="R32" s="9"/>
      <c r="S32" s="14">
        <f t="shared" si="0"/>
        <v>10.23</v>
      </c>
    </row>
    <row r="33" spans="1:19" ht="15.75" thickBot="1" x14ac:dyDescent="0.3">
      <c r="A33" s="4">
        <v>45535</v>
      </c>
      <c r="B33" s="25"/>
      <c r="C33" s="26"/>
      <c r="D33" s="26"/>
      <c r="E33" s="26"/>
      <c r="F33" s="27"/>
      <c r="G33" s="26"/>
      <c r="H33" s="26">
        <v>22.24</v>
      </c>
      <c r="I33" s="26">
        <v>51.91</v>
      </c>
      <c r="J33" s="26">
        <v>10.19</v>
      </c>
      <c r="K33" s="26">
        <v>15.98</v>
      </c>
      <c r="L33" s="26"/>
      <c r="M33" s="27">
        <v>78.319999999999993</v>
      </c>
      <c r="N33" s="26"/>
      <c r="O33" s="26"/>
      <c r="P33" s="26">
        <v>18.45</v>
      </c>
      <c r="Q33" s="26"/>
      <c r="R33" s="28">
        <v>50</v>
      </c>
      <c r="S33" s="14">
        <f t="shared" si="0"/>
        <v>247.08999999999997</v>
      </c>
    </row>
    <row r="34" spans="1:19" ht="16.5" thickTop="1" thickBot="1" x14ac:dyDescent="0.3">
      <c r="A34" s="4" t="s">
        <v>21</v>
      </c>
      <c r="B34" s="8">
        <f t="shared" ref="B34:K34" si="1">SUM(B3:B33)</f>
        <v>86.06</v>
      </c>
      <c r="C34" s="8">
        <f t="shared" si="1"/>
        <v>101</v>
      </c>
      <c r="D34" s="8">
        <f t="shared" si="1"/>
        <v>35.69</v>
      </c>
      <c r="E34" s="8">
        <f t="shared" si="1"/>
        <v>0</v>
      </c>
      <c r="F34" s="8">
        <f t="shared" si="1"/>
        <v>134.16999999999999</v>
      </c>
      <c r="G34" s="8">
        <f t="shared" si="1"/>
        <v>8.4</v>
      </c>
      <c r="H34" s="8">
        <f t="shared" si="1"/>
        <v>48.69</v>
      </c>
      <c r="I34" s="8">
        <f t="shared" si="1"/>
        <v>124.21000000000001</v>
      </c>
      <c r="J34" s="8">
        <f t="shared" si="1"/>
        <v>135.33000000000001</v>
      </c>
      <c r="K34" s="8">
        <f t="shared" si="1"/>
        <v>157.72999999999999</v>
      </c>
      <c r="L34" s="8">
        <f>SUM(L3:L33)</f>
        <v>75.650000000000006</v>
      </c>
      <c r="M34" s="8">
        <f t="shared" ref="M34:Q34" si="2">SUM(M3:M33)</f>
        <v>830.34000000000015</v>
      </c>
      <c r="N34" s="8">
        <f t="shared" si="2"/>
        <v>620.75</v>
      </c>
      <c r="O34" s="8">
        <f t="shared" si="2"/>
        <v>55.94</v>
      </c>
      <c r="P34" s="8">
        <f t="shared" si="2"/>
        <v>174.5</v>
      </c>
      <c r="Q34" s="8">
        <f t="shared" si="2"/>
        <v>199.27</v>
      </c>
      <c r="R34" s="8">
        <f>SUM(R3:R33)</f>
        <v>3839.75</v>
      </c>
      <c r="S34" s="15">
        <f t="shared" si="0"/>
        <v>6627.48</v>
      </c>
    </row>
    <row r="35" spans="1:19" ht="15.75" thickTop="1" x14ac:dyDescent="0.25">
      <c r="A35" s="35" t="s">
        <v>23</v>
      </c>
      <c r="B35" s="33">
        <f>AVERAGE(August[CABLE &amp; INTERNET])</f>
        <v>86.06</v>
      </c>
      <c r="C35" s="33">
        <f>AVERAGE(August[PHONE])</f>
        <v>101</v>
      </c>
      <c r="D35" s="33">
        <f>AVERAGE(August[GAS])</f>
        <v>35.69</v>
      </c>
      <c r="E35" s="33" t="e">
        <f>AVERAGE(August[ELECTRICITY])</f>
        <v>#DIV/0!</v>
      </c>
      <c r="F35" s="33">
        <f>AVERAGE(August[WATER])</f>
        <v>134.16999999999999</v>
      </c>
      <c r="G35" s="33">
        <f>AVERAGE(August[EGGS])</f>
        <v>8.4</v>
      </c>
      <c r="H35" s="33">
        <f>AVERAGE(August[DAIRY])</f>
        <v>12.172499999999999</v>
      </c>
      <c r="I35" s="33">
        <f>AVERAGE(August[MEAT])</f>
        <v>20.701666666666668</v>
      </c>
      <c r="J35" s="33">
        <f>AVERAGE(August[BREAD])</f>
        <v>8.4581250000000008</v>
      </c>
      <c r="K35" s="33">
        <f>AVERAGE(August[VEGETABLES])</f>
        <v>14.339090909090908</v>
      </c>
      <c r="L35" s="33">
        <f>AVERAGE(August[FRUITS])</f>
        <v>9.4562500000000007</v>
      </c>
      <c r="M35" s="33">
        <f>AVERAGE(August[OTHER FOODS])</f>
        <v>39.540000000000006</v>
      </c>
      <c r="N35" s="33">
        <f>AVERAGE(August[MEDICINE])</f>
        <v>88.678571428571431</v>
      </c>
      <c r="O35" s="33">
        <f>AVERAGE(August[CLOTHES])</f>
        <v>27.97</v>
      </c>
      <c r="P35" s="33">
        <f>AVERAGE(August[HYGIENE])</f>
        <v>17.45</v>
      </c>
      <c r="Q35" s="33">
        <f>AVERAGE(August[FUEL])</f>
        <v>199.27</v>
      </c>
      <c r="R35" s="33">
        <f>AVERAGE(August[OTHER COSTS])</f>
        <v>202.09210526315789</v>
      </c>
      <c r="S35" s="34">
        <f>AVERAGE(August[TOTAL])</f>
        <v>213.78967741935483</v>
      </c>
    </row>
  </sheetData>
  <mergeCells count="3">
    <mergeCell ref="B1:F1"/>
    <mergeCell ref="G1:M1"/>
    <mergeCell ref="N1: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ADA8-CBF9-40A9-88CF-DF49D636E4B5}">
  <dimension ref="A1:S34"/>
  <sheetViews>
    <sheetView workbookViewId="0">
      <selection activeCell="D9" sqref="D9"/>
    </sheetView>
  </sheetViews>
  <sheetFormatPr defaultRowHeight="15" x14ac:dyDescent="0.25"/>
  <cols>
    <col min="1" max="1" width="15.7109375" customWidth="1"/>
    <col min="2" max="2" width="12.42578125" customWidth="1"/>
    <col min="3" max="3" width="12.140625" customWidth="1"/>
    <col min="5" max="5" width="15.42578125" customWidth="1"/>
    <col min="6" max="6" width="13.140625" customWidth="1"/>
    <col min="7" max="7" width="11.5703125" customWidth="1"/>
    <col min="10" max="10" width="10.42578125" customWidth="1"/>
    <col min="11" max="11" width="14.28515625" customWidth="1"/>
    <col min="13" max="14" width="12.28515625" customWidth="1"/>
    <col min="15" max="15" width="12.42578125" customWidth="1"/>
    <col min="16" max="16" width="11.140625" customWidth="1"/>
    <col min="18" max="18" width="15" customWidth="1"/>
    <col min="19" max="19" width="14.7109375" customWidth="1"/>
  </cols>
  <sheetData>
    <row r="1" spans="1:19" ht="15.75" thickTop="1" x14ac:dyDescent="0.25">
      <c r="A1" s="2"/>
      <c r="B1" s="40" t="s">
        <v>14</v>
      </c>
      <c r="C1" s="41"/>
      <c r="D1" s="41"/>
      <c r="E1" s="41"/>
      <c r="F1" s="42"/>
      <c r="G1" s="40" t="s">
        <v>15</v>
      </c>
      <c r="H1" s="41"/>
      <c r="I1" s="41"/>
      <c r="J1" s="41"/>
      <c r="K1" s="41"/>
      <c r="L1" s="41"/>
      <c r="M1" s="42"/>
      <c r="N1" s="40" t="s">
        <v>16</v>
      </c>
      <c r="O1" s="41"/>
      <c r="P1" s="41"/>
      <c r="Q1" s="41"/>
      <c r="R1" s="42"/>
      <c r="S1" s="2"/>
    </row>
    <row r="2" spans="1:19" ht="30" x14ac:dyDescent="0.25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6" t="s">
        <v>6</v>
      </c>
      <c r="H2" s="2" t="s">
        <v>7</v>
      </c>
      <c r="I2" s="2" t="s">
        <v>10</v>
      </c>
      <c r="J2" s="2" t="s">
        <v>8</v>
      </c>
      <c r="K2" s="2" t="s">
        <v>17</v>
      </c>
      <c r="L2" s="2" t="s">
        <v>18</v>
      </c>
      <c r="M2" s="2" t="s">
        <v>9</v>
      </c>
      <c r="N2" s="6" t="s">
        <v>20</v>
      </c>
      <c r="O2" s="2" t="s">
        <v>11</v>
      </c>
      <c r="P2" s="2" t="s">
        <v>19</v>
      </c>
      <c r="Q2" s="2" t="s">
        <v>12</v>
      </c>
      <c r="R2" s="5" t="s">
        <v>13</v>
      </c>
      <c r="S2" s="2" t="s">
        <v>21</v>
      </c>
    </row>
    <row r="3" spans="1:19" x14ac:dyDescent="0.25">
      <c r="A3" s="4">
        <v>45536</v>
      </c>
      <c r="B3" s="7"/>
      <c r="C3" s="8"/>
      <c r="D3" s="8"/>
      <c r="E3" s="8"/>
      <c r="F3" s="9"/>
      <c r="G3" s="8"/>
      <c r="H3" s="8"/>
      <c r="I3" s="8"/>
      <c r="J3" s="8">
        <v>5.4</v>
      </c>
      <c r="K3" s="8"/>
      <c r="L3" s="8"/>
      <c r="M3" s="10">
        <v>9.98</v>
      </c>
      <c r="N3" s="8"/>
      <c r="O3" s="8"/>
      <c r="P3" s="8"/>
      <c r="Q3" s="8"/>
      <c r="R3" s="9"/>
      <c r="S3" s="14">
        <f t="shared" ref="S3:S33" si="0">SUM(B3:R3)</f>
        <v>15.38</v>
      </c>
    </row>
    <row r="4" spans="1:19" x14ac:dyDescent="0.25">
      <c r="A4" s="4">
        <v>45537</v>
      </c>
      <c r="B4" s="7"/>
      <c r="C4" s="8"/>
      <c r="D4" s="8"/>
      <c r="E4" s="8"/>
      <c r="F4" s="9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>
        <v>21</v>
      </c>
      <c r="S4" s="14">
        <f t="shared" si="0"/>
        <v>21</v>
      </c>
    </row>
    <row r="5" spans="1:19" x14ac:dyDescent="0.25">
      <c r="A5" s="4">
        <v>45538</v>
      </c>
      <c r="B5" s="7"/>
      <c r="C5" s="8"/>
      <c r="D5" s="8"/>
      <c r="E5" s="8"/>
      <c r="F5" s="9"/>
      <c r="G5" s="8"/>
      <c r="H5" s="8"/>
      <c r="I5" s="8">
        <v>8.93</v>
      </c>
      <c r="J5" s="8">
        <v>5.56</v>
      </c>
      <c r="K5" s="8">
        <v>7.7</v>
      </c>
      <c r="L5" s="8">
        <v>13.17</v>
      </c>
      <c r="M5" s="9">
        <v>56.23</v>
      </c>
      <c r="N5" s="8"/>
      <c r="O5" s="8"/>
      <c r="P5" s="8"/>
      <c r="Q5" s="8"/>
      <c r="R5" s="9"/>
      <c r="S5" s="14">
        <f t="shared" si="0"/>
        <v>91.59</v>
      </c>
    </row>
    <row r="6" spans="1:19" x14ac:dyDescent="0.25">
      <c r="A6" s="4">
        <v>45539</v>
      </c>
      <c r="B6" s="7"/>
      <c r="C6" s="8"/>
      <c r="D6" s="8"/>
      <c r="E6" s="8"/>
      <c r="F6" s="9"/>
      <c r="G6" s="8"/>
      <c r="H6" s="8"/>
      <c r="I6" s="8"/>
      <c r="J6" s="8"/>
      <c r="K6" s="8"/>
      <c r="L6" s="8"/>
      <c r="M6" s="9">
        <v>21.5</v>
      </c>
      <c r="N6" s="8"/>
      <c r="O6" s="8"/>
      <c r="P6" s="8">
        <v>16.5</v>
      </c>
      <c r="Q6" s="8"/>
      <c r="R6" s="9">
        <v>23.5</v>
      </c>
      <c r="S6" s="14">
        <f t="shared" si="0"/>
        <v>61.5</v>
      </c>
    </row>
    <row r="7" spans="1:19" x14ac:dyDescent="0.25">
      <c r="A7" s="4">
        <v>45540</v>
      </c>
      <c r="B7" s="7"/>
      <c r="C7" s="8"/>
      <c r="D7" s="8"/>
      <c r="E7" s="8"/>
      <c r="F7" s="9"/>
      <c r="G7" s="8"/>
      <c r="H7" s="8"/>
      <c r="I7" s="8"/>
      <c r="J7" s="8"/>
      <c r="K7" s="8"/>
      <c r="L7" s="8"/>
      <c r="M7" s="9"/>
      <c r="N7" s="8"/>
      <c r="O7" s="8"/>
      <c r="P7" s="8"/>
      <c r="Q7" s="8"/>
      <c r="R7" s="9"/>
      <c r="S7" s="14">
        <f>SUM(B7:R7)</f>
        <v>0</v>
      </c>
    </row>
    <row r="8" spans="1:19" x14ac:dyDescent="0.25">
      <c r="A8" s="4">
        <v>45541</v>
      </c>
      <c r="B8" s="7"/>
      <c r="C8" s="8"/>
      <c r="D8" s="8"/>
      <c r="E8" s="8"/>
      <c r="F8" s="9"/>
      <c r="G8" s="8">
        <v>8.4</v>
      </c>
      <c r="H8" s="8">
        <v>6.8</v>
      </c>
      <c r="I8" s="8">
        <v>25.2</v>
      </c>
      <c r="J8" s="8">
        <v>10.69</v>
      </c>
      <c r="K8" s="8">
        <v>7.3</v>
      </c>
      <c r="L8" s="8"/>
      <c r="M8" s="9">
        <v>15.7</v>
      </c>
      <c r="N8" s="8"/>
      <c r="O8" s="8"/>
      <c r="P8" s="8">
        <v>14.3</v>
      </c>
      <c r="Q8" s="8"/>
      <c r="R8" s="9"/>
      <c r="S8" s="14">
        <f t="shared" si="0"/>
        <v>88.389999999999986</v>
      </c>
    </row>
    <row r="9" spans="1:19" x14ac:dyDescent="0.25">
      <c r="A9" s="4">
        <v>45542</v>
      </c>
      <c r="B9" s="7"/>
      <c r="C9" s="8"/>
      <c r="D9" s="8"/>
      <c r="E9" s="8"/>
      <c r="F9" s="9"/>
      <c r="G9" s="8"/>
      <c r="H9" s="8"/>
      <c r="I9" s="8"/>
      <c r="J9" s="8">
        <v>6.5</v>
      </c>
      <c r="K9" s="8"/>
      <c r="L9" s="8"/>
      <c r="M9" s="9"/>
      <c r="N9" s="8"/>
      <c r="O9" s="8">
        <v>6</v>
      </c>
      <c r="P9" s="8"/>
      <c r="Q9" s="8"/>
      <c r="R9" s="9">
        <v>176.4</v>
      </c>
      <c r="S9" s="14">
        <f t="shared" si="0"/>
        <v>188.9</v>
      </c>
    </row>
    <row r="10" spans="1:19" x14ac:dyDescent="0.25">
      <c r="A10" s="4">
        <v>45543</v>
      </c>
      <c r="B10" s="7"/>
      <c r="C10" s="8"/>
      <c r="D10" s="8"/>
      <c r="E10" s="8"/>
      <c r="F10" s="9"/>
      <c r="G10" s="8"/>
      <c r="H10" s="8"/>
      <c r="I10" s="8"/>
      <c r="J10" s="8"/>
      <c r="K10" s="8"/>
      <c r="L10" s="8"/>
      <c r="M10" s="9"/>
      <c r="N10" s="8"/>
      <c r="O10" s="8"/>
      <c r="P10" s="8"/>
      <c r="Q10" s="8"/>
      <c r="R10" s="9">
        <v>1500</v>
      </c>
      <c r="S10" s="14">
        <f t="shared" si="0"/>
        <v>1500</v>
      </c>
    </row>
    <row r="11" spans="1:19" x14ac:dyDescent="0.25">
      <c r="A11" s="4">
        <v>45544</v>
      </c>
      <c r="B11" s="7"/>
      <c r="C11" s="8"/>
      <c r="D11" s="8"/>
      <c r="E11" s="8"/>
      <c r="F11" s="9"/>
      <c r="G11" s="8"/>
      <c r="H11" s="8">
        <v>4.59</v>
      </c>
      <c r="I11" s="8"/>
      <c r="J11" s="8">
        <v>3.65</v>
      </c>
      <c r="K11" s="8">
        <v>3.2</v>
      </c>
      <c r="L11" s="8"/>
      <c r="M11" s="9">
        <v>39.97</v>
      </c>
      <c r="N11" s="8"/>
      <c r="O11" s="8"/>
      <c r="P11" s="8">
        <v>45.4</v>
      </c>
      <c r="Q11" s="8"/>
      <c r="R11" s="9"/>
      <c r="S11" s="14">
        <f t="shared" si="0"/>
        <v>96.81</v>
      </c>
    </row>
    <row r="12" spans="1:19" x14ac:dyDescent="0.25">
      <c r="A12" s="4">
        <v>45545</v>
      </c>
      <c r="B12" s="7"/>
      <c r="C12" s="8"/>
      <c r="D12" s="8"/>
      <c r="E12" s="8"/>
      <c r="F12" s="9"/>
      <c r="G12" s="8"/>
      <c r="H12" s="8"/>
      <c r="I12" s="8"/>
      <c r="J12" s="8"/>
      <c r="K12" s="8">
        <v>12.88</v>
      </c>
      <c r="L12" s="8"/>
      <c r="M12" s="9">
        <v>34.270000000000003</v>
      </c>
      <c r="N12" s="8"/>
      <c r="O12" s="8"/>
      <c r="P12" s="8"/>
      <c r="Q12" s="8">
        <v>200.21</v>
      </c>
      <c r="R12" s="9">
        <v>11.99</v>
      </c>
      <c r="S12" s="14">
        <f t="shared" si="0"/>
        <v>259.35000000000002</v>
      </c>
    </row>
    <row r="13" spans="1:19" x14ac:dyDescent="0.25">
      <c r="A13" s="4">
        <v>45546</v>
      </c>
      <c r="B13" s="7"/>
      <c r="C13" s="8"/>
      <c r="D13" s="8"/>
      <c r="E13" s="8"/>
      <c r="F13" s="9"/>
      <c r="G13" s="8"/>
      <c r="H13" s="8"/>
      <c r="I13" s="8"/>
      <c r="J13" s="8"/>
      <c r="K13" s="8"/>
      <c r="L13" s="8">
        <v>6.99</v>
      </c>
      <c r="M13" s="9">
        <v>13.4</v>
      </c>
      <c r="N13" s="8"/>
      <c r="O13" s="8"/>
      <c r="P13" s="8">
        <v>18.98</v>
      </c>
      <c r="Q13" s="8"/>
      <c r="R13" s="9">
        <v>1500</v>
      </c>
      <c r="S13" s="14">
        <f t="shared" si="0"/>
        <v>1539.37</v>
      </c>
    </row>
    <row r="14" spans="1:19" x14ac:dyDescent="0.25">
      <c r="A14" s="4">
        <v>45547</v>
      </c>
      <c r="B14" s="7"/>
      <c r="C14" s="8"/>
      <c r="D14" s="8"/>
      <c r="E14" s="8"/>
      <c r="F14" s="9"/>
      <c r="G14" s="8"/>
      <c r="H14" s="8"/>
      <c r="I14" s="8"/>
      <c r="J14" s="8">
        <v>5.49</v>
      </c>
      <c r="K14" s="8"/>
      <c r="L14" s="8"/>
      <c r="M14" s="9">
        <v>103.46</v>
      </c>
      <c r="N14" s="8"/>
      <c r="O14" s="8"/>
      <c r="P14" s="8"/>
      <c r="Q14" s="8"/>
      <c r="R14" s="9">
        <v>15.88</v>
      </c>
      <c r="S14" s="14">
        <f t="shared" si="0"/>
        <v>124.82999999999998</v>
      </c>
    </row>
    <row r="15" spans="1:19" x14ac:dyDescent="0.25">
      <c r="A15" s="4">
        <v>45548</v>
      </c>
      <c r="B15" s="7"/>
      <c r="C15" s="8"/>
      <c r="D15" s="8"/>
      <c r="E15" s="8"/>
      <c r="F15" s="9"/>
      <c r="G15" s="8"/>
      <c r="H15" s="8"/>
      <c r="I15" s="8"/>
      <c r="J15" s="8"/>
      <c r="K15" s="8">
        <v>24.96</v>
      </c>
      <c r="L15" s="8"/>
      <c r="M15" s="9">
        <v>8.1</v>
      </c>
      <c r="N15" s="8"/>
      <c r="O15" s="8"/>
      <c r="P15" s="8"/>
      <c r="Q15" s="8"/>
      <c r="R15" s="9"/>
      <c r="S15" s="14">
        <f t="shared" si="0"/>
        <v>33.06</v>
      </c>
    </row>
    <row r="16" spans="1:19" x14ac:dyDescent="0.25">
      <c r="A16" s="4">
        <v>45549</v>
      </c>
      <c r="B16" s="7"/>
      <c r="C16" s="8"/>
      <c r="D16" s="8"/>
      <c r="E16" s="8"/>
      <c r="F16" s="9"/>
      <c r="G16" s="8"/>
      <c r="H16" s="8"/>
      <c r="I16" s="8"/>
      <c r="J16" s="8"/>
      <c r="K16" s="8">
        <v>12.99</v>
      </c>
      <c r="L16" s="8"/>
      <c r="M16" s="9"/>
      <c r="N16" s="8"/>
      <c r="O16" s="8"/>
      <c r="P16" s="8"/>
      <c r="Q16" s="8"/>
      <c r="R16" s="9"/>
      <c r="S16" s="14">
        <f t="shared" si="0"/>
        <v>12.99</v>
      </c>
    </row>
    <row r="17" spans="1:19" x14ac:dyDescent="0.25">
      <c r="A17" s="4">
        <v>45550</v>
      </c>
      <c r="B17" s="7"/>
      <c r="C17" s="8"/>
      <c r="D17" s="8"/>
      <c r="E17" s="8"/>
      <c r="F17" s="9"/>
      <c r="G17" s="8"/>
      <c r="H17" s="8">
        <v>26.29</v>
      </c>
      <c r="I17" s="8">
        <v>8.48</v>
      </c>
      <c r="J17" s="8">
        <v>6.29</v>
      </c>
      <c r="K17" s="8"/>
      <c r="L17" s="8">
        <v>5.9</v>
      </c>
      <c r="M17" s="9">
        <v>10.75</v>
      </c>
      <c r="N17" s="8"/>
      <c r="O17" s="8"/>
      <c r="P17" s="8">
        <v>3.98</v>
      </c>
      <c r="Q17" s="8"/>
      <c r="R17" s="9">
        <v>7.38</v>
      </c>
      <c r="S17" s="14">
        <f>SUM(B17:R17)</f>
        <v>69.069999999999993</v>
      </c>
    </row>
    <row r="18" spans="1:19" x14ac:dyDescent="0.25">
      <c r="A18" s="4">
        <v>45551</v>
      </c>
      <c r="B18" s="7"/>
      <c r="C18" s="8"/>
      <c r="D18" s="8"/>
      <c r="E18" s="8">
        <v>52.36</v>
      </c>
      <c r="F18" s="9"/>
      <c r="G18" s="8"/>
      <c r="H18" s="8">
        <v>5.8</v>
      </c>
      <c r="I18" s="8"/>
      <c r="J18" s="8"/>
      <c r="K18" s="8"/>
      <c r="L18" s="8">
        <v>7.8</v>
      </c>
      <c r="M18" s="9">
        <v>7.5</v>
      </c>
      <c r="N18" s="8"/>
      <c r="O18" s="8"/>
      <c r="P18" s="8"/>
      <c r="Q18" s="8"/>
      <c r="R18" s="9">
        <v>1.5</v>
      </c>
      <c r="S18" s="14">
        <f t="shared" si="0"/>
        <v>74.959999999999994</v>
      </c>
    </row>
    <row r="19" spans="1:19" x14ac:dyDescent="0.25">
      <c r="A19" s="4">
        <v>45552</v>
      </c>
      <c r="B19" s="7">
        <v>86.08</v>
      </c>
      <c r="C19" s="8">
        <v>70.75</v>
      </c>
      <c r="D19" s="8"/>
      <c r="E19" s="8"/>
      <c r="F19" s="9"/>
      <c r="G19" s="8"/>
      <c r="H19" s="8"/>
      <c r="I19" s="8"/>
      <c r="J19" s="8">
        <v>11.73</v>
      </c>
      <c r="K19" s="8"/>
      <c r="L19" s="8"/>
      <c r="M19" s="9">
        <v>70.34</v>
      </c>
      <c r="N19" s="8"/>
      <c r="O19" s="8"/>
      <c r="P19" s="8"/>
      <c r="Q19" s="8"/>
      <c r="R19" s="9">
        <v>2.5</v>
      </c>
      <c r="S19" s="14">
        <f t="shared" si="0"/>
        <v>241.39999999999998</v>
      </c>
    </row>
    <row r="20" spans="1:19" x14ac:dyDescent="0.25">
      <c r="A20" s="4">
        <v>45553</v>
      </c>
      <c r="B20" s="7"/>
      <c r="C20" s="8"/>
      <c r="D20" s="8"/>
      <c r="E20" s="8"/>
      <c r="F20" s="9">
        <v>53.67</v>
      </c>
      <c r="G20" s="8"/>
      <c r="H20" s="8"/>
      <c r="I20" s="8"/>
      <c r="J20" s="8">
        <v>2.6</v>
      </c>
      <c r="K20" s="8">
        <v>1.04</v>
      </c>
      <c r="L20" s="8"/>
      <c r="M20" s="9">
        <v>20.399999999999999</v>
      </c>
      <c r="N20" s="8"/>
      <c r="O20" s="8"/>
      <c r="P20" s="8"/>
      <c r="Q20" s="8"/>
      <c r="R20" s="9">
        <v>103.9</v>
      </c>
      <c r="S20" s="14">
        <f t="shared" si="0"/>
        <v>181.61</v>
      </c>
    </row>
    <row r="21" spans="1:19" x14ac:dyDescent="0.25">
      <c r="A21" s="4">
        <v>45554</v>
      </c>
      <c r="B21" s="7"/>
      <c r="C21" s="8"/>
      <c r="D21" s="8"/>
      <c r="E21" s="8"/>
      <c r="F21" s="9"/>
      <c r="G21" s="8"/>
      <c r="H21" s="8"/>
      <c r="I21" s="8"/>
      <c r="J21" s="8"/>
      <c r="K21" s="8"/>
      <c r="L21" s="8"/>
      <c r="M21" s="9">
        <v>8</v>
      </c>
      <c r="N21" s="8"/>
      <c r="O21" s="8"/>
      <c r="P21" s="8"/>
      <c r="Q21" s="8"/>
      <c r="R21" s="9">
        <v>50</v>
      </c>
      <c r="S21" s="14">
        <f t="shared" si="0"/>
        <v>58</v>
      </c>
    </row>
    <row r="22" spans="1:19" x14ac:dyDescent="0.25">
      <c r="A22" s="4">
        <v>45555</v>
      </c>
      <c r="B22" s="7"/>
      <c r="C22" s="8"/>
      <c r="D22" s="8"/>
      <c r="E22" s="8"/>
      <c r="F22" s="9"/>
      <c r="G22" s="8"/>
      <c r="H22" s="8"/>
      <c r="I22" s="8"/>
      <c r="J22" s="8"/>
      <c r="K22" s="8"/>
      <c r="L22" s="8"/>
      <c r="M22" s="9"/>
      <c r="N22" s="8"/>
      <c r="O22" s="8"/>
      <c r="P22" s="8"/>
      <c r="Q22" s="8"/>
      <c r="R22" s="9">
        <v>162</v>
      </c>
      <c r="S22" s="14">
        <f t="shared" si="0"/>
        <v>162</v>
      </c>
    </row>
    <row r="23" spans="1:19" x14ac:dyDescent="0.25">
      <c r="A23" s="4">
        <v>45556</v>
      </c>
      <c r="B23" s="7"/>
      <c r="C23" s="8"/>
      <c r="D23" s="8"/>
      <c r="E23" s="8"/>
      <c r="F23" s="9"/>
      <c r="G23" s="8"/>
      <c r="H23" s="8"/>
      <c r="I23" s="8">
        <v>16.57</v>
      </c>
      <c r="J23" s="8">
        <v>12</v>
      </c>
      <c r="K23" s="8"/>
      <c r="L23" s="8">
        <v>4.78</v>
      </c>
      <c r="M23" s="9">
        <v>327.39999999999998</v>
      </c>
      <c r="N23" s="8">
        <v>58</v>
      </c>
      <c r="O23" s="8"/>
      <c r="P23" s="8">
        <v>47.25</v>
      </c>
      <c r="Q23" s="8"/>
      <c r="R23" s="9"/>
      <c r="S23" s="14">
        <f t="shared" si="0"/>
        <v>466</v>
      </c>
    </row>
    <row r="24" spans="1:19" x14ac:dyDescent="0.25">
      <c r="A24" s="4">
        <v>45557</v>
      </c>
      <c r="B24" s="7"/>
      <c r="C24" s="8"/>
      <c r="D24" s="8"/>
      <c r="E24" s="8"/>
      <c r="F24" s="9"/>
      <c r="G24" s="8"/>
      <c r="H24" s="8"/>
      <c r="I24" s="8"/>
      <c r="J24" s="8"/>
      <c r="K24" s="8"/>
      <c r="L24" s="8"/>
      <c r="M24" s="9"/>
      <c r="N24" s="8"/>
      <c r="O24" s="8"/>
      <c r="P24" s="8"/>
      <c r="Q24" s="8"/>
      <c r="R24" s="9"/>
      <c r="S24" s="14">
        <f t="shared" si="0"/>
        <v>0</v>
      </c>
    </row>
    <row r="25" spans="1:19" x14ac:dyDescent="0.25">
      <c r="A25" s="4">
        <v>45558</v>
      </c>
      <c r="B25" s="7"/>
      <c r="C25" s="8"/>
      <c r="D25" s="8"/>
      <c r="E25" s="8"/>
      <c r="F25" s="9"/>
      <c r="G25" s="8">
        <v>8.4</v>
      </c>
      <c r="H25" s="8">
        <v>18.2</v>
      </c>
      <c r="I25" s="8"/>
      <c r="J25" s="8"/>
      <c r="K25" s="8"/>
      <c r="L25" s="8"/>
      <c r="M25" s="9">
        <v>188.4</v>
      </c>
      <c r="N25" s="8"/>
      <c r="O25" s="8"/>
      <c r="P25" s="8"/>
      <c r="Q25" s="8"/>
      <c r="R25" s="9"/>
      <c r="S25" s="14">
        <f t="shared" si="0"/>
        <v>215</v>
      </c>
    </row>
    <row r="26" spans="1:19" x14ac:dyDescent="0.25">
      <c r="A26" s="4">
        <v>45559</v>
      </c>
      <c r="B26" s="7"/>
      <c r="C26" s="8"/>
      <c r="D26" s="8"/>
      <c r="E26" s="8"/>
      <c r="F26" s="9"/>
      <c r="G26" s="8"/>
      <c r="H26" s="8">
        <v>7.2</v>
      </c>
      <c r="I26" s="8">
        <v>5.99</v>
      </c>
      <c r="J26" s="8"/>
      <c r="K26" s="8">
        <v>5.89</v>
      </c>
      <c r="L26" s="8"/>
      <c r="M26" s="9">
        <v>14.98</v>
      </c>
      <c r="N26" s="8">
        <v>30</v>
      </c>
      <c r="O26" s="8"/>
      <c r="P26" s="8">
        <v>10.99</v>
      </c>
      <c r="Q26" s="8"/>
      <c r="R26" s="9">
        <v>67.75</v>
      </c>
      <c r="S26" s="14">
        <f t="shared" si="0"/>
        <v>142.80000000000001</v>
      </c>
    </row>
    <row r="27" spans="1:19" x14ac:dyDescent="0.25">
      <c r="A27" s="4">
        <v>45560</v>
      </c>
      <c r="B27" s="7"/>
      <c r="C27" s="8"/>
      <c r="D27" s="8"/>
      <c r="E27" s="8"/>
      <c r="F27" s="9"/>
      <c r="G27" s="8"/>
      <c r="H27" s="8"/>
      <c r="I27" s="8"/>
      <c r="J27" s="8"/>
      <c r="K27" s="8"/>
      <c r="L27" s="8"/>
      <c r="M27" s="9">
        <v>2.5</v>
      </c>
      <c r="N27" s="8">
        <v>21.27</v>
      </c>
      <c r="O27" s="8"/>
      <c r="P27" s="8"/>
      <c r="Q27" s="8"/>
      <c r="R27" s="9"/>
      <c r="S27" s="14">
        <f>SUM(B27:R27)</f>
        <v>23.77</v>
      </c>
    </row>
    <row r="28" spans="1:19" x14ac:dyDescent="0.25">
      <c r="A28" s="4">
        <v>45561</v>
      </c>
      <c r="B28" s="7"/>
      <c r="C28" s="8"/>
      <c r="D28" s="8">
        <v>45.01</v>
      </c>
      <c r="E28" s="8"/>
      <c r="F28" s="9"/>
      <c r="G28" s="8"/>
      <c r="H28" s="8">
        <v>9.4</v>
      </c>
      <c r="I28" s="8"/>
      <c r="J28" s="8"/>
      <c r="K28" s="8">
        <v>3.52</v>
      </c>
      <c r="L28" s="8"/>
      <c r="M28" s="9">
        <v>11.1</v>
      </c>
      <c r="N28" s="8"/>
      <c r="O28" s="8"/>
      <c r="P28" s="8"/>
      <c r="Q28" s="8"/>
      <c r="R28" s="9">
        <v>50</v>
      </c>
      <c r="S28" s="14">
        <f t="shared" si="0"/>
        <v>119.03</v>
      </c>
    </row>
    <row r="29" spans="1:19" x14ac:dyDescent="0.25">
      <c r="A29" s="4">
        <v>45562</v>
      </c>
      <c r="B29" s="7"/>
      <c r="C29" s="8"/>
      <c r="D29" s="8"/>
      <c r="E29" s="8"/>
      <c r="F29" s="9"/>
      <c r="G29" s="8"/>
      <c r="H29" s="8"/>
      <c r="I29" s="8"/>
      <c r="J29" s="8">
        <v>10.5</v>
      </c>
      <c r="K29" s="8"/>
      <c r="L29" s="8"/>
      <c r="M29" s="9">
        <v>7.5</v>
      </c>
      <c r="N29" s="8"/>
      <c r="O29" s="8"/>
      <c r="P29" s="8"/>
      <c r="Q29" s="8"/>
      <c r="R29" s="9">
        <v>114.96</v>
      </c>
      <c r="S29" s="14">
        <f t="shared" si="0"/>
        <v>132.95999999999998</v>
      </c>
    </row>
    <row r="30" spans="1:19" x14ac:dyDescent="0.25">
      <c r="A30" s="4">
        <v>45563</v>
      </c>
      <c r="B30" s="7"/>
      <c r="C30" s="8"/>
      <c r="D30" s="8"/>
      <c r="E30" s="8"/>
      <c r="F30" s="9"/>
      <c r="G30" s="8"/>
      <c r="H30" s="8">
        <v>20.079999999999998</v>
      </c>
      <c r="I30" s="8">
        <v>19.48</v>
      </c>
      <c r="J30" s="8">
        <v>1.99</v>
      </c>
      <c r="K30" s="8">
        <v>35.17</v>
      </c>
      <c r="L30" s="8">
        <v>5.26</v>
      </c>
      <c r="M30" s="9">
        <v>9.9600000000000009</v>
      </c>
      <c r="N30" s="8"/>
      <c r="O30" s="8">
        <v>92</v>
      </c>
      <c r="P30" s="8">
        <v>18.989999999999998</v>
      </c>
      <c r="Q30" s="8"/>
      <c r="R30" s="9">
        <v>150.72</v>
      </c>
      <c r="S30" s="14">
        <f t="shared" si="0"/>
        <v>353.65</v>
      </c>
    </row>
    <row r="31" spans="1:19" x14ac:dyDescent="0.25">
      <c r="A31" s="4">
        <v>45564</v>
      </c>
      <c r="B31" s="7"/>
      <c r="C31" s="8"/>
      <c r="D31" s="8"/>
      <c r="E31" s="8"/>
      <c r="F31" s="9"/>
      <c r="G31" s="8"/>
      <c r="H31" s="8"/>
      <c r="I31" s="8">
        <v>12.9</v>
      </c>
      <c r="J31" s="8">
        <v>6.79</v>
      </c>
      <c r="K31" s="8"/>
      <c r="L31" s="8"/>
      <c r="M31" s="9">
        <v>77.290000000000006</v>
      </c>
      <c r="N31" s="8">
        <v>60</v>
      </c>
      <c r="O31" s="8"/>
      <c r="P31" s="8">
        <v>13.1</v>
      </c>
      <c r="Q31" s="8"/>
      <c r="R31" s="9"/>
      <c r="S31" s="14">
        <f t="shared" si="0"/>
        <v>170.08</v>
      </c>
    </row>
    <row r="32" spans="1:19" ht="15.75" thickBot="1" x14ac:dyDescent="0.3">
      <c r="A32" s="4">
        <v>45565</v>
      </c>
      <c r="B32" s="11"/>
      <c r="C32" s="12"/>
      <c r="D32" s="12"/>
      <c r="E32" s="12"/>
      <c r="F32" s="13"/>
      <c r="G32" s="12"/>
      <c r="H32" s="12"/>
      <c r="I32" s="12"/>
      <c r="J32" s="12">
        <v>6.5</v>
      </c>
      <c r="K32" s="12"/>
      <c r="L32" s="12"/>
      <c r="M32" s="13"/>
      <c r="N32" s="12">
        <v>42.3</v>
      </c>
      <c r="O32" s="12"/>
      <c r="P32" s="12"/>
      <c r="Q32" s="12"/>
      <c r="R32" s="13"/>
      <c r="S32" s="14">
        <f t="shared" si="0"/>
        <v>48.8</v>
      </c>
    </row>
    <row r="33" spans="1:19" ht="15.75" thickBot="1" x14ac:dyDescent="0.3">
      <c r="A33" s="4" t="s">
        <v>21</v>
      </c>
      <c r="B33" s="8">
        <f t="shared" ref="B33:R33" si="1">SUM(B3:B32)</f>
        <v>86.08</v>
      </c>
      <c r="C33" s="8">
        <f t="shared" si="1"/>
        <v>70.75</v>
      </c>
      <c r="D33" s="8">
        <f t="shared" si="1"/>
        <v>45.01</v>
      </c>
      <c r="E33" s="8">
        <f t="shared" si="1"/>
        <v>52.36</v>
      </c>
      <c r="F33" s="8">
        <f t="shared" si="1"/>
        <v>53.67</v>
      </c>
      <c r="G33" s="8">
        <f t="shared" si="1"/>
        <v>16.8</v>
      </c>
      <c r="H33" s="8">
        <f t="shared" si="1"/>
        <v>98.36</v>
      </c>
      <c r="I33" s="8">
        <f t="shared" si="1"/>
        <v>97.550000000000011</v>
      </c>
      <c r="J33" s="8">
        <f t="shared" si="1"/>
        <v>95.69</v>
      </c>
      <c r="K33" s="8">
        <f t="shared" si="1"/>
        <v>114.65</v>
      </c>
      <c r="L33" s="8">
        <f t="shared" si="1"/>
        <v>43.9</v>
      </c>
      <c r="M33" s="8">
        <f>SUM(M3:M32)</f>
        <v>1058.73</v>
      </c>
      <c r="N33" s="8">
        <f t="shared" si="1"/>
        <v>211.57</v>
      </c>
      <c r="O33" s="8">
        <f t="shared" si="1"/>
        <v>98</v>
      </c>
      <c r="P33" s="8">
        <f t="shared" si="1"/>
        <v>189.49000000000004</v>
      </c>
      <c r="Q33" s="8">
        <f t="shared" si="1"/>
        <v>200.21</v>
      </c>
      <c r="R33" s="8">
        <f t="shared" si="1"/>
        <v>3959.4800000000005</v>
      </c>
      <c r="S33" s="15">
        <f t="shared" si="0"/>
        <v>6492.3000000000011</v>
      </c>
    </row>
    <row r="34" spans="1:19" ht="15.75" thickTop="1" x14ac:dyDescent="0.25">
      <c r="A34" s="35" t="s">
        <v>23</v>
      </c>
      <c r="B34" s="33">
        <f>+AVERAGE(Septembre[CABLE &amp; INTERNET])</f>
        <v>86.08</v>
      </c>
      <c r="C34" s="33">
        <f>+AVERAGE(Septembre[PHONE])</f>
        <v>70.75</v>
      </c>
      <c r="D34" s="33">
        <f>+AVERAGE(Septembre[GAS])</f>
        <v>45.01</v>
      </c>
      <c r="E34" s="33">
        <f>+AVERAGE(Septembre[ELECTRICITY])</f>
        <v>52.36</v>
      </c>
      <c r="F34" s="33">
        <f>+AVERAGE(Septembre[WATER])</f>
        <v>53.67</v>
      </c>
      <c r="G34" s="33">
        <f>+AVERAGE(Septembre[EGGS])</f>
        <v>8.4</v>
      </c>
      <c r="H34" s="33">
        <f>+AVERAGE(Septembre[DAIRY])</f>
        <v>12.295</v>
      </c>
      <c r="I34" s="33">
        <f>+AVERAGE(Septembre[MEAT])</f>
        <v>13.935714285714287</v>
      </c>
      <c r="J34" s="33">
        <f>+AVERAGE(Septembre[BREAD])</f>
        <v>6.835</v>
      </c>
      <c r="K34" s="33">
        <f>+AVERAGE(Septembre[VEGETABLES])</f>
        <v>11.465</v>
      </c>
      <c r="L34" s="33">
        <f>+AVERAGE(Septembre[FRUITS])</f>
        <v>7.3166666666666664</v>
      </c>
      <c r="M34" s="33">
        <f>+AVERAGE(Septembre[OTHER FOODS])</f>
        <v>48.12409090909091</v>
      </c>
      <c r="N34" s="33">
        <f>+AVERAGE(Septembre[MEDICINE])</f>
        <v>42.314</v>
      </c>
      <c r="O34" s="33">
        <f>+AVERAGE(Septembre[CLOTHES])</f>
        <v>49</v>
      </c>
      <c r="P34" s="33">
        <f>+AVERAGE(Septembre[HYGIENE])</f>
        <v>21.054444444444449</v>
      </c>
      <c r="Q34" s="33">
        <f>+AVERAGE(Septembre[FUEL])</f>
        <v>200.21</v>
      </c>
      <c r="R34" s="33">
        <f>+AVERAGE(Septembre[OTHER COSTS])</f>
        <v>232.91058823529414</v>
      </c>
      <c r="S34" s="33">
        <f>+AVERAGE(Septembre[TOTAL])</f>
        <v>216.40999999999997</v>
      </c>
    </row>
  </sheetData>
  <mergeCells count="3">
    <mergeCell ref="B1:F1"/>
    <mergeCell ref="G1:M1"/>
    <mergeCell ref="N1: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0CAF-EEE5-46E6-9E9E-C8E0ACA601D9}">
  <dimension ref="A3:B20"/>
  <sheetViews>
    <sheetView topLeftCell="A49" workbookViewId="0">
      <selection activeCell="A3" sqref="A3"/>
    </sheetView>
  </sheetViews>
  <sheetFormatPr defaultRowHeight="15" x14ac:dyDescent="0.25"/>
  <cols>
    <col min="1" max="1" width="21.28515625" bestFit="1" customWidth="1"/>
    <col min="2" max="2" width="10.5703125" bestFit="1" customWidth="1"/>
    <col min="3" max="4" width="5" bestFit="1" customWidth="1"/>
    <col min="5" max="6" width="4" bestFit="1" customWidth="1"/>
    <col min="7" max="7" width="5" bestFit="1" customWidth="1"/>
    <col min="8" max="8" width="2" bestFit="1" customWidth="1"/>
    <col min="9" max="9" width="5" bestFit="1" customWidth="1"/>
    <col min="10" max="12" width="4" bestFit="1" customWidth="1"/>
    <col min="13" max="17" width="5" bestFit="1" customWidth="1"/>
    <col min="18" max="18" width="2" bestFit="1" customWidth="1"/>
    <col min="19" max="19" width="4" bestFit="1" customWidth="1"/>
    <col min="20" max="24" width="5" bestFit="1" customWidth="1"/>
    <col min="25" max="25" width="4" bestFit="1" customWidth="1"/>
    <col min="26" max="30" width="5" bestFit="1" customWidth="1"/>
    <col min="31" max="31" width="4" bestFit="1" customWidth="1"/>
    <col min="32" max="34" width="5" bestFit="1" customWidth="1"/>
    <col min="35" max="35" width="6" bestFit="1" customWidth="1"/>
    <col min="36" max="36" width="3" bestFit="1" customWidth="1"/>
    <col min="37" max="39" width="5" bestFit="1" customWidth="1"/>
    <col min="40" max="40" width="4" bestFit="1" customWidth="1"/>
    <col min="41" max="41" width="5" bestFit="1" customWidth="1"/>
    <col min="42" max="42" width="6" bestFit="1" customWidth="1"/>
    <col min="43" max="43" width="4" bestFit="1" customWidth="1"/>
    <col min="44" max="44" width="5" bestFit="1" customWidth="1"/>
    <col min="45" max="45" width="4" bestFit="1" customWidth="1"/>
    <col min="46" max="46" width="6" bestFit="1" customWidth="1"/>
    <col min="47" max="47" width="2" bestFit="1" customWidth="1"/>
    <col min="48" max="52" width="5" bestFit="1" customWidth="1"/>
    <col min="53" max="53" width="4" bestFit="1" customWidth="1"/>
    <col min="54" max="54" width="6" bestFit="1" customWidth="1"/>
    <col min="55" max="55" width="4" bestFit="1" customWidth="1"/>
    <col min="56" max="57" width="5" bestFit="1" customWidth="1"/>
    <col min="58" max="58" width="4" bestFit="1" customWidth="1"/>
    <col min="59" max="59" width="5" bestFit="1" customWidth="1"/>
    <col min="60" max="60" width="4" bestFit="1" customWidth="1"/>
    <col min="61" max="61" width="5" bestFit="1" customWidth="1"/>
    <col min="62" max="62" width="2" bestFit="1" customWidth="1"/>
    <col min="63" max="63" width="4" bestFit="1" customWidth="1"/>
    <col min="64" max="67" width="5" bestFit="1" customWidth="1"/>
    <col min="68" max="68" width="6" bestFit="1" customWidth="1"/>
    <col min="69" max="70" width="5" bestFit="1" customWidth="1"/>
    <col min="71" max="71" width="4" bestFit="1" customWidth="1"/>
    <col min="72" max="72" width="6" bestFit="1" customWidth="1"/>
    <col min="73" max="73" width="4" bestFit="1" customWidth="1"/>
    <col min="74" max="75" width="5" bestFit="1" customWidth="1"/>
    <col min="76" max="76" width="4" bestFit="1" customWidth="1"/>
    <col min="77" max="79" width="5" bestFit="1" customWidth="1"/>
    <col min="80" max="80" width="3" bestFit="1" customWidth="1"/>
    <col min="81" max="83" width="6" bestFit="1" customWidth="1"/>
    <col min="84" max="84" width="5" bestFit="1" customWidth="1"/>
    <col min="85" max="88" width="6" bestFit="1" customWidth="1"/>
    <col min="89" max="89" width="3" bestFit="1" customWidth="1"/>
    <col min="90" max="90" width="5" bestFit="1" customWidth="1"/>
    <col min="91" max="94" width="6" bestFit="1" customWidth="1"/>
    <col min="95" max="95" width="5" bestFit="1" customWidth="1"/>
    <col min="96" max="96" width="6" bestFit="1" customWidth="1"/>
    <col min="97" max="97" width="3" bestFit="1" customWidth="1"/>
    <col min="98" max="98" width="6" bestFit="1" customWidth="1"/>
    <col min="99" max="99" width="5" bestFit="1" customWidth="1"/>
    <col min="100" max="100" width="6" bestFit="1" customWidth="1"/>
    <col min="101" max="101" width="5" bestFit="1" customWidth="1"/>
    <col min="102" max="102" width="6" bestFit="1" customWidth="1"/>
    <col min="103" max="103" width="3" bestFit="1" customWidth="1"/>
    <col min="104" max="104" width="5" bestFit="1" customWidth="1"/>
    <col min="105" max="105" width="6" bestFit="1" customWidth="1"/>
    <col min="106" max="107" width="5" bestFit="1" customWidth="1"/>
    <col min="108" max="109" width="6" bestFit="1" customWidth="1"/>
    <col min="110" max="111" width="5" bestFit="1" customWidth="1"/>
    <col min="112" max="112" width="6" bestFit="1" customWidth="1"/>
    <col min="113" max="113" width="5" bestFit="1" customWidth="1"/>
    <col min="114" max="116" width="6" bestFit="1" customWidth="1"/>
    <col min="117" max="117" width="5" bestFit="1" customWidth="1"/>
    <col min="118" max="121" width="6" bestFit="1" customWidth="1"/>
    <col min="122" max="122" width="5" bestFit="1" customWidth="1"/>
    <col min="123" max="129" width="6" bestFit="1" customWidth="1"/>
    <col min="130" max="130" width="5" bestFit="1" customWidth="1"/>
    <col min="131" max="138" width="6" bestFit="1" customWidth="1"/>
    <col min="139" max="139" width="5" bestFit="1" customWidth="1"/>
    <col min="140" max="144" width="6" bestFit="1" customWidth="1"/>
    <col min="145" max="145" width="5" bestFit="1" customWidth="1"/>
    <col min="146" max="146" width="6" bestFit="1" customWidth="1"/>
    <col min="147" max="147" width="3" bestFit="1" customWidth="1"/>
    <col min="148" max="148" width="6" bestFit="1" customWidth="1"/>
    <col min="149" max="150" width="5" bestFit="1" customWidth="1"/>
    <col min="151" max="151" width="6" bestFit="1" customWidth="1"/>
    <col min="152" max="152" width="5" bestFit="1" customWidth="1"/>
    <col min="153" max="154" width="6" bestFit="1" customWidth="1"/>
    <col min="155" max="156" width="5" bestFit="1" customWidth="1"/>
    <col min="157" max="157" width="3" bestFit="1" customWidth="1"/>
    <col min="158" max="160" width="6" bestFit="1" customWidth="1"/>
    <col min="161" max="161" width="5" bestFit="1" customWidth="1"/>
    <col min="162" max="165" width="6" bestFit="1" customWidth="1"/>
    <col min="166" max="166" width="3" bestFit="1" customWidth="1"/>
    <col min="167" max="167" width="5" bestFit="1" customWidth="1"/>
    <col min="168" max="174" width="6" bestFit="1" customWidth="1"/>
    <col min="175" max="175" width="3" bestFit="1" customWidth="1"/>
    <col min="176" max="182" width="6" bestFit="1" customWidth="1"/>
    <col min="183" max="184" width="5" bestFit="1" customWidth="1"/>
    <col min="185" max="185" width="6" bestFit="1" customWidth="1"/>
    <col min="186" max="186" width="3" bestFit="1" customWidth="1"/>
    <col min="187" max="187" width="6" bestFit="1" customWidth="1"/>
    <col min="188" max="188" width="5" bestFit="1" customWidth="1"/>
    <col min="189" max="189" width="6" bestFit="1" customWidth="1"/>
    <col min="190" max="190" width="5" bestFit="1" customWidth="1"/>
    <col min="191" max="192" width="6" bestFit="1" customWidth="1"/>
    <col min="193" max="193" width="5" bestFit="1" customWidth="1"/>
    <col min="194" max="194" width="4" bestFit="1" customWidth="1"/>
    <col min="195" max="196" width="6" bestFit="1" customWidth="1"/>
    <col min="197" max="197" width="3" bestFit="1" customWidth="1"/>
    <col min="198" max="202" width="6" bestFit="1" customWidth="1"/>
    <col min="203" max="203" width="3" bestFit="1" customWidth="1"/>
    <col min="204" max="204" width="5" bestFit="1" customWidth="1"/>
    <col min="205" max="205" width="3" bestFit="1" customWidth="1"/>
    <col min="206" max="206" width="6" bestFit="1" customWidth="1"/>
    <col min="207" max="207" width="3" bestFit="1" customWidth="1"/>
    <col min="208" max="211" width="6" bestFit="1" customWidth="1"/>
    <col min="212" max="212" width="5" bestFit="1" customWidth="1"/>
    <col min="213" max="214" width="6" bestFit="1" customWidth="1"/>
    <col min="215" max="215" width="5" bestFit="1" customWidth="1"/>
    <col min="216" max="218" width="6" bestFit="1" customWidth="1"/>
    <col min="219" max="219" width="5" bestFit="1" customWidth="1"/>
    <col min="220" max="221" width="6" bestFit="1" customWidth="1"/>
    <col min="222" max="223" width="3" bestFit="1" customWidth="1"/>
    <col min="224" max="224" width="7" bestFit="1" customWidth="1"/>
    <col min="225" max="225" width="6" bestFit="1" customWidth="1"/>
    <col min="226" max="226" width="5" bestFit="1" customWidth="1"/>
    <col min="227" max="227" width="4" bestFit="1" customWidth="1"/>
    <col min="228" max="228" width="3" bestFit="1" customWidth="1"/>
    <col min="229" max="229" width="4" bestFit="1" customWidth="1"/>
    <col min="230" max="231" width="7" bestFit="1" customWidth="1"/>
    <col min="232" max="232" width="6" bestFit="1" customWidth="1"/>
    <col min="233" max="233" width="4" bestFit="1" customWidth="1"/>
    <col min="234" max="234" width="6" bestFit="1" customWidth="1"/>
    <col min="235" max="236" width="7" bestFit="1" customWidth="1"/>
    <col min="237" max="238" width="6" bestFit="1" customWidth="1"/>
    <col min="239" max="239" width="7" bestFit="1" customWidth="1"/>
    <col min="240" max="240" width="4" bestFit="1" customWidth="1"/>
    <col min="241" max="242" width="7" bestFit="1" customWidth="1"/>
    <col min="243" max="243" width="4" bestFit="1" customWidth="1"/>
    <col min="244" max="245" width="6" bestFit="1" customWidth="1"/>
    <col min="246" max="246" width="4" bestFit="1" customWidth="1"/>
    <col min="247" max="247" width="6" bestFit="1" customWidth="1"/>
    <col min="248" max="248" width="7" bestFit="1" customWidth="1"/>
    <col min="249" max="249" width="4" bestFit="1" customWidth="1"/>
    <col min="250" max="251" width="7" bestFit="1" customWidth="1"/>
    <col min="252" max="252" width="4" bestFit="1" customWidth="1"/>
    <col min="253" max="254" width="7" bestFit="1" customWidth="1"/>
    <col min="255" max="256" width="4" bestFit="1" customWidth="1"/>
    <col min="257" max="257" width="6" bestFit="1" customWidth="1"/>
    <col min="258" max="259" width="4" bestFit="1" customWidth="1"/>
    <col min="260" max="260" width="5" bestFit="1" customWidth="1"/>
    <col min="261" max="261" width="8" bestFit="1" customWidth="1"/>
    <col min="262" max="262" width="5" bestFit="1" customWidth="1"/>
    <col min="263" max="263" width="11.28515625" bestFit="1" customWidth="1"/>
  </cols>
  <sheetData>
    <row r="3" spans="1:2" x14ac:dyDescent="0.25">
      <c r="A3" s="29" t="s">
        <v>25</v>
      </c>
      <c r="B3" s="2" t="s">
        <v>28</v>
      </c>
    </row>
    <row r="4" spans="1:2" x14ac:dyDescent="0.25">
      <c r="A4" s="30" t="s">
        <v>24</v>
      </c>
      <c r="B4" s="43">
        <v>2787.73</v>
      </c>
    </row>
    <row r="5" spans="1:2" x14ac:dyDescent="0.25">
      <c r="A5" s="36" t="s">
        <v>8</v>
      </c>
      <c r="B5" s="43">
        <v>135.33000000000001</v>
      </c>
    </row>
    <row r="6" spans="1:2" x14ac:dyDescent="0.25">
      <c r="A6" s="36" t="s">
        <v>1</v>
      </c>
      <c r="B6" s="43">
        <v>86.06</v>
      </c>
    </row>
    <row r="7" spans="1:2" x14ac:dyDescent="0.25">
      <c r="A7" s="36" t="s">
        <v>11</v>
      </c>
      <c r="B7" s="43">
        <v>55.94</v>
      </c>
    </row>
    <row r="8" spans="1:2" x14ac:dyDescent="0.25">
      <c r="A8" s="36" t="s">
        <v>7</v>
      </c>
      <c r="B8" s="43">
        <v>48.690000000000005</v>
      </c>
    </row>
    <row r="9" spans="1:2" x14ac:dyDescent="0.25">
      <c r="A9" s="36" t="s">
        <v>6</v>
      </c>
      <c r="B9" s="43">
        <v>8.4</v>
      </c>
    </row>
    <row r="10" spans="1:2" x14ac:dyDescent="0.25">
      <c r="A10" s="36" t="s">
        <v>18</v>
      </c>
      <c r="B10" s="43">
        <v>75.650000000000006</v>
      </c>
    </row>
    <row r="11" spans="1:2" x14ac:dyDescent="0.25">
      <c r="A11" s="36" t="s">
        <v>12</v>
      </c>
      <c r="B11" s="43">
        <v>199.27</v>
      </c>
    </row>
    <row r="12" spans="1:2" x14ac:dyDescent="0.25">
      <c r="A12" s="36" t="s">
        <v>3</v>
      </c>
      <c r="B12" s="43">
        <v>35.69</v>
      </c>
    </row>
    <row r="13" spans="1:2" x14ac:dyDescent="0.25">
      <c r="A13" s="36" t="s">
        <v>19</v>
      </c>
      <c r="B13" s="43">
        <v>174.5</v>
      </c>
    </row>
    <row r="14" spans="1:2" x14ac:dyDescent="0.25">
      <c r="A14" s="36" t="s">
        <v>10</v>
      </c>
      <c r="B14" s="43">
        <v>124.21</v>
      </c>
    </row>
    <row r="15" spans="1:2" x14ac:dyDescent="0.25">
      <c r="A15" s="36" t="s">
        <v>20</v>
      </c>
      <c r="B15" s="43">
        <v>620.75</v>
      </c>
    </row>
    <row r="16" spans="1:2" x14ac:dyDescent="0.25">
      <c r="A16" s="36" t="s">
        <v>9</v>
      </c>
      <c r="B16" s="43">
        <v>830.3399999999998</v>
      </c>
    </row>
    <row r="17" spans="1:2" x14ac:dyDescent="0.25">
      <c r="A17" s="36" t="s">
        <v>2</v>
      </c>
      <c r="B17" s="43">
        <v>101</v>
      </c>
    </row>
    <row r="18" spans="1:2" x14ac:dyDescent="0.25">
      <c r="A18" s="36" t="s">
        <v>17</v>
      </c>
      <c r="B18" s="43">
        <v>157.72999999999999</v>
      </c>
    </row>
    <row r="19" spans="1:2" x14ac:dyDescent="0.25">
      <c r="A19" s="36" t="s">
        <v>5</v>
      </c>
      <c r="B19" s="43">
        <v>134.16999999999999</v>
      </c>
    </row>
    <row r="20" spans="1:2" x14ac:dyDescent="0.25">
      <c r="A20" s="30" t="s">
        <v>22</v>
      </c>
      <c r="B20" s="43">
        <v>2787.73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74A3-62B5-479F-8D39-07BE837A7B59}">
  <dimension ref="A1:B29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7.7109375" bestFit="1" customWidth="1"/>
    <col min="4" max="4" width="8.7109375" bestFit="1" customWidth="1"/>
    <col min="5" max="5" width="6.42578125" bestFit="1" customWidth="1"/>
    <col min="6" max="6" width="5.85546875" bestFit="1" customWidth="1"/>
    <col min="7" max="7" width="11.5703125" bestFit="1" customWidth="1"/>
    <col min="8" max="8" width="7.140625" bestFit="1" customWidth="1"/>
    <col min="9" max="9" width="6.5703125" bestFit="1" customWidth="1"/>
    <col min="10" max="10" width="5.5703125" bestFit="1" customWidth="1"/>
    <col min="11" max="11" width="8.85546875" bestFit="1" customWidth="1"/>
    <col min="12" max="12" width="6.140625" bestFit="1" customWidth="1"/>
    <col min="13" max="13" width="9.85546875" bestFit="1" customWidth="1"/>
    <col min="14" max="14" width="7.28515625" bestFit="1" customWidth="1"/>
    <col min="15" max="15" width="12" bestFit="1" customWidth="1"/>
    <col min="16" max="16" width="7.42578125" bestFit="1" customWidth="1"/>
    <col min="17" max="17" width="11.28515625" bestFit="1" customWidth="1"/>
    <col min="18" max="18" width="7.42578125" bestFit="1" customWidth="1"/>
    <col min="19" max="19" width="11.28515625" bestFit="1" customWidth="1"/>
    <col min="20" max="21" width="5.85546875" bestFit="1" customWidth="1"/>
    <col min="22" max="24" width="6.5703125" bestFit="1" customWidth="1"/>
    <col min="25" max="25" width="5.85546875" bestFit="1" customWidth="1"/>
    <col min="26" max="26" width="6.5703125" bestFit="1" customWidth="1"/>
    <col min="27" max="27" width="5.85546875" bestFit="1" customWidth="1"/>
    <col min="28" max="28" width="6.5703125" bestFit="1" customWidth="1"/>
    <col min="29" max="29" width="11.28515625" bestFit="1" customWidth="1"/>
    <col min="30" max="30" width="7.42578125" bestFit="1" customWidth="1"/>
    <col min="31" max="31" width="9.7109375" bestFit="1" customWidth="1"/>
    <col min="32" max="32" width="11.28515625" bestFit="1" customWidth="1"/>
  </cols>
  <sheetData>
    <row r="1" spans="1:2" x14ac:dyDescent="0.25">
      <c r="A1" s="29" t="s">
        <v>29</v>
      </c>
      <c r="B1" t="s">
        <v>27</v>
      </c>
    </row>
    <row r="3" spans="1:2" x14ac:dyDescent="0.25">
      <c r="A3" s="29" t="s">
        <v>26</v>
      </c>
      <c r="B3" t="s">
        <v>30</v>
      </c>
    </row>
    <row r="4" spans="1:2" x14ac:dyDescent="0.25">
      <c r="A4" s="30" t="s">
        <v>31</v>
      </c>
      <c r="B4" s="17">
        <v>106.32</v>
      </c>
    </row>
    <row r="5" spans="1:2" x14ac:dyDescent="0.25">
      <c r="A5" s="30" t="s">
        <v>32</v>
      </c>
      <c r="B5" s="17">
        <v>67.09</v>
      </c>
    </row>
    <row r="6" spans="1:2" x14ac:dyDescent="0.25">
      <c r="A6" s="30" t="s">
        <v>33</v>
      </c>
      <c r="B6" s="17">
        <v>10.5</v>
      </c>
    </row>
    <row r="7" spans="1:2" x14ac:dyDescent="0.25">
      <c r="A7" s="30" t="s">
        <v>34</v>
      </c>
      <c r="B7" s="17">
        <v>35.47</v>
      </c>
    </row>
    <row r="8" spans="1:2" x14ac:dyDescent="0.25">
      <c r="A8" s="30" t="s">
        <v>35</v>
      </c>
      <c r="B8" s="17">
        <v>148.88</v>
      </c>
    </row>
    <row r="9" spans="1:2" x14ac:dyDescent="0.25">
      <c r="A9" s="30" t="s">
        <v>36</v>
      </c>
      <c r="B9" s="17">
        <v>129.23000000000002</v>
      </c>
    </row>
    <row r="10" spans="1:2" x14ac:dyDescent="0.25">
      <c r="A10" s="30" t="s">
        <v>37</v>
      </c>
      <c r="B10" s="17">
        <v>14.38</v>
      </c>
    </row>
    <row r="11" spans="1:2" x14ac:dyDescent="0.25">
      <c r="A11" s="30" t="s">
        <v>38</v>
      </c>
      <c r="B11" s="17">
        <v>37.82</v>
      </c>
    </row>
    <row r="12" spans="1:2" x14ac:dyDescent="0.25">
      <c r="A12" s="30" t="s">
        <v>39</v>
      </c>
      <c r="B12" s="17">
        <v>99.55</v>
      </c>
    </row>
    <row r="13" spans="1:2" x14ac:dyDescent="0.25">
      <c r="A13" s="30" t="s">
        <v>40</v>
      </c>
      <c r="B13" s="17">
        <v>401</v>
      </c>
    </row>
    <row r="14" spans="1:2" x14ac:dyDescent="0.25">
      <c r="A14" s="30" t="s">
        <v>41</v>
      </c>
      <c r="B14" s="17">
        <v>35.200000000000003</v>
      </c>
    </row>
    <row r="15" spans="1:2" x14ac:dyDescent="0.25">
      <c r="A15" s="30" t="s">
        <v>42</v>
      </c>
      <c r="B15" s="17">
        <v>10.39</v>
      </c>
    </row>
    <row r="16" spans="1:2" x14ac:dyDescent="0.25">
      <c r="A16" s="30" t="s">
        <v>43</v>
      </c>
      <c r="B16" s="17">
        <v>169.78</v>
      </c>
    </row>
    <row r="17" spans="1:2" x14ac:dyDescent="0.25">
      <c r="A17" s="30" t="s">
        <v>44</v>
      </c>
      <c r="B17" s="17">
        <v>61.05</v>
      </c>
    </row>
    <row r="18" spans="1:2" x14ac:dyDescent="0.25">
      <c r="A18" s="30" t="s">
        <v>45</v>
      </c>
      <c r="B18" s="17">
        <v>10</v>
      </c>
    </row>
    <row r="19" spans="1:2" x14ac:dyDescent="0.25">
      <c r="A19" s="30" t="s">
        <v>46</v>
      </c>
      <c r="B19" s="17">
        <v>104.01000000000002</v>
      </c>
    </row>
    <row r="20" spans="1:2" x14ac:dyDescent="0.25">
      <c r="A20" s="30" t="s">
        <v>47</v>
      </c>
      <c r="B20" s="17">
        <v>3</v>
      </c>
    </row>
    <row r="21" spans="1:2" x14ac:dyDescent="0.25">
      <c r="A21" s="30" t="s">
        <v>48</v>
      </c>
      <c r="B21" s="17">
        <v>30.43</v>
      </c>
    </row>
    <row r="22" spans="1:2" x14ac:dyDescent="0.25">
      <c r="A22" s="30" t="s">
        <v>49</v>
      </c>
      <c r="B22" s="17">
        <v>190.2</v>
      </c>
    </row>
    <row r="23" spans="1:2" x14ac:dyDescent="0.25">
      <c r="A23" s="30" t="s">
        <v>50</v>
      </c>
      <c r="B23" s="17">
        <v>37</v>
      </c>
    </row>
    <row r="24" spans="1:2" x14ac:dyDescent="0.25">
      <c r="A24" s="30" t="s">
        <v>51</v>
      </c>
      <c r="B24" s="17">
        <v>305</v>
      </c>
    </row>
    <row r="25" spans="1:2" x14ac:dyDescent="0.25">
      <c r="A25" s="30" t="s">
        <v>52</v>
      </c>
      <c r="B25" s="17">
        <v>86.5</v>
      </c>
    </row>
    <row r="26" spans="1:2" x14ac:dyDescent="0.25">
      <c r="A26" s="30" t="s">
        <v>53</v>
      </c>
      <c r="B26" s="17">
        <v>297.5</v>
      </c>
    </row>
    <row r="27" spans="1:2" x14ac:dyDescent="0.25">
      <c r="A27" s="30" t="s">
        <v>54</v>
      </c>
      <c r="B27" s="17">
        <v>46.8</v>
      </c>
    </row>
    <row r="28" spans="1:2" x14ac:dyDescent="0.25">
      <c r="A28" s="30" t="s">
        <v>55</v>
      </c>
      <c r="B28" s="17">
        <v>53.22</v>
      </c>
    </row>
    <row r="29" spans="1:2" x14ac:dyDescent="0.25">
      <c r="A29" s="30" t="s">
        <v>22</v>
      </c>
      <c r="B29" s="17">
        <v>2490.3200000000002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h 5 U R 6 s A A A D 3 A A A A E g A A A E N v b m Z p Z y 9 Q Y W N r Y W d l L n h t b I S P v Q 6 C M B z E d x P f g X S n X 2 7 k T x l c J R p N j G s D D T R C a 9 o i v J u D j + Q r C F H U z f H u f s n d P W 5 3 y I a 2 i a 7 K e W 1 N i h i m K P J B m l I 2 1 q g U G Y s y s V z A T h Z n W a l o p I 1 P B l + m q A 7 h k h D S 9 z 3 u V 9 i 6 i n B K G T n l m 0 N R q 1 a i D 6 z / w 7 E 2 U 2 2 h k I D j a 4 3 g m D G K O e e Y A p l N y L X 5 A n w c P K U / J q y 7 J n R O C W f j / R b I L I G 8 P 4 g n A A A A / / 8 D A F B L A w Q U A A I A C A A A A C E A 8 W P o s H s C A A D D C w A A E w A A A E Z v c m 1 1 b G F z L 1 N l Y 3 R p b 2 4 x L m 3 c V l F r 2 z A Q f g / 0 P w g V R g I m 4 K z s Z f T B s Z X U w 4 u H r b S U U o a d a k 2 o L Q V b 7 h p M / v u k O I n t R m 6 T L J Q x v x j u d P d 9 d / 5 0 5 5 R M + I x R 4 B d v / W u r l U 6 D h D y A b 1 m 0 A J c g I v y s B c T j s y y Z E G F B L x M S d c 0 s S Q j l N y x 5 C h l 7 a n f y u 1 E Q k 0 s o 4 + D 9 8 s 5 k l I s D 9 1 o R f g 4 9 E r N n k d h k U R b T F I p U O A g j 0 i 0 c a 3 O 7 w N F y i F 1 s O H D Z 2 U n Q Z 5 y z G H j s 9 0 4 S J 0 j 5 q L 2 L p e l l m j G d z 5 4 Z F 1 6 X T 0 m y y 2 d 9 Y O X d s F K j a y C H l o E R X G o A G p w n s z D j R J j h d R B l B J a g 5 j S g j y I a L + a k R M J J Q N N f L I k L G O m U U E 0 M t X w N p w E u j o K H g J N l r U F U f A J l h 6 W j r K X G p p I V W i K j L C a v V 4 N e 5 o S m J I V V t G o S / d 2 a X n O T q E W T N F B o a b L o y s M C 4 q w 1 o 2 q U U p 5 G 9 p i l / B i B F p F v S v R d h a 1 F q n c O V X e D j h R q / 0 u Z b v v 8 D 0 h U c m j 6 1 i c Q b 4 N U t 5 V v d V 1 X 1 m v A U l s + m X M S h w k 5 R l 7 b Y K X C D m j y Z h D W G x r Q x a o y 0 + g 7 C H w C 9 g g j b 4 T w x k + z O C T J 6 s i P K 3 e E F P a h 4 S u s y E E m 9 m z T x r c K 7 4 2 g 4 K m i h k N V M s u w P V W a 7 8 h Q M e 1 7 y L A U 9 m s 0 R F g W q s I Y e G M b q x w u v k I e G L i u 5 S s p W K J I Z W N M R 4 b K I J v y L x e F R K X j 6 n Z o I 2 X I Y I y c R g q m 6 y s J F n e 9 b j 9 u z 9 X v w n 8 1 j v a e B 3 u M o u 3 9 P + H y W q X c b x H r + w 0 z / a 1 p 1 s C 9 d y h 3 / a j N 2 6 t u 3 i j 6 G Y u 5 N k 2 V 4 7 E g Y 7 I 4 n F H S z u X v o L b e 1 l o 5 W a t Q R W g J c A 4 r E O 1 e B 3 4 I z u c P w r k 4 N c 4 f A A A A / / 8 D A F B L A Q I t A B Q A B g A I A A A A I Q A q 3 a p A 0 g A A A D c B A A A T A A A A A A A A A A A A A A A A A A A A A A B b Q 2 9 u d G V u d F 9 U e X B l c 1 0 u e G 1 s U E s B A i 0 A F A A C A A g A A A A h A E Y e V E e r A A A A 9 w A A A B I A A A A A A A A A A A A A A A A A C w M A A E N v b m Z p Z y 9 Q Y W N r Y W d l L n h t b F B L A Q I t A B Q A A g A I A A A A I Q D x Y + i w e w I A A M M L A A A T A A A A A A A A A A A A A A A A A O Y D A A B G b 3 J t d W x h c y 9 T Z W N 0 a W 9 u M S 5 t U E s F B g A A A A A D A A M A w g A A A J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A A A A A A A A F A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n V s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E w L T A 3 V D E 2 O j M 4 O j I w L j A 4 O D A x N D l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Q X V n d X N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D d U M T Y 6 N D E 6 N T Y u O T k 3 M D A 1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T Z X B 0 Z W 1 i c m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x M C 0 w N 1 Q x N j o 0 M T o 1 N y 4 w M T I 2 M z A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0 F s b F 9 t b 2 5 0 a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x M C 0 w N 1 Q x N j o 0 N j o w M i 4 z N D U 1 M z g 1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Q W x s X 2 1 v b n R o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w N 1 Q x N j o 0 N j o z M S 4 x N D Y 3 O T E 3 W i I v P j x F b n R y e S B U e X B l P S J G a W x s Q 2 9 s d W 1 u V H l w Z X M i I F Z h b H V l P S J z Q 1 F Z U i I v P j x F b n R y e S B U e X B l P S J G a W x s Q 2 9 s d W 1 u T m F t Z X M i I F Z h b H V l P S J z W y Z x d W 9 0 O 0 R h d G U m c X V v d D s s J n F 1 b 3 Q 7 R X h w Z W 5 z Z X M m c X V v d D s s J n F 1 b 3 Q 7 V m F s d W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3 Y z U z N 2 Z j L T E w Z T g t N G M w Z i 1 h M j c 4 L T g y Y j g 4 O W M 2 Y T Q 1 Z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b W 9 u d G h z I C g y K S 9 T b 3 V y Y 2 U u e 0 R h d G U s M H 0 m c X V v d D s s J n F 1 b 3 Q 7 U 2 V j d G l v b j E v Q W x s X 2 1 v b n R o c y A o M i k v U 2 9 1 c m N l L n t F e H B l b n N l c y w x f S Z x d W 9 0 O y w m c X V v d D t T Z W N 0 a W 9 u M S 9 B b G x f b W 9 u d G h z I C g y K S 9 T b 3 V y Y 2 U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s b F 9 t b 2 5 0 a H M g K D I p L 1 N v d X J j Z S 5 7 R G F 0 Z S w w f S Z x d W 9 0 O y w m c X V v d D t T Z W N 0 a W 9 u M S 9 B b G x f b W 9 u d G h z I C g y K S 9 T b 3 V y Y 2 U u e 0 V 4 c G V u c 2 V z L D F 9 J n F 1 b 3 Q 7 L C Z x d W 9 0 O 1 N l Y 3 R p b 2 4 x L 0 F s b F 9 t b 2 5 0 a H M g K D I p L 1 N v d X J j Z S 5 7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N b 2 5 0 a G x 5 I E V 4 c G V u c 2 V z I U 1 v b n R o b H k g R X h w Z W 5 z Z X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f b W 9 u d G h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A 3 V D I w O j U z O j U 3 L j M 2 N z U 1 N D V a I i 8 + P E V u d H J 5 I F R 5 c G U 9 I k Z p b G x D b 2 x 1 b W 5 U e X B l c y I g V m F s d W U 9 I n N D U V l S I i 8 + P E V u d H J 5 I F R 5 c G U 9 I k Z p b G x D b 2 x 1 b W 5 O Y W 1 l c y I g V m F s d W U 9 I n N b J n F 1 b 3 Q 7 R G F 0 Z S Z x d W 9 0 O y w m c X V v d D t F e H B l b n N l c y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R j N 2 R i Z T U t M D I 5 M i 0 0 Y T h i L W F l Y 2 E t N D R m Y T Z l M z c 4 Z T F i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t b 2 5 0 a H M g K D M p L 0 F 1 d G 9 S Z W 1 v d m V k Q 2 9 s d W 1 u c z E u e 0 R h d G U s M H 0 m c X V v d D s s J n F 1 b 3 Q 7 U 2 V j d G l v b j E v Q W x s X 2 1 v b n R o c y A o M y k v Q X V 0 b 1 J l b W 9 2 Z W R D b 2 x 1 b W 5 z M S 5 7 R X h w Z W 5 z Z X M s M X 0 m c X V v d D s s J n F 1 b 3 Q 7 U 2 V j d G l v b j E v Q W x s X 2 1 v b n R o c y A o M y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X 2 1 v b n R o c y A o M y k v Q X V 0 b 1 J l b W 9 2 Z W R D b 2 x 1 b W 5 z M S 5 7 R G F 0 Z S w w f S Z x d W 9 0 O y w m c X V v d D t T Z W N 0 a W 9 u M S 9 B b G x f b W 9 u d G h z I C g z K S 9 B d X R v U m V t b 3 Z l Z E N v b H V t b n M x L n t F e H B l b n N l c y w x f S Z x d W 9 0 O y w m c X V v d D t T Z W N 0 a W 9 u M S 9 B b G x f b W 9 u d G h z I C g z K S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x s X 2 1 v b n R o c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w N 1 Q y M D o 1 N j o x M S 4 y N j g z O T Q x W i I v P j x F b n R y e S B U e X B l P S J G a W x s Q 2 9 s d W 1 u V H l w Z X M i I F Z h b H V l P S J z Q 1 F Z U i I v P j x F b n R y e S B U e X B l P S J G a W x s Q 2 9 s d W 1 u T m F t Z X M i I F Z h b H V l P S J z W y Z x d W 9 0 O 0 R h d G U m c X V v d D s s J n F 1 b 3 Q 7 R X h w Z W 5 z Z X M m c X V v d D s s J n F 1 b 3 Q 7 V m F s d W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h M T F l N D M w L T J h Y m E t N D k 4 Y i 1 h Z G I 5 L T M w M j V i Y m I x M T U 5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b W 9 u d G h z I C g 0 K S 9 T b 3 V y Y 2 U u e 0 R h d G U s M H 0 m c X V v d D s s J n F 1 b 3 Q 7 U 2 V j d G l v b j E v Q W x s X 2 1 v b n R o c y A o N C k v U 2 9 1 c m N l L n t F e H B l b n N l c y w x f S Z x d W 9 0 O y w m c X V v d D t T Z W N 0 a W 9 u M S 9 B b G x f b W 9 u d G h z I C g 0 K S 9 T b 3 V y Y 2 U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s b F 9 t b 2 5 0 a H M g K D Q p L 1 N v d X J j Z S 5 7 R G F 0 Z S w w f S Z x d W 9 0 O y w m c X V v d D t T Z W N 0 a W 9 u M S 9 B b G x f b W 9 u d G h z I C g 0 K S 9 T b 3 V y Y 2 U u e 0 V 4 c G V u c 2 V z L D F 9 J n F 1 b 3 Q 7 L C Z x d W 9 0 O 1 N l Y 3 R p b 2 4 x L 0 F s b F 9 t b 2 5 0 a H M g K D Q p L 1 N v d X J j Z S 5 7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D b 3 N 0 c y B F d m 9 s d X R p b 2 4 h Q 2 9 z d C B F d m 9 s d X R p b 2 4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d W x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n V s e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n V s e S 9 S Z W 1 v d m V k J T I w Q m 9 0 d G 9 t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n V s e S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1 b H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1 b H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1 b H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W d 1 c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W d 1 c 3 Q v U m V t b 3 Z l Z C U y M E J v d H R v b S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1 Z 3 V z d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V n d X N 0 L 1 V u c G l 2 b 3 R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V n d X N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B 0 Z W 1 i c m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B 0 Z W 1 i c m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H R l b W J y Z S 9 S Z W 1 v d m V k J T I w Q m 9 0 d G 9 t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w d G V t Y n J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W d 1 c 3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H R l b W J y Z S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H R l b W J y Z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w d G V t Y n J l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w d G V t Y n J l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w d G V t Y n J l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2 1 v b n R o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t b 2 5 0 a H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b W 9 u d G h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2 1 v b n R o c y U y M C g 0 K S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F Z A f p m E l C h X G 9 h i n s w 7 E A A A A A A g A A A A A A E G Y A A A A B A A A g A A A A + z z i R L m x 2 X T J N d z 9 w u k l l q q h 7 U o 3 v 6 7 v i a O K 9 x B 4 l P 4 A A A A A D o A A A A A C A A A g A A A A N Y V z I t l 2 G a T 2 6 9 Z a U b U F E r 6 h 3 7 + t B U R l l b 2 C / Z 4 B D s l Q A A A A 6 D 3 x N 8 Y a W y n M 6 p o H i u 4 S f r c F q 5 J k o V d d H 7 r E 1 E K j Z O V C o e X y p x A c 1 9 1 0 c B F x f t L Y 1 g J 2 X t V U f V E K M u 0 M + K R 8 O N a F M G / M 0 W 7 r A c p M 2 8 7 z l I N A A A A A y d x y k x Y R j M K r 7 d g X v 0 U L 1 v u / 1 l U D j d 9 k Y D 8 r g k h G 6 N 5 7 k D A y w 4 J M T a P a 9 F 5 7 / 1 4 s J B F R 2 q 3 z + p 2 + b J N 0 G V w P H A = = < / D a t a M a s h u p > 
</file>

<file path=customXml/itemProps1.xml><?xml version="1.0" encoding="utf-8"?>
<ds:datastoreItem xmlns:ds="http://schemas.openxmlformats.org/officeDocument/2006/customXml" ds:itemID="{0704DAE8-95EC-4E79-BE2C-2C1AC2DB1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AUGUST</vt:lpstr>
      <vt:lpstr>SEPTEMBRE</vt:lpstr>
      <vt:lpstr>Monthly Expenses</vt:lpstr>
      <vt:lpstr>Costs 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2024-10-08T10:41:42Z</dcterms:modified>
</cp:coreProperties>
</file>