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rimri\OneDrive\Desktop\My Stock Models\"/>
    </mc:Choice>
  </mc:AlternateContent>
  <xr:revisionPtr revIDLastSave="0" documentId="13_ncr:1_{F45FFC60-0F1D-4DF6-AEC5-E07E36EEB5B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adMe" sheetId="3" r:id="rId1"/>
    <sheet name="Main" sheetId="1" r:id="rId2"/>
    <sheet name="Model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0" i="2" l="1"/>
  <c r="AF12" i="2" s="1"/>
  <c r="AF11" i="2"/>
  <c r="AF14" i="2"/>
  <c r="AF17" i="2"/>
  <c r="AF18" i="2"/>
  <c r="AF19" i="2"/>
  <c r="AF20" i="2"/>
  <c r="AF22" i="2"/>
  <c r="AE26" i="2"/>
  <c r="AE25" i="2"/>
  <c r="AE42" i="2" s="1"/>
  <c r="AE10" i="2"/>
  <c r="AE11" i="2"/>
  <c r="AE12" i="2"/>
  <c r="AE16" i="2" s="1"/>
  <c r="AE21" i="2" s="1"/>
  <c r="AE23" i="2" s="1"/>
  <c r="AE24" i="2" s="1"/>
  <c r="AE13" i="2"/>
  <c r="AE14" i="2"/>
  <c r="AE15" i="2"/>
  <c r="AE17" i="2"/>
  <c r="AE18" i="2"/>
  <c r="AE19" i="2"/>
  <c r="AE20" i="2"/>
  <c r="AE22" i="2"/>
  <c r="S29" i="2"/>
  <c r="T29" i="2"/>
  <c r="U29" i="2"/>
  <c r="V29" i="2"/>
  <c r="Y22" i="2"/>
  <c r="Y19" i="2"/>
  <c r="Z19" i="2" s="1"/>
  <c r="AA19" i="2" s="1"/>
  <c r="AB19" i="2" s="1"/>
  <c r="AC19" i="2" s="1"/>
  <c r="AD19" i="2" s="1"/>
  <c r="Y18" i="2"/>
  <c r="Z18" i="2" s="1"/>
  <c r="AA18" i="2" s="1"/>
  <c r="AB18" i="2" s="1"/>
  <c r="AC18" i="2" s="1"/>
  <c r="AD18" i="2" s="1"/>
  <c r="Y17" i="2"/>
  <c r="Z17" i="2" s="1"/>
  <c r="AA17" i="2" s="1"/>
  <c r="AB17" i="2" s="1"/>
  <c r="AC17" i="2" s="1"/>
  <c r="AD17" i="2" s="1"/>
  <c r="N59" i="2"/>
  <c r="N58" i="2"/>
  <c r="N56" i="2"/>
  <c r="N52" i="2"/>
  <c r="N43" i="2"/>
  <c r="X38" i="2"/>
  <c r="S38" i="2"/>
  <c r="R36" i="2"/>
  <c r="S36" i="2"/>
  <c r="T36" i="2"/>
  <c r="U36" i="2"/>
  <c r="R37" i="2"/>
  <c r="S37" i="2"/>
  <c r="T37" i="2"/>
  <c r="U37" i="2"/>
  <c r="T38" i="2"/>
  <c r="U38" i="2"/>
  <c r="S39" i="2"/>
  <c r="T39" i="2"/>
  <c r="U39" i="2"/>
  <c r="S40" i="2"/>
  <c r="T40" i="2"/>
  <c r="U40" i="2"/>
  <c r="V38" i="2"/>
  <c r="V39" i="2"/>
  <c r="V40" i="2"/>
  <c r="R20" i="2"/>
  <c r="S20" i="2"/>
  <c r="T20" i="2"/>
  <c r="R15" i="2"/>
  <c r="S15" i="2"/>
  <c r="T15" i="2"/>
  <c r="R12" i="2"/>
  <c r="S12" i="2"/>
  <c r="T12" i="2"/>
  <c r="U20" i="2"/>
  <c r="U15" i="2"/>
  <c r="U12" i="2"/>
  <c r="W40" i="2"/>
  <c r="X40" i="2"/>
  <c r="W39" i="2"/>
  <c r="X39" i="2"/>
  <c r="W38" i="2"/>
  <c r="O36" i="2"/>
  <c r="V36" i="2"/>
  <c r="W36" i="2"/>
  <c r="X36" i="2"/>
  <c r="O37" i="2"/>
  <c r="V37" i="2"/>
  <c r="W37" i="2"/>
  <c r="X37" i="2"/>
  <c r="D37" i="2"/>
  <c r="E37" i="2"/>
  <c r="F37" i="2"/>
  <c r="G37" i="2"/>
  <c r="H37" i="2"/>
  <c r="I37" i="2"/>
  <c r="J37" i="2"/>
  <c r="K37" i="2"/>
  <c r="L37" i="2"/>
  <c r="M37" i="2"/>
  <c r="N37" i="2"/>
  <c r="D36" i="2"/>
  <c r="E36" i="2"/>
  <c r="F36" i="2"/>
  <c r="G36" i="2"/>
  <c r="H36" i="2"/>
  <c r="I36" i="2"/>
  <c r="J36" i="2"/>
  <c r="K36" i="2"/>
  <c r="L36" i="2"/>
  <c r="M36" i="2"/>
  <c r="N36" i="2"/>
  <c r="C36" i="2"/>
  <c r="C37" i="2"/>
  <c r="Y11" i="2"/>
  <c r="Y14" i="2" s="1"/>
  <c r="Y37" i="2" s="1"/>
  <c r="Y10" i="2"/>
  <c r="Y12" i="2" s="1"/>
  <c r="AF13" i="2" l="1"/>
  <c r="AF15" i="2" s="1"/>
  <c r="AF16" i="2" s="1"/>
  <c r="AF21" i="2" s="1"/>
  <c r="AF23" i="2" s="1"/>
  <c r="N42" i="2"/>
  <c r="X42" i="2" s="1"/>
  <c r="N63" i="2"/>
  <c r="Y20" i="2"/>
  <c r="AA20" i="2"/>
  <c r="Z20" i="2"/>
  <c r="Z11" i="2"/>
  <c r="AA11" i="2" s="1"/>
  <c r="AB11" i="2" s="1"/>
  <c r="S16" i="2"/>
  <c r="S33" i="2" s="1"/>
  <c r="T16" i="2"/>
  <c r="R16" i="2"/>
  <c r="S21" i="2"/>
  <c r="U16" i="2"/>
  <c r="U33" i="2" s="1"/>
  <c r="Z10" i="2"/>
  <c r="Z12" i="2" s="1"/>
  <c r="U21" i="2"/>
  <c r="AA14" i="2"/>
  <c r="Z14" i="2"/>
  <c r="Y13" i="2"/>
  <c r="AF24" i="2" l="1"/>
  <c r="AF25" i="2"/>
  <c r="AF26" i="2" s="1"/>
  <c r="S23" i="2"/>
  <c r="S34" i="2"/>
  <c r="T21" i="2"/>
  <c r="T33" i="2"/>
  <c r="U23" i="2"/>
  <c r="U34" i="2"/>
  <c r="R21" i="2"/>
  <c r="R33" i="2"/>
  <c r="AB20" i="2"/>
  <c r="Z13" i="2"/>
  <c r="Z15" i="2" s="1"/>
  <c r="Z16" i="2" s="1"/>
  <c r="AA10" i="2"/>
  <c r="Y15" i="2"/>
  <c r="Y16" i="2" s="1"/>
  <c r="Y36" i="2"/>
  <c r="AC11" i="2"/>
  <c r="AB14" i="2"/>
  <c r="T23" i="2" l="1"/>
  <c r="T34" i="2"/>
  <c r="U25" i="2"/>
  <c r="U26" i="2" s="1"/>
  <c r="U35" i="2"/>
  <c r="R23" i="2"/>
  <c r="R34" i="2"/>
  <c r="S25" i="2"/>
  <c r="S26" i="2" s="1"/>
  <c r="S35" i="2"/>
  <c r="AD20" i="2"/>
  <c r="AC20" i="2"/>
  <c r="Y33" i="2"/>
  <c r="Y21" i="2"/>
  <c r="Z33" i="2"/>
  <c r="Z21" i="2"/>
  <c r="AB10" i="2"/>
  <c r="AA13" i="2"/>
  <c r="AA15" i="2" s="1"/>
  <c r="AA12" i="2"/>
  <c r="AD11" i="2"/>
  <c r="AD14" i="2" s="1"/>
  <c r="AC14" i="2"/>
  <c r="R25" i="2" l="1"/>
  <c r="R26" i="2" s="1"/>
  <c r="R35" i="2"/>
  <c r="T25" i="2"/>
  <c r="T26" i="2" s="1"/>
  <c r="T35" i="2"/>
  <c r="Y23" i="2"/>
  <c r="Y24" i="2" s="1"/>
  <c r="Y34" i="2"/>
  <c r="Z34" i="2"/>
  <c r="AC10" i="2"/>
  <c r="AB13" i="2"/>
  <c r="AB15" i="2" s="1"/>
  <c r="AB12" i="2"/>
  <c r="AA16" i="2"/>
  <c r="AA33" i="2" l="1"/>
  <c r="AA21" i="2"/>
  <c r="Y35" i="2"/>
  <c r="Y25" i="2"/>
  <c r="AB16" i="2"/>
  <c r="AD10" i="2"/>
  <c r="AC13" i="2"/>
  <c r="AC15" i="2" s="1"/>
  <c r="AC12" i="2"/>
  <c r="Y42" i="2" l="1"/>
  <c r="Z22" i="2" s="1"/>
  <c r="Z23" i="2" s="1"/>
  <c r="Z24" i="2" s="1"/>
  <c r="Y26" i="2"/>
  <c r="AB33" i="2"/>
  <c r="AB21" i="2"/>
  <c r="AA34" i="2"/>
  <c r="AC16" i="2"/>
  <c r="AD13" i="2"/>
  <c r="AD15" i="2" s="1"/>
  <c r="AD12" i="2"/>
  <c r="Z25" i="2" l="1"/>
  <c r="Z35" i="2"/>
  <c r="AC33" i="2"/>
  <c r="AC21" i="2"/>
  <c r="AB34" i="2"/>
  <c r="AD16" i="2"/>
  <c r="Z42" i="2" l="1"/>
  <c r="AA22" i="2" s="1"/>
  <c r="AA23" i="2" s="1"/>
  <c r="AA24" i="2" s="1"/>
  <c r="AA35" i="2" s="1"/>
  <c r="Z26" i="2"/>
  <c r="AA25" i="2"/>
  <c r="AD33" i="2"/>
  <c r="AD21" i="2"/>
  <c r="AC34" i="2"/>
  <c r="AA42" i="2" l="1"/>
  <c r="AB22" i="2" s="1"/>
  <c r="AB23" i="2" s="1"/>
  <c r="AA26" i="2"/>
  <c r="AB24" i="2"/>
  <c r="AB25" i="2" s="1"/>
  <c r="AD34" i="2"/>
  <c r="AB42" i="2" l="1"/>
  <c r="AC22" i="2" s="1"/>
  <c r="AC23" i="2" s="1"/>
  <c r="AC24" i="2" s="1"/>
  <c r="AC35" i="2" s="1"/>
  <c r="AB26" i="2"/>
  <c r="AB35" i="2"/>
  <c r="AC25" i="2" l="1"/>
  <c r="AC42" i="2" l="1"/>
  <c r="AD22" i="2" s="1"/>
  <c r="AD23" i="2" s="1"/>
  <c r="AD24" i="2" s="1"/>
  <c r="AD35" i="2" s="1"/>
  <c r="AC26" i="2"/>
  <c r="AD25" i="2"/>
  <c r="AD42" i="2" l="1"/>
  <c r="AD26" i="2"/>
  <c r="AF42" i="2" l="1"/>
  <c r="AG25" i="2" l="1"/>
  <c r="AG42" i="2" s="1"/>
  <c r="AH25" i="2" l="1"/>
  <c r="AH42" i="2" s="1"/>
  <c r="AI25" i="2" l="1"/>
  <c r="AI42" i="2" s="1"/>
  <c r="AJ25" i="2" l="1"/>
  <c r="AJ42" i="2" s="1"/>
  <c r="AK25" i="2" l="1"/>
  <c r="AL25" i="2" s="1"/>
  <c r="AM25" i="2" s="1"/>
  <c r="AN25" i="2" s="1"/>
  <c r="AO25" i="2" s="1"/>
  <c r="AP25" i="2" s="1"/>
  <c r="AQ25" i="2" s="1"/>
  <c r="AR25" i="2" s="1"/>
  <c r="AS25" i="2" s="1"/>
  <c r="AT25" i="2" s="1"/>
  <c r="AU25" i="2" s="1"/>
  <c r="AV25" i="2" s="1"/>
  <c r="AW25" i="2" s="1"/>
  <c r="AX25" i="2" s="1"/>
  <c r="AY25" i="2" s="1"/>
  <c r="AZ25" i="2" s="1"/>
  <c r="BA25" i="2" s="1"/>
  <c r="BB25" i="2" s="1"/>
  <c r="BC25" i="2" s="1"/>
  <c r="BD25" i="2" s="1"/>
  <c r="BE25" i="2" s="1"/>
  <c r="BF25" i="2" s="1"/>
  <c r="BG25" i="2" s="1"/>
  <c r="BH25" i="2" s="1"/>
  <c r="BI25" i="2" s="1"/>
  <c r="BJ25" i="2" s="1"/>
  <c r="BK25" i="2" s="1"/>
  <c r="BL25" i="2" s="1"/>
  <c r="BM25" i="2" s="1"/>
  <c r="BN25" i="2" s="1"/>
  <c r="BO25" i="2" s="1"/>
  <c r="BP25" i="2" s="1"/>
  <c r="BQ25" i="2" s="1"/>
  <c r="BR25" i="2" s="1"/>
  <c r="BS25" i="2" s="1"/>
  <c r="BT25" i="2" s="1"/>
  <c r="BU25" i="2" s="1"/>
  <c r="BV25" i="2" s="1"/>
  <c r="BW25" i="2" s="1"/>
  <c r="BX25" i="2" s="1"/>
  <c r="BY25" i="2" s="1"/>
  <c r="BZ25" i="2" s="1"/>
  <c r="CA25" i="2" s="1"/>
  <c r="CB25" i="2" s="1"/>
  <c r="CC25" i="2" s="1"/>
  <c r="CD25" i="2" s="1"/>
  <c r="CE25" i="2" s="1"/>
  <c r="CF25" i="2" s="1"/>
  <c r="CG25" i="2" s="1"/>
  <c r="CH25" i="2" s="1"/>
  <c r="AK42" i="2" l="1"/>
  <c r="AL42" i="2" s="1"/>
  <c r="AM42" i="2" s="1"/>
  <c r="AN42" i="2" s="1"/>
  <c r="AO42" i="2" s="1"/>
  <c r="AP42" i="2" s="1"/>
  <c r="AQ42" i="2" s="1"/>
  <c r="X12" i="2"/>
  <c r="W12" i="2"/>
  <c r="V12" i="2"/>
  <c r="W15" i="2"/>
  <c r="X15" i="2"/>
  <c r="W20" i="2"/>
  <c r="X20" i="2"/>
  <c r="V20" i="2"/>
  <c r="V15" i="2"/>
  <c r="W4" i="2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AJ4" i="2" s="1"/>
  <c r="AK4" i="2" s="1"/>
  <c r="AL4" i="2" s="1"/>
  <c r="AM4" i="2" s="1"/>
  <c r="AN4" i="2" s="1"/>
  <c r="AO4" i="2" s="1"/>
  <c r="AP4" i="2" s="1"/>
  <c r="AQ4" i="2" s="1"/>
  <c r="AR4" i="2" s="1"/>
  <c r="AS4" i="2" s="1"/>
  <c r="AT4" i="2" s="1"/>
  <c r="AU4" i="2" s="1"/>
  <c r="AV4" i="2" s="1"/>
  <c r="AW4" i="2" s="1"/>
  <c r="AX4" i="2" s="1"/>
  <c r="AY4" i="2" s="1"/>
  <c r="AZ4" i="2" s="1"/>
  <c r="BA4" i="2" s="1"/>
  <c r="BB4" i="2" s="1"/>
  <c r="BC4" i="2" s="1"/>
  <c r="BD4" i="2" s="1"/>
  <c r="BE4" i="2" s="1"/>
  <c r="BF4" i="2" s="1"/>
  <c r="BG4" i="2" s="1"/>
  <c r="BH4" i="2" s="1"/>
  <c r="BI4" i="2" s="1"/>
  <c r="BJ4" i="2" s="1"/>
  <c r="BK4" i="2" s="1"/>
  <c r="BL4" i="2" s="1"/>
  <c r="BM4" i="2" s="1"/>
  <c r="BN4" i="2" s="1"/>
  <c r="BO4" i="2" s="1"/>
  <c r="BP4" i="2" s="1"/>
  <c r="BQ4" i="2" s="1"/>
  <c r="BR4" i="2" s="1"/>
  <c r="BS4" i="2" s="1"/>
  <c r="BT4" i="2" s="1"/>
  <c r="BU4" i="2" s="1"/>
  <c r="BV4" i="2" s="1"/>
  <c r="BW4" i="2" s="1"/>
  <c r="BX4" i="2" s="1"/>
  <c r="BY4" i="2" s="1"/>
  <c r="BZ4" i="2" s="1"/>
  <c r="CA4" i="2" s="1"/>
  <c r="CB4" i="2" s="1"/>
  <c r="CC4" i="2" s="1"/>
  <c r="CD4" i="2" s="1"/>
  <c r="CE4" i="2" s="1"/>
  <c r="CF4" i="2" s="1"/>
  <c r="CG4" i="2" s="1"/>
  <c r="CH4" i="2" s="1"/>
  <c r="G30" i="2"/>
  <c r="H30" i="2"/>
  <c r="I30" i="2"/>
  <c r="J30" i="2"/>
  <c r="K30" i="2"/>
  <c r="L30" i="2"/>
  <c r="M30" i="2"/>
  <c r="N30" i="2"/>
  <c r="G31" i="2"/>
  <c r="H31" i="2"/>
  <c r="I31" i="2"/>
  <c r="J31" i="2"/>
  <c r="K31" i="2"/>
  <c r="L31" i="2"/>
  <c r="M31" i="2"/>
  <c r="N31" i="2"/>
  <c r="G32" i="2"/>
  <c r="H32" i="2"/>
  <c r="I32" i="2"/>
  <c r="J32" i="2"/>
  <c r="K32" i="2"/>
  <c r="L32" i="2"/>
  <c r="M32" i="2"/>
  <c r="N32" i="2"/>
  <c r="O32" i="2"/>
  <c r="O31" i="2"/>
  <c r="O30" i="2"/>
  <c r="G29" i="2"/>
  <c r="H29" i="2"/>
  <c r="I29" i="2"/>
  <c r="J29" i="2"/>
  <c r="K29" i="2"/>
  <c r="L29" i="2"/>
  <c r="M29" i="2"/>
  <c r="N29" i="2"/>
  <c r="O29" i="2"/>
  <c r="W16" i="2" l="1"/>
  <c r="W33" i="2" s="1"/>
  <c r="X29" i="2"/>
  <c r="W29" i="2"/>
  <c r="X16" i="2"/>
  <c r="W21" i="2"/>
  <c r="V16" i="2"/>
  <c r="O59" i="2"/>
  <c r="O58" i="2"/>
  <c r="O56" i="2"/>
  <c r="O63" i="2" s="1"/>
  <c r="O43" i="2"/>
  <c r="V21" i="2" l="1"/>
  <c r="V33" i="2"/>
  <c r="W23" i="2"/>
  <c r="W34" i="2"/>
  <c r="X21" i="2"/>
  <c r="X33" i="2"/>
  <c r="O42" i="2"/>
  <c r="O52" i="2"/>
  <c r="C20" i="2"/>
  <c r="D20" i="2"/>
  <c r="E20" i="2"/>
  <c r="F20" i="2"/>
  <c r="G20" i="2"/>
  <c r="C15" i="2"/>
  <c r="C16" i="2" s="1"/>
  <c r="C33" i="2" s="1"/>
  <c r="D15" i="2"/>
  <c r="D16" i="2" s="1"/>
  <c r="D33" i="2" s="1"/>
  <c r="E15" i="2"/>
  <c r="E16" i="2" s="1"/>
  <c r="E33" i="2" s="1"/>
  <c r="F15" i="2"/>
  <c r="F16" i="2" s="1"/>
  <c r="F33" i="2" s="1"/>
  <c r="G15" i="2"/>
  <c r="G16" i="2" s="1"/>
  <c r="G33" i="2" s="1"/>
  <c r="V23" i="2" l="1"/>
  <c r="V34" i="2"/>
  <c r="X23" i="2"/>
  <c r="X34" i="2"/>
  <c r="W35" i="2"/>
  <c r="W25" i="2"/>
  <c r="W26" i="2" s="1"/>
  <c r="E21" i="2"/>
  <c r="E34" i="2" s="1"/>
  <c r="G21" i="2"/>
  <c r="G34" i="2" s="1"/>
  <c r="F21" i="2"/>
  <c r="F34" i="2" s="1"/>
  <c r="C21" i="2"/>
  <c r="C34" i="2" s="1"/>
  <c r="D21" i="2"/>
  <c r="D34" i="2" s="1"/>
  <c r="X25" i="2" l="1"/>
  <c r="X35" i="2"/>
  <c r="V25" i="2"/>
  <c r="V26" i="2" s="1"/>
  <c r="V35" i="2"/>
  <c r="G23" i="2"/>
  <c r="D23" i="2"/>
  <c r="F23" i="2"/>
  <c r="E23" i="2"/>
  <c r="C23" i="2"/>
  <c r="H20" i="2"/>
  <c r="I20" i="2"/>
  <c r="J20" i="2"/>
  <c r="H15" i="2"/>
  <c r="H16" i="2" s="1"/>
  <c r="H33" i="2" s="1"/>
  <c r="I15" i="2"/>
  <c r="I16" i="2" s="1"/>
  <c r="I33" i="2" s="1"/>
  <c r="J15" i="2"/>
  <c r="J16" i="2" s="1"/>
  <c r="J33" i="2" s="1"/>
  <c r="K15" i="2"/>
  <c r="K16" i="2" s="1"/>
  <c r="K33" i="2" s="1"/>
  <c r="L15" i="2"/>
  <c r="L16" i="2" s="1"/>
  <c r="L33" i="2" s="1"/>
  <c r="M15" i="2"/>
  <c r="M16" i="2" s="1"/>
  <c r="M33" i="2" s="1"/>
  <c r="O15" i="2"/>
  <c r="O16" i="2" s="1"/>
  <c r="O33" i="2" s="1"/>
  <c r="N15" i="2"/>
  <c r="N16" i="2" s="1"/>
  <c r="N33" i="2" s="1"/>
  <c r="K20" i="2"/>
  <c r="L20" i="2"/>
  <c r="M20" i="2"/>
  <c r="N20" i="2"/>
  <c r="O20" i="2"/>
  <c r="O5" i="1"/>
  <c r="O8" i="1" s="1"/>
  <c r="X26" i="2" l="1"/>
  <c r="AG32" i="2"/>
  <c r="AG35" i="2" s="1"/>
  <c r="D25" i="2"/>
  <c r="D26" i="2" s="1"/>
  <c r="D35" i="2"/>
  <c r="G25" i="2"/>
  <c r="G26" i="2" s="1"/>
  <c r="G35" i="2"/>
  <c r="E25" i="2"/>
  <c r="E26" i="2" s="1"/>
  <c r="E35" i="2"/>
  <c r="F25" i="2"/>
  <c r="F26" i="2" s="1"/>
  <c r="F35" i="2"/>
  <c r="C25" i="2"/>
  <c r="C26" i="2" s="1"/>
  <c r="C35" i="2"/>
  <c r="J21" i="2"/>
  <c r="J34" i="2" s="1"/>
  <c r="I21" i="2"/>
  <c r="I34" i="2" s="1"/>
  <c r="K21" i="2"/>
  <c r="K34" i="2" s="1"/>
  <c r="H21" i="2"/>
  <c r="H34" i="2" s="1"/>
  <c r="L21" i="2"/>
  <c r="L34" i="2" s="1"/>
  <c r="N21" i="2"/>
  <c r="N34" i="2" s="1"/>
  <c r="M21" i="2"/>
  <c r="M34" i="2" s="1"/>
  <c r="O21" i="2"/>
  <c r="O34" i="2" s="1"/>
  <c r="O23" i="2" l="1"/>
  <c r="O35" i="2" s="1"/>
  <c r="M23" i="2"/>
  <c r="N23" i="2"/>
  <c r="L23" i="2"/>
  <c r="H23" i="2"/>
  <c r="K23" i="2"/>
  <c r="I23" i="2"/>
  <c r="J23" i="2"/>
  <c r="J25" i="2" l="1"/>
  <c r="J26" i="2" s="1"/>
  <c r="J35" i="2"/>
  <c r="I25" i="2"/>
  <c r="I26" i="2" s="1"/>
  <c r="I35" i="2"/>
  <c r="K25" i="2"/>
  <c r="K26" i="2" s="1"/>
  <c r="K35" i="2"/>
  <c r="H25" i="2"/>
  <c r="H26" i="2" s="1"/>
  <c r="H35" i="2"/>
  <c r="L25" i="2"/>
  <c r="L26" i="2" s="1"/>
  <c r="L35" i="2"/>
  <c r="N25" i="2"/>
  <c r="N26" i="2" s="1"/>
  <c r="N35" i="2"/>
  <c r="M25" i="2"/>
  <c r="M26" i="2" s="1"/>
  <c r="M35" i="2"/>
  <c r="O25" i="2"/>
  <c r="O26" i="2" s="1"/>
</calcChain>
</file>

<file path=xl/sharedStrings.xml><?xml version="1.0" encoding="utf-8"?>
<sst xmlns="http://schemas.openxmlformats.org/spreadsheetml/2006/main" count="121" uniqueCount="110">
  <si>
    <t>Main</t>
  </si>
  <si>
    <t>Cash</t>
  </si>
  <si>
    <t>Debt</t>
  </si>
  <si>
    <t>Revenue</t>
  </si>
  <si>
    <t>Founded</t>
  </si>
  <si>
    <t>Reporting Date</t>
  </si>
  <si>
    <t>Filing Date</t>
  </si>
  <si>
    <t>Price per share</t>
  </si>
  <si>
    <t>Shares Oustanding</t>
  </si>
  <si>
    <t>Market Cap</t>
  </si>
  <si>
    <t>Enterprise Value</t>
  </si>
  <si>
    <t>P/E</t>
  </si>
  <si>
    <t>Quarter</t>
  </si>
  <si>
    <t>Microsoft</t>
  </si>
  <si>
    <t>3T</t>
  </si>
  <si>
    <t>7.4B</t>
  </si>
  <si>
    <t>Product</t>
  </si>
  <si>
    <t>Service and other</t>
  </si>
  <si>
    <t>Cost of Prodcut</t>
  </si>
  <si>
    <t>Cost of Service&amp;Other</t>
  </si>
  <si>
    <t>COGS</t>
  </si>
  <si>
    <t>Gross Margin</t>
  </si>
  <si>
    <t>R&amp;D</t>
  </si>
  <si>
    <t>S&amp;M</t>
  </si>
  <si>
    <t>G&amp;A</t>
  </si>
  <si>
    <t>Operating Expense</t>
  </si>
  <si>
    <t>Operating Income</t>
  </si>
  <si>
    <t>Other Income(Expense)</t>
  </si>
  <si>
    <t>PreTax</t>
  </si>
  <si>
    <t>Taxes</t>
  </si>
  <si>
    <t>Net Income</t>
  </si>
  <si>
    <t>EPS</t>
  </si>
  <si>
    <t>Shares</t>
  </si>
  <si>
    <t>FQ1 2025</t>
  </si>
  <si>
    <t>FQ4 2024</t>
  </si>
  <si>
    <t>FQ3 2024</t>
  </si>
  <si>
    <t>FQ2 2024</t>
  </si>
  <si>
    <t>FQ1 2024</t>
  </si>
  <si>
    <t>FQ4 2023</t>
  </si>
  <si>
    <t>FQ3 2023</t>
  </si>
  <si>
    <t>FQ2 2023</t>
  </si>
  <si>
    <t>SEC.GOV</t>
  </si>
  <si>
    <t>Investor Relations</t>
  </si>
  <si>
    <t>Personal Computing</t>
  </si>
  <si>
    <t>Productivity and Business</t>
  </si>
  <si>
    <t>Intelligent Cloud</t>
  </si>
  <si>
    <t>More Personal Computing</t>
  </si>
  <si>
    <t>FQ1 2023</t>
  </si>
  <si>
    <t>FQ4 2022</t>
  </si>
  <si>
    <t>FQ3 2022</t>
  </si>
  <si>
    <t>FQ2 2022</t>
  </si>
  <si>
    <t>FQ1 2022</t>
  </si>
  <si>
    <t>Operating Margin</t>
  </si>
  <si>
    <t>Tax Rate</t>
  </si>
  <si>
    <t>Revenue Growth Y/Y</t>
  </si>
  <si>
    <t>Productivity Growth Y/Y</t>
  </si>
  <si>
    <t>Cloud Growth Y/Y</t>
  </si>
  <si>
    <t>Net Cash</t>
  </si>
  <si>
    <t>Accounts Recievables</t>
  </si>
  <si>
    <t>Inventories</t>
  </si>
  <si>
    <t>Other Current Assets</t>
  </si>
  <si>
    <t>PP&amp;E</t>
  </si>
  <si>
    <t>Operating Lease</t>
  </si>
  <si>
    <t>Goodwill</t>
  </si>
  <si>
    <t>Intangible Assets</t>
  </si>
  <si>
    <t>Other Long-Term Assets</t>
  </si>
  <si>
    <t>Total Assets</t>
  </si>
  <si>
    <t>Assets</t>
  </si>
  <si>
    <t>Liabilities</t>
  </si>
  <si>
    <t>Accounts Payable</t>
  </si>
  <si>
    <t>Accrued Compensation</t>
  </si>
  <si>
    <t>Unearned Revenue</t>
  </si>
  <si>
    <t>Other Current Liabilities</t>
  </si>
  <si>
    <t>Other Long-Term Liabilities</t>
  </si>
  <si>
    <t>Total Liabilities</t>
  </si>
  <si>
    <t>Equity</t>
  </si>
  <si>
    <t>Liabilities+Equity</t>
  </si>
  <si>
    <t>Name</t>
  </si>
  <si>
    <t xml:space="preserve">  LinkedIn</t>
  </si>
  <si>
    <t xml:space="preserve">  Office Consumer</t>
  </si>
  <si>
    <t xml:space="preserve">  Office Commercial</t>
  </si>
  <si>
    <t>Description</t>
  </si>
  <si>
    <t xml:space="preserve">  Server product and Cloud</t>
  </si>
  <si>
    <t xml:space="preserve">  Windows</t>
  </si>
  <si>
    <t xml:space="preserve">  Devices</t>
  </si>
  <si>
    <t>Surface, HoloLens, and PC accessories</t>
  </si>
  <si>
    <t>Patent Liscensing and Internet of Things</t>
  </si>
  <si>
    <t>OS, Commerical, cloud services,</t>
  </si>
  <si>
    <t>Office 365 Home Subs (Word, Excel, PowerPoint, Outlook,</t>
  </si>
  <si>
    <t>Office 365 Business Subs (Office, SharePoint, Exchange, Viva</t>
  </si>
  <si>
    <t xml:space="preserve">  (Home+ other apps)</t>
  </si>
  <si>
    <t>Intune, Security, Compliance, Purview, and Copilot 365)</t>
  </si>
  <si>
    <t>Defender, Editor, Teams, Clipchamp, OneDrive, and Copilot Pro)</t>
  </si>
  <si>
    <t>Talent Marketing and Sales Solutions + Premium Subs</t>
  </si>
  <si>
    <t xml:space="preserve">  Dynamics Business Solutions</t>
  </si>
  <si>
    <t>Power Automate; and on-premises ERP and CRM</t>
  </si>
  <si>
    <t>Dynamics 365, cloud-based ERP, CRM, Power Apps, and</t>
  </si>
  <si>
    <t>Personal Computing Growth Y/Y</t>
  </si>
  <si>
    <t>Discount</t>
  </si>
  <si>
    <t>NPV</t>
  </si>
  <si>
    <t>Terminal</t>
  </si>
  <si>
    <t>COP margin</t>
  </si>
  <si>
    <t>COS margin</t>
  </si>
  <si>
    <t>ROIC</t>
  </si>
  <si>
    <t>Share Price</t>
  </si>
  <si>
    <t>Current Price</t>
  </si>
  <si>
    <t>asd</t>
  </si>
  <si>
    <t>This is the first model I've been developing while learning finance.</t>
  </si>
  <si>
    <t>NPV projection is just me putting in some numbers. Nothing fully thought out.</t>
  </si>
  <si>
    <t>Will update as I learn more about the company and once I get a bunch of information on the model I will clean it up.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</si>
</sst>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[$$-409]* #,##0.00_);_([$$-409]* \(#,##0.00\);_([$$-409]* &quot;-&quot;??_);_(@_)"/>
    <numFmt numFmtId="165" formatCode="_(* #,##0_);_(* \(#,##0\);_(* &quot;-&quot;??_);_(@_)"/>
  </numFmts>
  <fonts count="11" x14ac:knownFonts="1">
    <font>
      <sz val="14"/>
      <color theme="1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4"/>
      <color theme="10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1"/>
      <name val="Calibri"/>
      <family val="2"/>
    </font>
    <font>
      <sz val="14"/>
      <color theme="10"/>
      <name val="Arial"/>
      <family val="2"/>
    </font>
    <font>
      <sz val="14"/>
      <name val="Arial"/>
      <family val="2"/>
    </font>
    <font>
      <i/>
      <sz val="14"/>
      <color theme="1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/>
    <xf numFmtId="10" fontId="8" fillId="0" borderId="0"/>
    <xf numFmtId="0" fontId="8" fillId="0" borderId="1" applyBorder="0"/>
  </cellStyleXfs>
  <cellXfs count="39">
    <xf numFmtId="0" fontId="0" fillId="0" borderId="0" xfId="0"/>
    <xf numFmtId="0" fontId="3" fillId="0" borderId="0" xfId="2" applyFont="1"/>
    <xf numFmtId="0" fontId="4" fillId="0" borderId="0" xfId="0" applyFont="1"/>
    <xf numFmtId="14" fontId="4" fillId="0" borderId="0" xfId="0" applyNumberFormat="1" applyFont="1"/>
    <xf numFmtId="0" fontId="5" fillId="0" borderId="0" xfId="0" applyFont="1"/>
    <xf numFmtId="165" fontId="4" fillId="0" borderId="0" xfId="1" applyNumberFormat="1" applyFont="1" applyAlignment="1">
      <alignment horizontal="right"/>
    </xf>
    <xf numFmtId="3" fontId="4" fillId="0" borderId="0" xfId="0" applyNumberFormat="1" applyFont="1"/>
    <xf numFmtId="164" fontId="4" fillId="0" borderId="0" xfId="0" applyNumberFormat="1" applyFont="1"/>
    <xf numFmtId="1" fontId="4" fillId="0" borderId="0" xfId="0" applyNumberFormat="1" applyFont="1"/>
    <xf numFmtId="0" fontId="4" fillId="0" borderId="0" xfId="1" applyNumberFormat="1" applyFont="1"/>
    <xf numFmtId="14" fontId="5" fillId="0" borderId="0" xfId="0" applyNumberFormat="1" applyFont="1"/>
    <xf numFmtId="165" fontId="4" fillId="0" borderId="0" xfId="1" applyNumberFormat="1" applyFont="1"/>
    <xf numFmtId="165" fontId="5" fillId="0" borderId="0" xfId="1" applyNumberFormat="1" applyFont="1"/>
    <xf numFmtId="43" fontId="5" fillId="0" borderId="0" xfId="1" applyFont="1"/>
    <xf numFmtId="0" fontId="7" fillId="0" borderId="0" xfId="2" applyFont="1"/>
    <xf numFmtId="14" fontId="7" fillId="0" borderId="0" xfId="2" applyNumberFormat="1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2" xfId="0" applyBorder="1"/>
    <xf numFmtId="0" fontId="0" fillId="0" borderId="8" xfId="0" applyBorder="1"/>
    <xf numFmtId="0" fontId="9" fillId="0" borderId="8" xfId="0" applyFont="1" applyBorder="1"/>
    <xf numFmtId="0" fontId="0" fillId="0" borderId="9" xfId="0" applyBorder="1"/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10" fontId="8" fillId="0" borderId="0" xfId="4"/>
    <xf numFmtId="10" fontId="10" fillId="0" borderId="0" xfId="4" applyFont="1"/>
    <xf numFmtId="9" fontId="5" fillId="0" borderId="0" xfId="0" applyNumberFormat="1" applyFont="1"/>
    <xf numFmtId="9" fontId="0" fillId="0" borderId="0" xfId="0" applyNumberFormat="1"/>
    <xf numFmtId="43" fontId="4" fillId="0" borderId="0" xfId="1" applyFont="1"/>
    <xf numFmtId="165" fontId="0" fillId="0" borderId="0" xfId="1" applyNumberFormat="1" applyFont="1"/>
    <xf numFmtId="165" fontId="4" fillId="0" borderId="0" xfId="0" applyNumberFormat="1" applyFont="1"/>
    <xf numFmtId="165" fontId="5" fillId="0" borderId="0" xfId="0" applyNumberFormat="1" applyFont="1"/>
    <xf numFmtId="2" fontId="0" fillId="0" borderId="0" xfId="0" applyNumberFormat="1"/>
    <xf numFmtId="14" fontId="4" fillId="0" borderId="0" xfId="1" applyNumberFormat="1" applyFont="1"/>
    <xf numFmtId="43" fontId="4" fillId="0" borderId="0" xfId="1" applyFont="1" applyAlignment="1">
      <alignment horizontal="right"/>
    </xf>
  </cellXfs>
  <cellStyles count="6">
    <cellStyle name="Comma" xfId="1" builtinId="3"/>
    <cellStyle name="Explanatory Text" xfId="5" builtinId="53" customBuiltin="1"/>
    <cellStyle name="Hyperlink" xfId="2" builtinId="8"/>
    <cellStyle name="Normal" xfId="0" builtinId="0" customBuiltin="1"/>
    <cellStyle name="Normal 2" xfId="3" xr:uid="{FD27445F-CC14-48E5-A538-DD34902ECF98}"/>
    <cellStyle name="Percent" xfId="4" builtinId="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44823</xdr:colOff>
      <xdr:row>0</xdr:row>
      <xdr:rowOff>33618</xdr:rowOff>
    </xdr:from>
    <xdr:to>
      <xdr:col>15</xdr:col>
      <xdr:colOff>67235</xdr:colOff>
      <xdr:row>37</xdr:row>
      <xdr:rowOff>100853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815CE44F-D36E-CC85-858E-E3488A085707}"/>
            </a:ext>
          </a:extLst>
        </xdr:cNvPr>
        <xdr:cNvCxnSpPr/>
      </xdr:nvCxnSpPr>
      <xdr:spPr>
        <a:xfrm>
          <a:off x="23879735" y="33618"/>
          <a:ext cx="22412" cy="8583706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1224643</xdr:colOff>
      <xdr:row>4</xdr:row>
      <xdr:rowOff>40821</xdr:rowOff>
    </xdr:from>
    <xdr:to>
      <xdr:col>24</xdr:col>
      <xdr:colOff>13607</xdr:colOff>
      <xdr:row>31</xdr:row>
      <xdr:rowOff>108857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3141227F-CFDC-88C6-764C-3AC981BCD6CA}"/>
            </a:ext>
          </a:extLst>
        </xdr:cNvPr>
        <xdr:cNvCxnSpPr/>
      </xdr:nvCxnSpPr>
      <xdr:spPr>
        <a:xfrm flipH="1">
          <a:off x="39909750" y="966107"/>
          <a:ext cx="27214" cy="6313714"/>
        </a:xfrm>
        <a:prstGeom prst="line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microsoft.com/en-us/investor/default" TargetMode="External"/><Relationship Id="rId1" Type="http://schemas.openxmlformats.org/officeDocument/2006/relationships/hyperlink" Target="https://www.sec.gov/edgar/browse/?CIK=789019&amp;owner=exclude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10337-009D-4E10-ADED-F6B215CE6776}">
  <dimension ref="B2:B5"/>
  <sheetViews>
    <sheetView tabSelected="1" workbookViewId="0">
      <selection activeCell="B6" sqref="B6"/>
    </sheetView>
  </sheetViews>
  <sheetFormatPr defaultRowHeight="18" x14ac:dyDescent="0.25"/>
  <cols>
    <col min="2" max="2" width="89.6328125" bestFit="1" customWidth="1"/>
  </cols>
  <sheetData>
    <row r="2" spans="2:2" x14ac:dyDescent="0.25">
      <c r="B2" t="s">
        <v>107</v>
      </c>
    </row>
    <row r="3" spans="2:2" x14ac:dyDescent="0.25">
      <c r="B3" t="s">
        <v>109</v>
      </c>
    </row>
    <row r="4" spans="2:2" x14ac:dyDescent="0.25">
      <c r="B4" t="s">
        <v>108</v>
      </c>
    </row>
    <row r="5" spans="2:2" x14ac:dyDescent="0.25">
      <c r="B5" t="s">
        <v>106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52"/>
  <sheetViews>
    <sheetView zoomScale="85" zoomScaleNormal="85" workbookViewId="0"/>
  </sheetViews>
  <sheetFormatPr defaultRowHeight="18" x14ac:dyDescent="0.25"/>
  <cols>
    <col min="1" max="1" width="7.6328125" style="2" customWidth="1"/>
    <col min="2" max="2" width="8.7265625" style="2"/>
    <col min="3" max="3" width="26.36328125" style="2" bestFit="1" customWidth="1"/>
    <col min="4" max="4" width="51.6328125" style="2" bestFit="1" customWidth="1"/>
    <col min="5" max="5" width="10.54296875" style="2" customWidth="1"/>
    <col min="6" max="6" width="9.90625" style="2" customWidth="1"/>
    <col min="7" max="11" width="10.6328125" style="2" customWidth="1"/>
    <col min="12" max="13" width="8.7265625" style="2"/>
    <col min="14" max="14" width="21.453125" style="2" customWidth="1"/>
    <col min="15" max="15" width="18.36328125" style="2" bestFit="1" customWidth="1"/>
    <col min="16" max="16" width="9.36328125" style="2" customWidth="1"/>
    <col min="17" max="18" width="8.7265625" style="2"/>
    <col min="19" max="19" width="13.36328125" style="2" customWidth="1"/>
    <col min="20" max="20" width="16.6328125" style="2" customWidth="1"/>
    <col min="21" max="21" width="23.6328125" style="2" customWidth="1"/>
    <col min="22" max="16384" width="8.7265625" style="2"/>
  </cols>
  <sheetData>
    <row r="1" spans="2:22" x14ac:dyDescent="0.25">
      <c r="B1" s="1"/>
      <c r="C1" s="10"/>
      <c r="D1"/>
      <c r="E1"/>
      <c r="F1"/>
      <c r="G1"/>
      <c r="H1"/>
      <c r="I1"/>
      <c r="J1"/>
      <c r="K1"/>
      <c r="L1"/>
      <c r="N1" s="2" t="s">
        <v>13</v>
      </c>
      <c r="O1" s="3">
        <v>45606</v>
      </c>
    </row>
    <row r="2" spans="2:22" x14ac:dyDescent="0.25">
      <c r="B2" s="1"/>
      <c r="C2" s="3"/>
      <c r="D2"/>
    </row>
    <row r="3" spans="2:22" x14ac:dyDescent="0.25">
      <c r="B3" s="1"/>
      <c r="C3" s="3"/>
      <c r="D3"/>
      <c r="N3" s="2" t="s">
        <v>7</v>
      </c>
      <c r="O3" s="38">
        <v>422.54</v>
      </c>
    </row>
    <row r="4" spans="2:22" x14ac:dyDescent="0.25">
      <c r="B4" s="1"/>
      <c r="D4"/>
      <c r="N4" s="2" t="s">
        <v>8</v>
      </c>
      <c r="O4" s="5">
        <v>7434880776</v>
      </c>
      <c r="P4" s="2" t="s">
        <v>15</v>
      </c>
    </row>
    <row r="5" spans="2:22" x14ac:dyDescent="0.25">
      <c r="D5"/>
      <c r="N5" s="2" t="s">
        <v>9</v>
      </c>
      <c r="O5" s="5">
        <f>O3*O4</f>
        <v>3141534523091.04</v>
      </c>
      <c r="P5" s="2" t="s">
        <v>14</v>
      </c>
    </row>
    <row r="6" spans="2:22" x14ac:dyDescent="0.25">
      <c r="C6" s="1"/>
      <c r="D6"/>
      <c r="N6" s="2" t="s">
        <v>1</v>
      </c>
      <c r="O6" s="5">
        <v>94206000000</v>
      </c>
      <c r="T6" s="6"/>
    </row>
    <row r="7" spans="2:22" x14ac:dyDescent="0.25">
      <c r="C7" s="1"/>
      <c r="D7"/>
      <c r="N7" s="2" t="s">
        <v>2</v>
      </c>
      <c r="O7" s="5">
        <v>45117000000</v>
      </c>
      <c r="T7" s="7"/>
    </row>
    <row r="8" spans="2:22" x14ac:dyDescent="0.25">
      <c r="C8" s="15" t="s">
        <v>41</v>
      </c>
      <c r="D8"/>
      <c r="N8" s="2" t="s">
        <v>10</v>
      </c>
      <c r="O8" s="5">
        <f>O5-O6+O7</f>
        <v>3092445523091.04</v>
      </c>
    </row>
    <row r="9" spans="2:22" x14ac:dyDescent="0.25">
      <c r="C9" s="14" t="s">
        <v>42</v>
      </c>
      <c r="D9"/>
      <c r="T9" s="3"/>
    </row>
    <row r="10" spans="2:22" x14ac:dyDescent="0.25">
      <c r="D10"/>
      <c r="N10" s="2" t="s">
        <v>4</v>
      </c>
      <c r="O10" s="9">
        <v>1975</v>
      </c>
      <c r="V10" s="8"/>
    </row>
    <row r="11" spans="2:22" x14ac:dyDescent="0.25">
      <c r="D11"/>
    </row>
    <row r="12" spans="2:22" x14ac:dyDescent="0.25">
      <c r="D12"/>
      <c r="E12"/>
      <c r="F12"/>
      <c r="G12"/>
      <c r="H12"/>
      <c r="I12"/>
      <c r="J12"/>
      <c r="K12"/>
      <c r="L12"/>
    </row>
    <row r="13" spans="2:22" x14ac:dyDescent="0.25">
      <c r="D13"/>
      <c r="E13"/>
      <c r="F13"/>
      <c r="G13"/>
      <c r="H13"/>
      <c r="I13"/>
      <c r="J13"/>
      <c r="K13"/>
      <c r="L13"/>
      <c r="N13" s="2" t="s">
        <v>11</v>
      </c>
    </row>
    <row r="14" spans="2:22" ht="18.75" thickBot="1" x14ac:dyDescent="0.3">
      <c r="D14"/>
      <c r="E14"/>
      <c r="F14"/>
      <c r="G14"/>
      <c r="H14"/>
      <c r="I14"/>
      <c r="J14"/>
      <c r="K14"/>
      <c r="L14"/>
    </row>
    <row r="15" spans="2:22" ht="18.75" thickBot="1" x14ac:dyDescent="0.3">
      <c r="C15" s="21" t="s">
        <v>77</v>
      </c>
      <c r="D15" s="25" t="s">
        <v>81</v>
      </c>
      <c r="E15" s="19"/>
      <c r="F15" s="19"/>
      <c r="G15" s="19"/>
      <c r="H15" s="19"/>
      <c r="I15" s="19"/>
      <c r="J15" s="20"/>
    </row>
    <row r="16" spans="2:22" x14ac:dyDescent="0.25">
      <c r="C16" s="22" t="s">
        <v>44</v>
      </c>
      <c r="D16" s="26"/>
      <c r="E16"/>
      <c r="F16"/>
      <c r="G16"/>
      <c r="H16"/>
      <c r="I16"/>
      <c r="J16" s="16"/>
    </row>
    <row r="17" spans="3:10" ht="18.75" x14ac:dyDescent="0.3">
      <c r="C17" s="23" t="s">
        <v>80</v>
      </c>
      <c r="D17" s="26" t="s">
        <v>89</v>
      </c>
      <c r="E17"/>
      <c r="F17"/>
      <c r="G17"/>
      <c r="H17"/>
      <c r="I17"/>
      <c r="J17" s="16"/>
    </row>
    <row r="18" spans="3:10" ht="18.75" x14ac:dyDescent="0.3">
      <c r="C18" s="23" t="s">
        <v>90</v>
      </c>
      <c r="D18" s="26" t="s">
        <v>91</v>
      </c>
      <c r="E18"/>
      <c r="F18"/>
      <c r="G18"/>
      <c r="H18"/>
      <c r="I18"/>
      <c r="J18" s="16"/>
    </row>
    <row r="19" spans="3:10" ht="18.75" x14ac:dyDescent="0.3">
      <c r="C19" s="23"/>
      <c r="D19" s="26"/>
      <c r="E19"/>
      <c r="F19"/>
      <c r="G19"/>
      <c r="H19"/>
      <c r="I19"/>
      <c r="J19" s="16"/>
    </row>
    <row r="20" spans="3:10" ht="18.75" x14ac:dyDescent="0.3">
      <c r="C20" s="23" t="s">
        <v>79</v>
      </c>
      <c r="D20" s="26" t="s">
        <v>88</v>
      </c>
      <c r="E20"/>
      <c r="F20"/>
      <c r="G20"/>
      <c r="H20"/>
      <c r="I20"/>
      <c r="J20" s="16"/>
    </row>
    <row r="21" spans="3:10" ht="18.75" x14ac:dyDescent="0.3">
      <c r="C21" s="23"/>
      <c r="D21" s="26" t="s">
        <v>92</v>
      </c>
      <c r="E21"/>
      <c r="F21"/>
      <c r="G21"/>
      <c r="H21"/>
      <c r="I21"/>
      <c r="J21" s="16"/>
    </row>
    <row r="22" spans="3:10" ht="18.75" x14ac:dyDescent="0.3">
      <c r="C22" s="23"/>
      <c r="D22" s="26"/>
      <c r="E22"/>
      <c r="F22"/>
      <c r="G22"/>
      <c r="H22"/>
      <c r="I22"/>
      <c r="J22" s="16"/>
    </row>
    <row r="23" spans="3:10" ht="18.75" x14ac:dyDescent="0.3">
      <c r="C23" s="23" t="s">
        <v>78</v>
      </c>
      <c r="D23" s="26" t="s">
        <v>93</v>
      </c>
      <c r="E23"/>
      <c r="F23"/>
      <c r="G23"/>
      <c r="H23"/>
      <c r="I23"/>
      <c r="J23" s="16"/>
    </row>
    <row r="24" spans="3:10" ht="18.75" x14ac:dyDescent="0.3">
      <c r="C24" s="23"/>
      <c r="D24" s="26"/>
      <c r="E24"/>
      <c r="F24"/>
      <c r="G24"/>
      <c r="H24"/>
      <c r="I24"/>
      <c r="J24" s="16"/>
    </row>
    <row r="25" spans="3:10" ht="18.75" x14ac:dyDescent="0.3">
      <c r="C25" s="23" t="s">
        <v>94</v>
      </c>
      <c r="D25" s="26" t="s">
        <v>96</v>
      </c>
      <c r="E25"/>
      <c r="F25"/>
      <c r="G25"/>
      <c r="H25"/>
      <c r="I25"/>
      <c r="J25" s="16"/>
    </row>
    <row r="26" spans="3:10" x14ac:dyDescent="0.25">
      <c r="C26" s="22"/>
      <c r="D26" s="26" t="s">
        <v>95</v>
      </c>
      <c r="E26"/>
      <c r="F26"/>
      <c r="G26"/>
      <c r="H26"/>
      <c r="I26"/>
      <c r="J26" s="16"/>
    </row>
    <row r="27" spans="3:10" x14ac:dyDescent="0.25">
      <c r="C27" s="22" t="s">
        <v>45</v>
      </c>
      <c r="D27" s="26"/>
      <c r="E27"/>
      <c r="F27"/>
      <c r="G27"/>
      <c r="H27"/>
      <c r="I27"/>
      <c r="J27" s="16"/>
    </row>
    <row r="28" spans="3:10" ht="18.75" x14ac:dyDescent="0.3">
      <c r="C28" s="23" t="s">
        <v>82</v>
      </c>
      <c r="D28" s="26"/>
      <c r="E28"/>
      <c r="F28"/>
      <c r="G28"/>
      <c r="H28"/>
      <c r="I28"/>
      <c r="J28" s="16"/>
    </row>
    <row r="29" spans="3:10" x14ac:dyDescent="0.25">
      <c r="C29" s="22"/>
      <c r="D29" s="26"/>
      <c r="E29"/>
      <c r="F29"/>
      <c r="G29"/>
      <c r="H29"/>
      <c r="I29"/>
      <c r="J29" s="16"/>
    </row>
    <row r="30" spans="3:10" x14ac:dyDescent="0.25">
      <c r="C30" s="22"/>
      <c r="D30" s="26"/>
      <c r="E30"/>
      <c r="F30"/>
      <c r="G30"/>
      <c r="H30"/>
      <c r="I30"/>
      <c r="J30" s="16"/>
    </row>
    <row r="31" spans="3:10" x14ac:dyDescent="0.25">
      <c r="C31" s="22"/>
      <c r="D31" s="26"/>
      <c r="E31"/>
      <c r="F31"/>
      <c r="G31"/>
      <c r="H31"/>
      <c r="I31"/>
      <c r="J31" s="16"/>
    </row>
    <row r="32" spans="3:10" x14ac:dyDescent="0.25">
      <c r="C32" s="22"/>
      <c r="D32" s="26"/>
      <c r="E32"/>
      <c r="F32"/>
      <c r="G32"/>
      <c r="H32"/>
      <c r="I32"/>
      <c r="J32" s="16"/>
    </row>
    <row r="33" spans="3:12" x14ac:dyDescent="0.25">
      <c r="C33" s="22" t="s">
        <v>43</v>
      </c>
      <c r="D33" s="26"/>
      <c r="E33"/>
      <c r="F33"/>
      <c r="G33"/>
      <c r="H33"/>
      <c r="I33"/>
      <c r="J33" s="16"/>
    </row>
    <row r="34" spans="3:12" ht="18.75" x14ac:dyDescent="0.3">
      <c r="C34" s="23" t="s">
        <v>83</v>
      </c>
      <c r="D34" s="26" t="s">
        <v>87</v>
      </c>
      <c r="E34"/>
      <c r="F34"/>
      <c r="G34"/>
      <c r="H34"/>
      <c r="I34"/>
      <c r="J34" s="16"/>
    </row>
    <row r="35" spans="3:12" x14ac:dyDescent="0.25">
      <c r="C35" s="22"/>
      <c r="D35" s="26" t="s">
        <v>86</v>
      </c>
      <c r="E35"/>
      <c r="F35"/>
      <c r="G35"/>
      <c r="H35"/>
      <c r="I35"/>
      <c r="J35" s="16"/>
    </row>
    <row r="36" spans="3:12" x14ac:dyDescent="0.25">
      <c r="C36" s="22"/>
      <c r="D36" s="26"/>
      <c r="E36"/>
      <c r="F36"/>
      <c r="G36"/>
      <c r="H36"/>
      <c r="I36"/>
      <c r="J36" s="16"/>
    </row>
    <row r="37" spans="3:12" ht="18.75" x14ac:dyDescent="0.3">
      <c r="C37" s="23" t="s">
        <v>84</v>
      </c>
      <c r="D37" s="26" t="s">
        <v>85</v>
      </c>
      <c r="E37"/>
      <c r="F37"/>
      <c r="G37"/>
      <c r="H37"/>
      <c r="I37"/>
      <c r="J37" s="16"/>
    </row>
    <row r="38" spans="3:12" x14ac:dyDescent="0.25">
      <c r="C38" s="22"/>
      <c r="D38" s="26"/>
      <c r="E38"/>
      <c r="F38"/>
      <c r="G38"/>
      <c r="H38"/>
      <c r="I38"/>
      <c r="J38" s="16"/>
    </row>
    <row r="39" spans="3:12" x14ac:dyDescent="0.25">
      <c r="C39" s="22"/>
      <c r="D39" s="26"/>
      <c r="E39"/>
      <c r="F39"/>
      <c r="G39"/>
      <c r="H39"/>
      <c r="I39"/>
      <c r="J39" s="16"/>
    </row>
    <row r="40" spans="3:12" x14ac:dyDescent="0.25">
      <c r="C40" s="22"/>
      <c r="D40" s="26"/>
      <c r="E40"/>
      <c r="F40"/>
      <c r="G40"/>
      <c r="H40"/>
      <c r="I40"/>
      <c r="J40" s="16"/>
    </row>
    <row r="41" spans="3:12" x14ac:dyDescent="0.25">
      <c r="C41" s="22"/>
      <c r="D41" s="26"/>
      <c r="E41"/>
      <c r="F41"/>
      <c r="G41"/>
      <c r="H41"/>
      <c r="I41"/>
      <c r="J41" s="16"/>
    </row>
    <row r="42" spans="3:12" ht="18.75" thickBot="1" x14ac:dyDescent="0.3">
      <c r="C42" s="24"/>
      <c r="D42" s="27"/>
      <c r="E42" s="17"/>
      <c r="F42" s="17"/>
      <c r="G42" s="17"/>
      <c r="H42" s="17"/>
      <c r="I42" s="17"/>
      <c r="J42" s="18"/>
    </row>
    <row r="43" spans="3:12" x14ac:dyDescent="0.25">
      <c r="D43"/>
      <c r="E43"/>
      <c r="F43"/>
      <c r="G43"/>
      <c r="H43"/>
      <c r="I43"/>
      <c r="J43"/>
      <c r="K43"/>
      <c r="L43"/>
    </row>
    <row r="44" spans="3:12" x14ac:dyDescent="0.25">
      <c r="D44"/>
      <c r="E44"/>
      <c r="F44"/>
      <c r="G44"/>
      <c r="H44"/>
      <c r="I44"/>
      <c r="J44"/>
      <c r="K44"/>
      <c r="L44"/>
    </row>
    <row r="45" spans="3:12" x14ac:dyDescent="0.25">
      <c r="D45"/>
      <c r="E45"/>
      <c r="F45"/>
      <c r="G45"/>
      <c r="H45"/>
      <c r="I45"/>
      <c r="J45"/>
      <c r="K45"/>
      <c r="L45"/>
    </row>
    <row r="46" spans="3:12" x14ac:dyDescent="0.25">
      <c r="D46"/>
      <c r="E46"/>
      <c r="F46"/>
      <c r="G46"/>
      <c r="H46"/>
      <c r="I46"/>
      <c r="J46"/>
      <c r="K46"/>
      <c r="L46"/>
    </row>
    <row r="47" spans="3:12" x14ac:dyDescent="0.25">
      <c r="D47"/>
      <c r="E47"/>
      <c r="F47"/>
      <c r="G47"/>
      <c r="H47"/>
      <c r="I47"/>
      <c r="J47"/>
      <c r="K47"/>
      <c r="L47"/>
    </row>
    <row r="48" spans="3:12" x14ac:dyDescent="0.25">
      <c r="D48"/>
      <c r="E48"/>
      <c r="F48"/>
      <c r="G48"/>
      <c r="H48"/>
      <c r="I48"/>
      <c r="J48"/>
      <c r="K48"/>
      <c r="L48"/>
    </row>
    <row r="49" spans="4:12" x14ac:dyDescent="0.25">
      <c r="D49"/>
      <c r="E49"/>
      <c r="F49"/>
      <c r="G49"/>
      <c r="H49"/>
      <c r="I49"/>
      <c r="J49"/>
      <c r="K49"/>
      <c r="L49"/>
    </row>
    <row r="50" spans="4:12" x14ac:dyDescent="0.25">
      <c r="D50"/>
      <c r="E50"/>
      <c r="F50"/>
      <c r="G50"/>
      <c r="H50"/>
      <c r="I50"/>
      <c r="J50"/>
      <c r="K50"/>
      <c r="L50"/>
    </row>
    <row r="51" spans="4:12" x14ac:dyDescent="0.25">
      <c r="D51"/>
      <c r="E51"/>
      <c r="F51"/>
      <c r="G51"/>
      <c r="H51"/>
      <c r="I51"/>
      <c r="J51"/>
      <c r="K51"/>
      <c r="L51"/>
    </row>
    <row r="52" spans="4:12" x14ac:dyDescent="0.25">
      <c r="D52"/>
      <c r="E52"/>
      <c r="F52"/>
      <c r="G52"/>
      <c r="H52"/>
      <c r="I52"/>
      <c r="J52"/>
      <c r="K52"/>
      <c r="L52"/>
    </row>
  </sheetData>
  <hyperlinks>
    <hyperlink ref="C8" r:id="rId1" xr:uid="{5A7A0DA4-17A5-41A0-9E62-3629372E54AE}"/>
    <hyperlink ref="C9" r:id="rId2" xr:uid="{A489C9CF-E7B0-47FA-80A8-7037B73B506C}"/>
  </hyperlinks>
  <pageMargins left="0.7" right="0.7" top="0.75" bottom="0.75" header="0.3" footer="0.3"/>
  <pageSetup orientation="portrait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925C7-BE15-48B2-A04E-07AAA92D7EDD}">
  <dimension ref="A1:CH143"/>
  <sheetViews>
    <sheetView zoomScale="70" zoomScaleNormal="70" workbookViewId="0">
      <pane xSplit="2" ySplit="4" topLeftCell="J5" activePane="bottomRight" state="frozen"/>
      <selection pane="topRight" activeCell="C1" sqref="C1"/>
      <selection pane="bottomLeft" activeCell="A5" sqref="A5"/>
      <selection pane="bottomRight" activeCell="AF14" sqref="AF14"/>
    </sheetView>
  </sheetViews>
  <sheetFormatPr defaultRowHeight="18" x14ac:dyDescent="0.25"/>
  <cols>
    <col min="1" max="1" width="7.6328125" style="2" customWidth="1"/>
    <col min="2" max="2" width="34.81640625" style="2" customWidth="1"/>
    <col min="3" max="3" width="16.81640625" style="2" customWidth="1"/>
    <col min="4" max="4" width="15.6328125" style="2" customWidth="1"/>
    <col min="5" max="5" width="15.453125" style="2" customWidth="1"/>
    <col min="6" max="6" width="12.6328125" style="2" customWidth="1"/>
    <col min="7" max="8" width="14.08984375" style="2" customWidth="1"/>
    <col min="9" max="9" width="15.26953125" style="2" customWidth="1"/>
    <col min="10" max="10" width="14.453125" style="2" customWidth="1"/>
    <col min="11" max="11" width="14.36328125" style="2" customWidth="1"/>
    <col min="12" max="12" width="14" style="2" customWidth="1"/>
    <col min="13" max="13" width="14.1796875" style="2" customWidth="1"/>
    <col min="14" max="14" width="13.08984375" style="2" customWidth="1"/>
    <col min="15" max="15" width="10.90625" style="2" customWidth="1"/>
    <col min="16" max="20" width="18.6328125" style="2" customWidth="1"/>
    <col min="21" max="21" width="19.90625" style="2" customWidth="1"/>
    <col min="22" max="22" width="15.08984375" style="2" customWidth="1"/>
    <col min="23" max="23" width="13.08984375" style="2" customWidth="1"/>
    <col min="24" max="24" width="11.81640625" style="2" customWidth="1"/>
    <col min="25" max="25" width="10.7265625" style="2" customWidth="1"/>
    <col min="26" max="32" width="15.6328125" style="2" customWidth="1"/>
    <col min="33" max="33" width="22.54296875" style="2" customWidth="1"/>
    <col min="34" max="40" width="9.81640625" style="2" bestFit="1" customWidth="1"/>
    <col min="41" max="41" width="9.81640625" style="2" customWidth="1"/>
    <col min="42" max="43" width="9.81640625" style="2" bestFit="1" customWidth="1"/>
    <col min="44" max="16384" width="8.7265625" style="2"/>
  </cols>
  <sheetData>
    <row r="1" spans="1:86" x14ac:dyDescent="0.25">
      <c r="A1" s="1" t="s">
        <v>0</v>
      </c>
    </row>
    <row r="2" spans="1:86" x14ac:dyDescent="0.25">
      <c r="A2" s="1"/>
      <c r="B2" s="2" t="s">
        <v>6</v>
      </c>
      <c r="AC2" s="3"/>
    </row>
    <row r="3" spans="1:86" x14ac:dyDescent="0.25">
      <c r="B3" s="2" t="s">
        <v>5</v>
      </c>
      <c r="C3" s="3">
        <v>44469</v>
      </c>
      <c r="D3" s="3">
        <v>44561</v>
      </c>
      <c r="E3" s="3">
        <v>44651</v>
      </c>
      <c r="F3" s="3">
        <v>44742</v>
      </c>
      <c r="G3" s="3">
        <v>44834</v>
      </c>
      <c r="H3" s="3">
        <v>44926</v>
      </c>
      <c r="I3" s="3">
        <v>45016</v>
      </c>
      <c r="J3" s="3">
        <v>45107</v>
      </c>
      <c r="K3" s="3">
        <v>45199</v>
      </c>
      <c r="L3" s="3">
        <v>45291</v>
      </c>
      <c r="M3" s="3">
        <v>45382</v>
      </c>
      <c r="N3" s="3">
        <v>45473</v>
      </c>
      <c r="O3" s="3">
        <v>45565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86" x14ac:dyDescent="0.25">
      <c r="B4" s="2" t="s">
        <v>12</v>
      </c>
      <c r="C4" s="2" t="s">
        <v>51</v>
      </c>
      <c r="D4" s="2" t="s">
        <v>50</v>
      </c>
      <c r="E4" s="2" t="s">
        <v>49</v>
      </c>
      <c r="F4" s="2" t="s">
        <v>48</v>
      </c>
      <c r="G4" s="2" t="s">
        <v>47</v>
      </c>
      <c r="H4" s="2" t="s">
        <v>40</v>
      </c>
      <c r="I4" s="2" t="s">
        <v>39</v>
      </c>
      <c r="J4" s="2" t="s">
        <v>38</v>
      </c>
      <c r="K4" s="2" t="s">
        <v>37</v>
      </c>
      <c r="L4" s="2" t="s">
        <v>36</v>
      </c>
      <c r="M4" s="2" t="s">
        <v>35</v>
      </c>
      <c r="N4" s="2" t="s">
        <v>34</v>
      </c>
      <c r="O4" s="2" t="s">
        <v>33</v>
      </c>
      <c r="R4" s="2">
        <v>2018</v>
      </c>
      <c r="S4" s="2">
        <v>2019</v>
      </c>
      <c r="T4" s="2">
        <v>2020</v>
      </c>
      <c r="U4" s="2">
        <v>2021</v>
      </c>
      <c r="V4" s="2">
        <v>2022</v>
      </c>
      <c r="W4" s="2">
        <f>V4+1</f>
        <v>2023</v>
      </c>
      <c r="X4" s="2">
        <f t="shared" ref="X4:CH4" si="0">W4+1</f>
        <v>2024</v>
      </c>
      <c r="Y4" s="2">
        <f t="shared" si="0"/>
        <v>2025</v>
      </c>
      <c r="Z4" s="2">
        <f t="shared" si="0"/>
        <v>2026</v>
      </c>
      <c r="AA4" s="2">
        <f t="shared" si="0"/>
        <v>2027</v>
      </c>
      <c r="AB4" s="2">
        <f t="shared" si="0"/>
        <v>2028</v>
      </c>
      <c r="AC4" s="2">
        <f t="shared" si="0"/>
        <v>2029</v>
      </c>
      <c r="AD4" s="2">
        <f t="shared" si="0"/>
        <v>2030</v>
      </c>
      <c r="AE4" s="2">
        <f t="shared" si="0"/>
        <v>2031</v>
      </c>
      <c r="AF4" s="2">
        <f t="shared" si="0"/>
        <v>2032</v>
      </c>
      <c r="AG4" s="2">
        <f t="shared" si="0"/>
        <v>2033</v>
      </c>
      <c r="AH4" s="2">
        <f t="shared" si="0"/>
        <v>2034</v>
      </c>
      <c r="AI4" s="2">
        <f t="shared" si="0"/>
        <v>2035</v>
      </c>
      <c r="AJ4" s="2">
        <f t="shared" si="0"/>
        <v>2036</v>
      </c>
      <c r="AK4" s="2">
        <f t="shared" si="0"/>
        <v>2037</v>
      </c>
      <c r="AL4" s="2">
        <f t="shared" si="0"/>
        <v>2038</v>
      </c>
      <c r="AM4" s="2">
        <f t="shared" si="0"/>
        <v>2039</v>
      </c>
      <c r="AN4" s="2">
        <f t="shared" si="0"/>
        <v>2040</v>
      </c>
      <c r="AO4" s="2">
        <f t="shared" si="0"/>
        <v>2041</v>
      </c>
      <c r="AP4" s="2">
        <f t="shared" si="0"/>
        <v>2042</v>
      </c>
      <c r="AQ4" s="2">
        <f t="shared" si="0"/>
        <v>2043</v>
      </c>
      <c r="AR4" s="2">
        <f t="shared" si="0"/>
        <v>2044</v>
      </c>
      <c r="AS4" s="2">
        <f t="shared" si="0"/>
        <v>2045</v>
      </c>
      <c r="AT4" s="2">
        <f t="shared" si="0"/>
        <v>2046</v>
      </c>
      <c r="AU4" s="2">
        <f t="shared" si="0"/>
        <v>2047</v>
      </c>
      <c r="AV4" s="2">
        <f t="shared" si="0"/>
        <v>2048</v>
      </c>
      <c r="AW4" s="2">
        <f t="shared" si="0"/>
        <v>2049</v>
      </c>
      <c r="AX4" s="2">
        <f t="shared" si="0"/>
        <v>2050</v>
      </c>
      <c r="AY4" s="2">
        <f t="shared" si="0"/>
        <v>2051</v>
      </c>
      <c r="AZ4" s="2">
        <f t="shared" si="0"/>
        <v>2052</v>
      </c>
      <c r="BA4" s="2">
        <f t="shared" si="0"/>
        <v>2053</v>
      </c>
      <c r="BB4" s="2">
        <f t="shared" si="0"/>
        <v>2054</v>
      </c>
      <c r="BC4" s="2">
        <f t="shared" si="0"/>
        <v>2055</v>
      </c>
      <c r="BD4" s="2">
        <f t="shared" si="0"/>
        <v>2056</v>
      </c>
      <c r="BE4" s="2">
        <f t="shared" si="0"/>
        <v>2057</v>
      </c>
      <c r="BF4" s="2">
        <f t="shared" si="0"/>
        <v>2058</v>
      </c>
      <c r="BG4" s="2">
        <f t="shared" si="0"/>
        <v>2059</v>
      </c>
      <c r="BH4" s="2">
        <f t="shared" si="0"/>
        <v>2060</v>
      </c>
      <c r="BI4" s="2">
        <f t="shared" si="0"/>
        <v>2061</v>
      </c>
      <c r="BJ4" s="2">
        <f t="shared" si="0"/>
        <v>2062</v>
      </c>
      <c r="BK4" s="2">
        <f t="shared" si="0"/>
        <v>2063</v>
      </c>
      <c r="BL4" s="2">
        <f t="shared" si="0"/>
        <v>2064</v>
      </c>
      <c r="BM4" s="2">
        <f t="shared" si="0"/>
        <v>2065</v>
      </c>
      <c r="BN4" s="2">
        <f t="shared" si="0"/>
        <v>2066</v>
      </c>
      <c r="BO4" s="2">
        <f t="shared" si="0"/>
        <v>2067</v>
      </c>
      <c r="BP4" s="2">
        <f t="shared" si="0"/>
        <v>2068</v>
      </c>
      <c r="BQ4" s="2">
        <f t="shared" si="0"/>
        <v>2069</v>
      </c>
      <c r="BR4" s="2">
        <f t="shared" si="0"/>
        <v>2070</v>
      </c>
      <c r="BS4" s="2">
        <f t="shared" si="0"/>
        <v>2071</v>
      </c>
      <c r="BT4" s="2">
        <f t="shared" si="0"/>
        <v>2072</v>
      </c>
      <c r="BU4" s="2">
        <f t="shared" si="0"/>
        <v>2073</v>
      </c>
      <c r="BV4" s="2">
        <f t="shared" si="0"/>
        <v>2074</v>
      </c>
      <c r="BW4" s="2">
        <f t="shared" si="0"/>
        <v>2075</v>
      </c>
      <c r="BX4" s="2">
        <f t="shared" si="0"/>
        <v>2076</v>
      </c>
      <c r="BY4" s="2">
        <f t="shared" si="0"/>
        <v>2077</v>
      </c>
      <c r="BZ4" s="2">
        <f t="shared" si="0"/>
        <v>2078</v>
      </c>
      <c r="CA4" s="2">
        <f t="shared" si="0"/>
        <v>2079</v>
      </c>
      <c r="CB4" s="2">
        <f t="shared" si="0"/>
        <v>2080</v>
      </c>
      <c r="CC4" s="2">
        <f t="shared" si="0"/>
        <v>2081</v>
      </c>
      <c r="CD4" s="2">
        <f t="shared" si="0"/>
        <v>2082</v>
      </c>
      <c r="CE4" s="2">
        <f t="shared" si="0"/>
        <v>2083</v>
      </c>
      <c r="CF4" s="2">
        <f t="shared" si="0"/>
        <v>2084</v>
      </c>
      <c r="CG4" s="2">
        <f t="shared" si="0"/>
        <v>2085</v>
      </c>
      <c r="CH4" s="2">
        <f t="shared" si="0"/>
        <v>2086</v>
      </c>
    </row>
    <row r="5" spans="1:86" x14ac:dyDescent="0.25"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1:86" x14ac:dyDescent="0.25">
      <c r="B6" s="2" t="s">
        <v>44</v>
      </c>
      <c r="C6" s="11">
        <v>15039</v>
      </c>
      <c r="D6" s="11">
        <v>15936</v>
      </c>
      <c r="E6" s="11">
        <v>15789</v>
      </c>
      <c r="F6" s="11">
        <v>16600</v>
      </c>
      <c r="G6" s="11">
        <v>16465</v>
      </c>
      <c r="H6" s="11">
        <v>17002</v>
      </c>
      <c r="I6" s="11">
        <v>17516</v>
      </c>
      <c r="J6" s="11">
        <v>18291</v>
      </c>
      <c r="K6" s="11">
        <v>25226</v>
      </c>
      <c r="L6" s="11">
        <v>19249</v>
      </c>
      <c r="M6" s="11">
        <v>19570</v>
      </c>
      <c r="N6" s="11">
        <v>20317</v>
      </c>
      <c r="O6" s="11">
        <v>28317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</row>
    <row r="7" spans="1:86" x14ac:dyDescent="0.25">
      <c r="B7" s="2" t="s">
        <v>45</v>
      </c>
      <c r="C7" s="11">
        <v>16912</v>
      </c>
      <c r="D7" s="11">
        <v>18327</v>
      </c>
      <c r="E7" s="11">
        <v>19051</v>
      </c>
      <c r="F7" s="11">
        <v>20909</v>
      </c>
      <c r="G7" s="11">
        <v>20325</v>
      </c>
      <c r="H7" s="11">
        <v>21508</v>
      </c>
      <c r="I7" s="11">
        <v>22081</v>
      </c>
      <c r="J7" s="11">
        <v>23993</v>
      </c>
      <c r="K7" s="11">
        <v>20013</v>
      </c>
      <c r="L7" s="11">
        <v>25880</v>
      </c>
      <c r="M7" s="11">
        <v>26708</v>
      </c>
      <c r="N7" s="11">
        <v>28515</v>
      </c>
      <c r="O7" s="11">
        <v>24092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</row>
    <row r="8" spans="1:86" x14ac:dyDescent="0.25">
      <c r="B8" s="2" t="s">
        <v>46</v>
      </c>
      <c r="C8" s="11">
        <v>13366</v>
      </c>
      <c r="D8" s="11">
        <v>14465</v>
      </c>
      <c r="E8" s="11">
        <v>14520</v>
      </c>
      <c r="F8" s="11">
        <v>14356</v>
      </c>
      <c r="G8" s="11">
        <v>13332</v>
      </c>
      <c r="H8" s="11">
        <v>14237</v>
      </c>
      <c r="I8" s="11">
        <v>13260</v>
      </c>
      <c r="J8" s="11">
        <v>13905</v>
      </c>
      <c r="K8" s="11">
        <v>11278</v>
      </c>
      <c r="L8" s="11">
        <v>16891</v>
      </c>
      <c r="M8" s="11">
        <v>15580</v>
      </c>
      <c r="N8" s="11">
        <v>15895</v>
      </c>
      <c r="O8" s="11">
        <v>13176</v>
      </c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</row>
    <row r="9" spans="1:86" x14ac:dyDescent="0.25">
      <c r="C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</row>
    <row r="10" spans="1:86" x14ac:dyDescent="0.25">
      <c r="B10" s="2" t="s">
        <v>16</v>
      </c>
      <c r="C10" s="11">
        <v>16631</v>
      </c>
      <c r="D10" s="11">
        <v>20779</v>
      </c>
      <c r="E10" s="11">
        <v>17366</v>
      </c>
      <c r="F10" s="11">
        <v>17956</v>
      </c>
      <c r="G10" s="11">
        <v>15741</v>
      </c>
      <c r="H10" s="11">
        <v>16517</v>
      </c>
      <c r="I10" s="11">
        <v>15588</v>
      </c>
      <c r="J10" s="11">
        <v>16853</v>
      </c>
      <c r="K10" s="11">
        <v>15535</v>
      </c>
      <c r="L10" s="11">
        <v>18941</v>
      </c>
      <c r="M10" s="11">
        <v>17080</v>
      </c>
      <c r="N10" s="11">
        <v>13217</v>
      </c>
      <c r="O10" s="11">
        <v>15272</v>
      </c>
      <c r="P10" s="11"/>
      <c r="Q10" s="11"/>
      <c r="R10" s="11">
        <v>64497</v>
      </c>
      <c r="S10" s="11">
        <v>66069</v>
      </c>
      <c r="T10" s="11">
        <v>68041</v>
      </c>
      <c r="U10" s="11">
        <v>71074</v>
      </c>
      <c r="V10" s="11">
        <v>72732</v>
      </c>
      <c r="W10" s="11">
        <v>64699</v>
      </c>
      <c r="X10" s="11">
        <v>64773</v>
      </c>
      <c r="Y10" s="11">
        <f>X10*1.02</f>
        <v>66068.460000000006</v>
      </c>
      <c r="Z10" s="11">
        <f t="shared" ref="Z10:AF10" si="1">Y10*1.02</f>
        <v>67389.829200000007</v>
      </c>
      <c r="AA10" s="11">
        <f t="shared" si="1"/>
        <v>68737.625784000003</v>
      </c>
      <c r="AB10" s="11">
        <f t="shared" si="1"/>
        <v>70112.37829968</v>
      </c>
      <c r="AC10" s="11">
        <f t="shared" si="1"/>
        <v>71514.625865673603</v>
      </c>
      <c r="AD10" s="11">
        <f t="shared" si="1"/>
        <v>72944.918382987074</v>
      </c>
      <c r="AE10" s="11">
        <f t="shared" si="1"/>
        <v>74403.816750646816</v>
      </c>
      <c r="AF10" s="11">
        <f t="shared" si="1"/>
        <v>75891.893085659758</v>
      </c>
    </row>
    <row r="11" spans="1:86" x14ac:dyDescent="0.25">
      <c r="B11" s="2" t="s">
        <v>17</v>
      </c>
      <c r="C11" s="11">
        <v>28686</v>
      </c>
      <c r="D11" s="11">
        <v>30949</v>
      </c>
      <c r="E11" s="11">
        <v>31994</v>
      </c>
      <c r="F11" s="11">
        <v>33909</v>
      </c>
      <c r="G11" s="11">
        <v>34381</v>
      </c>
      <c r="H11" s="11">
        <v>36230</v>
      </c>
      <c r="I11" s="11">
        <v>37269</v>
      </c>
      <c r="J11" s="11">
        <v>39336</v>
      </c>
      <c r="K11" s="11">
        <v>40982</v>
      </c>
      <c r="L11" s="11">
        <v>43079</v>
      </c>
      <c r="M11" s="11">
        <v>44778</v>
      </c>
      <c r="N11" s="11">
        <v>51510</v>
      </c>
      <c r="O11" s="11">
        <v>50313</v>
      </c>
      <c r="P11" s="11"/>
      <c r="Q11" s="11"/>
      <c r="R11" s="11">
        <v>45863</v>
      </c>
      <c r="S11" s="11">
        <v>59774</v>
      </c>
      <c r="T11" s="11">
        <v>74974</v>
      </c>
      <c r="U11" s="11">
        <v>97014</v>
      </c>
      <c r="V11" s="11">
        <v>125538</v>
      </c>
      <c r="W11" s="11">
        <v>147216</v>
      </c>
      <c r="X11" s="11">
        <v>180349</v>
      </c>
      <c r="Y11" s="11">
        <f>X11*1.1</f>
        <v>198383.90000000002</v>
      </c>
      <c r="Z11" s="11">
        <f t="shared" ref="Z11:AF11" si="2">Y11*1.1</f>
        <v>218222.29000000004</v>
      </c>
      <c r="AA11" s="11">
        <f t="shared" si="2"/>
        <v>240044.51900000006</v>
      </c>
      <c r="AB11" s="11">
        <f t="shared" si="2"/>
        <v>264048.97090000007</v>
      </c>
      <c r="AC11" s="11">
        <f t="shared" si="2"/>
        <v>290453.86799000012</v>
      </c>
      <c r="AD11" s="11">
        <f t="shared" si="2"/>
        <v>319499.25478900014</v>
      </c>
      <c r="AE11" s="11">
        <f t="shared" si="2"/>
        <v>351449.18026790017</v>
      </c>
      <c r="AF11" s="11">
        <f t="shared" si="2"/>
        <v>386594.09829469019</v>
      </c>
    </row>
    <row r="12" spans="1:86" s="4" customFormat="1" x14ac:dyDescent="0.25">
      <c r="B12" s="4" t="s">
        <v>3</v>
      </c>
      <c r="C12" s="12">
        <v>45317</v>
      </c>
      <c r="D12" s="12">
        <v>51728</v>
      </c>
      <c r="E12" s="12">
        <v>49360</v>
      </c>
      <c r="F12" s="12">
        <v>51865</v>
      </c>
      <c r="G12" s="12">
        <v>50122</v>
      </c>
      <c r="H12" s="12">
        <v>52747</v>
      </c>
      <c r="I12" s="12">
        <v>52857</v>
      </c>
      <c r="J12" s="12">
        <v>56189</v>
      </c>
      <c r="K12" s="12">
        <v>56517</v>
      </c>
      <c r="L12" s="12">
        <v>62020</v>
      </c>
      <c r="M12" s="12">
        <v>61858</v>
      </c>
      <c r="N12" s="12">
        <v>64727</v>
      </c>
      <c r="O12" s="12">
        <v>65585</v>
      </c>
      <c r="P12" s="12"/>
      <c r="Q12" s="12"/>
      <c r="R12" s="12">
        <f t="shared" ref="R12:T12" si="3">R10+R11</f>
        <v>110360</v>
      </c>
      <c r="S12" s="12">
        <f t="shared" si="3"/>
        <v>125843</v>
      </c>
      <c r="T12" s="12">
        <f t="shared" si="3"/>
        <v>143015</v>
      </c>
      <c r="U12" s="12">
        <f>U10+U11</f>
        <v>168088</v>
      </c>
      <c r="V12" s="12">
        <f>V10+V11</f>
        <v>198270</v>
      </c>
      <c r="W12" s="12">
        <f>W10+W11</f>
        <v>211915</v>
      </c>
      <c r="X12" s="12">
        <f>X10+X11</f>
        <v>245122</v>
      </c>
      <c r="Y12" s="12">
        <f t="shared" ref="Y12:AD12" si="4">Y10+Y11</f>
        <v>264452.36000000004</v>
      </c>
      <c r="Z12" s="12">
        <f t="shared" si="4"/>
        <v>285612.11920000007</v>
      </c>
      <c r="AA12" s="12">
        <f t="shared" si="4"/>
        <v>308782.14478400006</v>
      </c>
      <c r="AB12" s="12">
        <f t="shared" si="4"/>
        <v>334161.34919968009</v>
      </c>
      <c r="AC12" s="12">
        <f t="shared" si="4"/>
        <v>361968.4938556737</v>
      </c>
      <c r="AD12" s="12">
        <f t="shared" si="4"/>
        <v>392444.17317198723</v>
      </c>
      <c r="AE12" s="12">
        <f t="shared" ref="AE12:AF12" si="5">AE10+AE11</f>
        <v>425852.99701854697</v>
      </c>
      <c r="AF12" s="12">
        <f t="shared" si="5"/>
        <v>462485.99138034997</v>
      </c>
    </row>
    <row r="13" spans="1:86" x14ac:dyDescent="0.25">
      <c r="B13" s="2" t="s">
        <v>18</v>
      </c>
      <c r="C13" s="11">
        <v>3792</v>
      </c>
      <c r="D13" s="11">
        <v>6331</v>
      </c>
      <c r="E13" s="11">
        <v>4584</v>
      </c>
      <c r="F13" s="11">
        <v>4357</v>
      </c>
      <c r="G13" s="11">
        <v>4302</v>
      </c>
      <c r="H13" s="11">
        <v>5690</v>
      </c>
      <c r="I13" s="11">
        <v>3941</v>
      </c>
      <c r="J13" s="11">
        <v>3871</v>
      </c>
      <c r="K13" s="11">
        <v>3531</v>
      </c>
      <c r="L13" s="11">
        <v>5964</v>
      </c>
      <c r="M13" s="11">
        <v>4339</v>
      </c>
      <c r="N13" s="11">
        <v>1438</v>
      </c>
      <c r="O13" s="11">
        <v>3294</v>
      </c>
      <c r="P13" s="11"/>
      <c r="Q13" s="11"/>
      <c r="R13" s="11">
        <v>15420</v>
      </c>
      <c r="S13" s="11">
        <v>16273</v>
      </c>
      <c r="T13" s="11">
        <v>16017</v>
      </c>
      <c r="U13" s="11">
        <v>18219</v>
      </c>
      <c r="V13" s="11">
        <v>19064</v>
      </c>
      <c r="W13" s="11">
        <v>17804</v>
      </c>
      <c r="X13" s="11">
        <v>15272</v>
      </c>
      <c r="Y13" s="11">
        <f>Y10*0.25</f>
        <v>16517.115000000002</v>
      </c>
      <c r="Z13" s="11">
        <f t="shared" ref="Z13:AD13" si="6">Z10*0.25</f>
        <v>16847.457300000002</v>
      </c>
      <c r="AA13" s="11">
        <f t="shared" si="6"/>
        <v>17184.406446000001</v>
      </c>
      <c r="AB13" s="11">
        <f t="shared" si="6"/>
        <v>17528.09457492</v>
      </c>
      <c r="AC13" s="11">
        <f t="shared" si="6"/>
        <v>17878.656466418401</v>
      </c>
      <c r="AD13" s="11">
        <f t="shared" si="6"/>
        <v>18236.229595746769</v>
      </c>
      <c r="AE13" s="11">
        <f t="shared" ref="AE13:AF13" si="7">AE10*0.25</f>
        <v>18600.954187661704</v>
      </c>
      <c r="AF13" s="11">
        <f t="shared" si="7"/>
        <v>18972.97327141494</v>
      </c>
    </row>
    <row r="14" spans="1:86" x14ac:dyDescent="0.25">
      <c r="B14" s="2" t="s">
        <v>19</v>
      </c>
      <c r="C14" s="11">
        <v>9854</v>
      </c>
      <c r="D14" s="11">
        <v>10629</v>
      </c>
      <c r="E14" s="11">
        <v>11031</v>
      </c>
      <c r="F14" s="11">
        <v>12072</v>
      </c>
      <c r="G14" s="11">
        <v>11150</v>
      </c>
      <c r="H14" s="11">
        <v>11798</v>
      </c>
      <c r="I14" s="11">
        <v>12187</v>
      </c>
      <c r="J14" s="11">
        <v>12924</v>
      </c>
      <c r="K14" s="11">
        <v>12711</v>
      </c>
      <c r="L14" s="11">
        <v>13659</v>
      </c>
      <c r="M14" s="11">
        <v>14166</v>
      </c>
      <c r="N14" s="11">
        <v>18246</v>
      </c>
      <c r="O14" s="11">
        <v>16805</v>
      </c>
      <c r="P14" s="11"/>
      <c r="Q14" s="11"/>
      <c r="R14" s="11">
        <v>22933</v>
      </c>
      <c r="S14" s="11">
        <v>26637</v>
      </c>
      <c r="T14" s="11">
        <v>30061</v>
      </c>
      <c r="U14" s="11">
        <v>34013</v>
      </c>
      <c r="V14" s="11">
        <v>43586</v>
      </c>
      <c r="W14" s="11">
        <v>48059</v>
      </c>
      <c r="X14" s="11">
        <v>58842</v>
      </c>
      <c r="Y14" s="11">
        <f>Y11*0.33</f>
        <v>65466.687000000013</v>
      </c>
      <c r="Z14" s="11">
        <f t="shared" ref="Z14:AD14" si="8">Z11*0.33</f>
        <v>72013.355700000015</v>
      </c>
      <c r="AA14" s="11">
        <f t="shared" si="8"/>
        <v>79214.691270000025</v>
      </c>
      <c r="AB14" s="11">
        <f t="shared" si="8"/>
        <v>87136.160397000029</v>
      </c>
      <c r="AC14" s="11">
        <f t="shared" si="8"/>
        <v>95849.776436700049</v>
      </c>
      <c r="AD14" s="11">
        <f t="shared" si="8"/>
        <v>105434.75408037005</v>
      </c>
      <c r="AE14" s="11">
        <f t="shared" ref="AE14:AF14" si="9">AE11*0.33</f>
        <v>115978.22948840706</v>
      </c>
      <c r="AF14" s="11">
        <f t="shared" si="9"/>
        <v>127576.05243724777</v>
      </c>
    </row>
    <row r="15" spans="1:86" s="4" customFormat="1" x14ac:dyDescent="0.25">
      <c r="B15" s="4" t="s">
        <v>20</v>
      </c>
      <c r="C15" s="12">
        <f t="shared" ref="C15:G15" si="10">C13+C14</f>
        <v>13646</v>
      </c>
      <c r="D15" s="12">
        <f t="shared" si="10"/>
        <v>16960</v>
      </c>
      <c r="E15" s="12">
        <f t="shared" si="10"/>
        <v>15615</v>
      </c>
      <c r="F15" s="12">
        <f t="shared" si="10"/>
        <v>16429</v>
      </c>
      <c r="G15" s="12">
        <f t="shared" si="10"/>
        <v>15452</v>
      </c>
      <c r="H15" s="12">
        <f>H13+H14</f>
        <v>17488</v>
      </c>
      <c r="I15" s="12">
        <f t="shared" ref="I15:M15" si="11">I13+I14</f>
        <v>16128</v>
      </c>
      <c r="J15" s="12">
        <f t="shared" si="11"/>
        <v>16795</v>
      </c>
      <c r="K15" s="12">
        <f t="shared" si="11"/>
        <v>16242</v>
      </c>
      <c r="L15" s="12">
        <f t="shared" si="11"/>
        <v>19623</v>
      </c>
      <c r="M15" s="12">
        <f t="shared" si="11"/>
        <v>18505</v>
      </c>
      <c r="N15" s="12">
        <f>N13+N14</f>
        <v>19684</v>
      </c>
      <c r="O15" s="12">
        <f>O13+O14</f>
        <v>20099</v>
      </c>
      <c r="P15" s="12"/>
      <c r="Q15" s="12"/>
      <c r="R15" s="12">
        <f t="shared" ref="R15:T15" si="12">R13+R14</f>
        <v>38353</v>
      </c>
      <c r="S15" s="12">
        <f t="shared" si="12"/>
        <v>42910</v>
      </c>
      <c r="T15" s="12">
        <f t="shared" si="12"/>
        <v>46078</v>
      </c>
      <c r="U15" s="12">
        <f>U13+U14</f>
        <v>52232</v>
      </c>
      <c r="V15" s="12">
        <f>V13+V14</f>
        <v>62650</v>
      </c>
      <c r="W15" s="12">
        <f t="shared" ref="W15:X15" si="13">W13+W14</f>
        <v>65863</v>
      </c>
      <c r="X15" s="12">
        <f t="shared" si="13"/>
        <v>74114</v>
      </c>
      <c r="Y15" s="12">
        <f t="shared" ref="Y15" si="14">Y13+Y14</f>
        <v>81983.802000000011</v>
      </c>
      <c r="Z15" s="12">
        <f t="shared" ref="Z15" si="15">Z13+Z14</f>
        <v>88860.813000000024</v>
      </c>
      <c r="AA15" s="12">
        <f t="shared" ref="AA15" si="16">AA13+AA14</f>
        <v>96399.097716000018</v>
      </c>
      <c r="AB15" s="12">
        <f t="shared" ref="AB15" si="17">AB13+AB14</f>
        <v>104664.25497192003</v>
      </c>
      <c r="AC15" s="12">
        <f t="shared" ref="AC15" si="18">AC13+AC14</f>
        <v>113728.43290311845</v>
      </c>
      <c r="AD15" s="12">
        <f t="shared" ref="AD15" si="19">AD13+AD14</f>
        <v>123670.98367611683</v>
      </c>
      <c r="AE15" s="12">
        <f t="shared" ref="AE15:AF15" si="20">AE13+AE14</f>
        <v>134579.18367606876</v>
      </c>
      <c r="AF15" s="12">
        <f t="shared" si="20"/>
        <v>146549.0257086627</v>
      </c>
    </row>
    <row r="16" spans="1:86" x14ac:dyDescent="0.25">
      <c r="B16" s="4" t="s">
        <v>21</v>
      </c>
      <c r="C16" s="12">
        <f t="shared" ref="C16:G16" si="21">C12-C15</f>
        <v>31671</v>
      </c>
      <c r="D16" s="12">
        <f t="shared" si="21"/>
        <v>34768</v>
      </c>
      <c r="E16" s="12">
        <f t="shared" si="21"/>
        <v>33745</v>
      </c>
      <c r="F16" s="12">
        <f t="shared" si="21"/>
        <v>35436</v>
      </c>
      <c r="G16" s="12">
        <f t="shared" si="21"/>
        <v>34670</v>
      </c>
      <c r="H16" s="12">
        <f>H12-H15</f>
        <v>35259</v>
      </c>
      <c r="I16" s="12">
        <f t="shared" ref="I16:J16" si="22">I12-I15</f>
        <v>36729</v>
      </c>
      <c r="J16" s="12">
        <f t="shared" si="22"/>
        <v>39394</v>
      </c>
      <c r="K16" s="12">
        <f>K12-K15</f>
        <v>40275</v>
      </c>
      <c r="L16" s="12">
        <f t="shared" ref="L16:N16" si="23">L12-L15</f>
        <v>42397</v>
      </c>
      <c r="M16" s="12">
        <f t="shared" si="23"/>
        <v>43353</v>
      </c>
      <c r="N16" s="12">
        <f t="shared" si="23"/>
        <v>45043</v>
      </c>
      <c r="O16" s="12">
        <f>O12-O15</f>
        <v>45486</v>
      </c>
      <c r="P16" s="12"/>
      <c r="Q16" s="12"/>
      <c r="R16" s="12">
        <f t="shared" ref="R16:T16" si="24">R12-R15</f>
        <v>72007</v>
      </c>
      <c r="S16" s="12">
        <f t="shared" si="24"/>
        <v>82933</v>
      </c>
      <c r="T16" s="12">
        <f t="shared" si="24"/>
        <v>96937</v>
      </c>
      <c r="U16" s="12">
        <f>U12-U15</f>
        <v>115856</v>
      </c>
      <c r="V16" s="12">
        <f>V12-V15</f>
        <v>135620</v>
      </c>
      <c r="W16" s="12">
        <f t="shared" ref="W16" si="25">W12-W15</f>
        <v>146052</v>
      </c>
      <c r="X16" s="12">
        <f>X12-X15</f>
        <v>171008</v>
      </c>
      <c r="Y16" s="12">
        <f>Y12-Y15</f>
        <v>182468.55800000002</v>
      </c>
      <c r="Z16" s="12">
        <f t="shared" ref="Z16:AD16" si="26">Z12-Z15</f>
        <v>196751.30620000005</v>
      </c>
      <c r="AA16" s="12">
        <f t="shared" si="26"/>
        <v>212383.04706800004</v>
      </c>
      <c r="AB16" s="12">
        <f t="shared" si="26"/>
        <v>229497.09422776004</v>
      </c>
      <c r="AC16" s="12">
        <f t="shared" si="26"/>
        <v>248240.06095255527</v>
      </c>
      <c r="AD16" s="12">
        <f t="shared" si="26"/>
        <v>268773.18949587038</v>
      </c>
      <c r="AE16" s="12">
        <f t="shared" ref="AE16:AF16" si="27">AE12-AE15</f>
        <v>291273.81334247824</v>
      </c>
      <c r="AF16" s="12">
        <f t="shared" si="27"/>
        <v>315936.96567168727</v>
      </c>
    </row>
    <row r="17" spans="2:86" x14ac:dyDescent="0.25">
      <c r="B17" s="2" t="s">
        <v>22</v>
      </c>
      <c r="C17" s="11">
        <v>5599</v>
      </c>
      <c r="D17" s="11">
        <v>5758</v>
      </c>
      <c r="E17" s="11">
        <v>6306</v>
      </c>
      <c r="F17" s="11">
        <v>6849</v>
      </c>
      <c r="G17" s="11">
        <v>6628</v>
      </c>
      <c r="H17" s="11">
        <v>6844</v>
      </c>
      <c r="I17" s="11">
        <v>6984</v>
      </c>
      <c r="J17" s="11">
        <v>6739</v>
      </c>
      <c r="K17" s="11">
        <v>6659</v>
      </c>
      <c r="L17" s="11">
        <v>7142</v>
      </c>
      <c r="M17" s="11">
        <v>7653</v>
      </c>
      <c r="N17" s="11">
        <v>8056</v>
      </c>
      <c r="O17" s="11">
        <v>7544</v>
      </c>
      <c r="P17" s="11"/>
      <c r="Q17" s="11"/>
      <c r="R17" s="11">
        <v>14726</v>
      </c>
      <c r="S17" s="11">
        <v>16876</v>
      </c>
      <c r="T17" s="11">
        <v>19269</v>
      </c>
      <c r="U17" s="11">
        <v>20716</v>
      </c>
      <c r="V17" s="11">
        <v>24512</v>
      </c>
      <c r="W17" s="11">
        <v>27195</v>
      </c>
      <c r="X17" s="11">
        <v>29510</v>
      </c>
      <c r="Y17" s="11">
        <f>X17*1.03</f>
        <v>30395.3</v>
      </c>
      <c r="Z17" s="11">
        <f t="shared" ref="Z17:AC17" si="28">Y17*1.03</f>
        <v>31307.159</v>
      </c>
      <c r="AA17" s="11">
        <f t="shared" si="28"/>
        <v>32246.373770000002</v>
      </c>
      <c r="AB17" s="11">
        <f t="shared" si="28"/>
        <v>33213.764983100002</v>
      </c>
      <c r="AC17" s="11">
        <f t="shared" si="28"/>
        <v>34210.177932593004</v>
      </c>
      <c r="AD17" s="11">
        <f t="shared" ref="AD17:AF17" si="29">AC17*1.03</f>
        <v>35236.483270570796</v>
      </c>
      <c r="AE17" s="11">
        <f t="shared" si="29"/>
        <v>36293.577768687923</v>
      </c>
      <c r="AF17" s="11">
        <f t="shared" si="29"/>
        <v>37382.385101748565</v>
      </c>
    </row>
    <row r="18" spans="2:86" x14ac:dyDescent="0.25">
      <c r="B18" s="2" t="s">
        <v>23</v>
      </c>
      <c r="C18" s="11">
        <v>4547</v>
      </c>
      <c r="D18" s="11">
        <v>5379</v>
      </c>
      <c r="E18" s="11">
        <v>5595</v>
      </c>
      <c r="F18" s="11">
        <v>6304</v>
      </c>
      <c r="G18" s="11">
        <v>5126</v>
      </c>
      <c r="H18" s="11">
        <v>5679</v>
      </c>
      <c r="I18" s="11">
        <v>5750</v>
      </c>
      <c r="J18" s="11">
        <v>6204</v>
      </c>
      <c r="K18" s="11">
        <v>5187</v>
      </c>
      <c r="L18" s="11">
        <v>6246</v>
      </c>
      <c r="M18" s="11">
        <v>6207</v>
      </c>
      <c r="N18" s="11">
        <v>6816</v>
      </c>
      <c r="O18" s="11">
        <v>5717</v>
      </c>
      <c r="P18" s="11"/>
      <c r="Q18" s="11"/>
      <c r="R18" s="11">
        <v>17469</v>
      </c>
      <c r="S18" s="11">
        <v>18213</v>
      </c>
      <c r="T18" s="11">
        <v>19598</v>
      </c>
      <c r="U18" s="11">
        <v>20117</v>
      </c>
      <c r="V18" s="11">
        <v>21825</v>
      </c>
      <c r="W18" s="11">
        <v>22759</v>
      </c>
      <c r="X18" s="11">
        <v>24456</v>
      </c>
      <c r="Y18" s="11">
        <f>X18*1.05</f>
        <v>25678.799999999999</v>
      </c>
      <c r="Z18" s="11">
        <f t="shared" ref="Z18:AC18" si="30">Y18*1.05</f>
        <v>26962.74</v>
      </c>
      <c r="AA18" s="11">
        <f t="shared" si="30"/>
        <v>28310.877000000004</v>
      </c>
      <c r="AB18" s="11">
        <f t="shared" si="30"/>
        <v>29726.420850000006</v>
      </c>
      <c r="AC18" s="11">
        <f t="shared" si="30"/>
        <v>31212.741892500009</v>
      </c>
      <c r="AD18" s="11">
        <f t="shared" ref="AD18:AF18" si="31">AC18*1.05</f>
        <v>32773.378987125012</v>
      </c>
      <c r="AE18" s="11">
        <f t="shared" si="31"/>
        <v>34412.047936481264</v>
      </c>
      <c r="AF18" s="11">
        <f t="shared" si="31"/>
        <v>36132.650333305326</v>
      </c>
    </row>
    <row r="19" spans="2:86" x14ac:dyDescent="0.25">
      <c r="B19" s="2" t="s">
        <v>24</v>
      </c>
      <c r="C19" s="11">
        <v>1287</v>
      </c>
      <c r="D19" s="11">
        <v>1384</v>
      </c>
      <c r="E19" s="11">
        <v>1480</v>
      </c>
      <c r="F19" s="11">
        <v>1749</v>
      </c>
      <c r="G19" s="11">
        <v>1398</v>
      </c>
      <c r="H19" s="11">
        <v>2337</v>
      </c>
      <c r="I19" s="11">
        <v>1643</v>
      </c>
      <c r="J19" s="11">
        <v>2197</v>
      </c>
      <c r="K19" s="11">
        <v>1474</v>
      </c>
      <c r="L19" s="11">
        <v>1977</v>
      </c>
      <c r="M19" s="11">
        <v>1912</v>
      </c>
      <c r="N19" s="11">
        <v>2246</v>
      </c>
      <c r="O19" s="11">
        <v>1673</v>
      </c>
      <c r="P19" s="11"/>
      <c r="Q19" s="11"/>
      <c r="R19" s="11">
        <v>4754</v>
      </c>
      <c r="S19" s="11">
        <v>4885</v>
      </c>
      <c r="T19" s="11">
        <v>5111</v>
      </c>
      <c r="U19" s="11">
        <v>5107</v>
      </c>
      <c r="V19" s="11">
        <v>5900</v>
      </c>
      <c r="W19" s="11">
        <v>7575</v>
      </c>
      <c r="X19" s="11">
        <v>7609</v>
      </c>
      <c r="Y19" s="11">
        <f>X19*1.03</f>
        <v>7837.27</v>
      </c>
      <c r="Z19" s="11">
        <f t="shared" ref="Z19:AC19" si="32">Y19*1.03</f>
        <v>8072.388100000001</v>
      </c>
      <c r="AA19" s="11">
        <f t="shared" si="32"/>
        <v>8314.5597430000016</v>
      </c>
      <c r="AB19" s="11">
        <f t="shared" si="32"/>
        <v>8563.9965352900017</v>
      </c>
      <c r="AC19" s="11">
        <f t="shared" si="32"/>
        <v>8820.9164313487017</v>
      </c>
      <c r="AD19" s="11">
        <f t="shared" ref="AD19:AF19" si="33">AC19*1.03</f>
        <v>9085.5439242891625</v>
      </c>
      <c r="AE19" s="11">
        <f t="shared" si="33"/>
        <v>9358.1102420178377</v>
      </c>
      <c r="AF19" s="11">
        <f t="shared" si="33"/>
        <v>9638.8535492783722</v>
      </c>
    </row>
    <row r="20" spans="2:86" s="4" customFormat="1" x14ac:dyDescent="0.25">
      <c r="B20" s="4" t="s">
        <v>25</v>
      </c>
      <c r="C20" s="12">
        <f t="shared" ref="C20:G20" si="34">C17+C18+C19</f>
        <v>11433</v>
      </c>
      <c r="D20" s="12">
        <f t="shared" si="34"/>
        <v>12521</v>
      </c>
      <c r="E20" s="12">
        <f t="shared" si="34"/>
        <v>13381</v>
      </c>
      <c r="F20" s="12">
        <f t="shared" si="34"/>
        <v>14902</v>
      </c>
      <c r="G20" s="12">
        <f t="shared" si="34"/>
        <v>13152</v>
      </c>
      <c r="H20" s="12">
        <f>H17+H18+H19</f>
        <v>14860</v>
      </c>
      <c r="I20" s="12">
        <f t="shared" ref="I20:J20" si="35">I17+I18+I19</f>
        <v>14377</v>
      </c>
      <c r="J20" s="12">
        <f t="shared" si="35"/>
        <v>15140</v>
      </c>
      <c r="K20" s="12">
        <f>K17+K18+K19</f>
        <v>13320</v>
      </c>
      <c r="L20" s="12">
        <f t="shared" ref="L20:N20" si="36">L17+L18+L19</f>
        <v>15365</v>
      </c>
      <c r="M20" s="12">
        <f t="shared" si="36"/>
        <v>15772</v>
      </c>
      <c r="N20" s="12">
        <f t="shared" si="36"/>
        <v>17118</v>
      </c>
      <c r="O20" s="12">
        <f>O17+O18+O19</f>
        <v>14934</v>
      </c>
      <c r="P20" s="12"/>
      <c r="Q20" s="12"/>
      <c r="R20" s="12">
        <f t="shared" ref="R20:T20" si="37">R17+R18+R19</f>
        <v>36949</v>
      </c>
      <c r="S20" s="12">
        <f t="shared" si="37"/>
        <v>39974</v>
      </c>
      <c r="T20" s="12">
        <f t="shared" si="37"/>
        <v>43978</v>
      </c>
      <c r="U20" s="12">
        <f>U17+U18+U19</f>
        <v>45940</v>
      </c>
      <c r="V20" s="12">
        <f>V17+V18+V19</f>
        <v>52237</v>
      </c>
      <c r="W20" s="12">
        <f t="shared" ref="W20:X20" si="38">W17+W18+W19</f>
        <v>57529</v>
      </c>
      <c r="X20" s="12">
        <f t="shared" si="38"/>
        <v>61575</v>
      </c>
      <c r="Y20" s="12">
        <f t="shared" ref="Y20" si="39">Y17+Y18+Y19</f>
        <v>63911.369999999995</v>
      </c>
      <c r="Z20" s="12">
        <f t="shared" ref="Z20" si="40">Z17+Z18+Z19</f>
        <v>66342.287100000001</v>
      </c>
      <c r="AA20" s="12">
        <f t="shared" ref="AA20" si="41">AA17+AA18+AA19</f>
        <v>68871.810513000004</v>
      </c>
      <c r="AB20" s="12">
        <f t="shared" ref="AB20" si="42">AB17+AB18+AB19</f>
        <v>71504.182368390015</v>
      </c>
      <c r="AC20" s="12">
        <f t="shared" ref="AC20" si="43">AC17+AC18+AC19</f>
        <v>74243.836256441718</v>
      </c>
      <c r="AD20" s="12">
        <f t="shared" ref="AD20" si="44">AD17+AD18+AD19</f>
        <v>77095.406181984974</v>
      </c>
      <c r="AE20" s="12">
        <f t="shared" ref="AE20:AF20" si="45">AE17+AE18+AE19</f>
        <v>80063.73594718703</v>
      </c>
      <c r="AF20" s="12">
        <f t="shared" si="45"/>
        <v>83153.888984332269</v>
      </c>
    </row>
    <row r="21" spans="2:86" s="4" customFormat="1" x14ac:dyDescent="0.25">
      <c r="B21" s="4" t="s">
        <v>26</v>
      </c>
      <c r="C21" s="12">
        <f t="shared" ref="C21:G21" si="46">C16-C20</f>
        <v>20238</v>
      </c>
      <c r="D21" s="12">
        <f t="shared" si="46"/>
        <v>22247</v>
      </c>
      <c r="E21" s="12">
        <f t="shared" si="46"/>
        <v>20364</v>
      </c>
      <c r="F21" s="12">
        <f t="shared" si="46"/>
        <v>20534</v>
      </c>
      <c r="G21" s="12">
        <f t="shared" si="46"/>
        <v>21518</v>
      </c>
      <c r="H21" s="12">
        <f>H16-H20</f>
        <v>20399</v>
      </c>
      <c r="I21" s="12">
        <f t="shared" ref="I21:J21" si="47">I16-I20</f>
        <v>22352</v>
      </c>
      <c r="J21" s="12">
        <f t="shared" si="47"/>
        <v>24254</v>
      </c>
      <c r="K21" s="12">
        <f>K16-K20</f>
        <v>26955</v>
      </c>
      <c r="L21" s="12">
        <f t="shared" ref="L21:N21" si="48">L16-L20</f>
        <v>27032</v>
      </c>
      <c r="M21" s="12">
        <f t="shared" si="48"/>
        <v>27581</v>
      </c>
      <c r="N21" s="12">
        <f t="shared" si="48"/>
        <v>27925</v>
      </c>
      <c r="O21" s="12">
        <f>O16-O20</f>
        <v>30552</v>
      </c>
      <c r="P21" s="12"/>
      <c r="Q21" s="12"/>
      <c r="R21" s="12">
        <f t="shared" ref="R21:T21" si="49">R16-R20</f>
        <v>35058</v>
      </c>
      <c r="S21" s="12">
        <f t="shared" si="49"/>
        <v>42959</v>
      </c>
      <c r="T21" s="12">
        <f t="shared" si="49"/>
        <v>52959</v>
      </c>
      <c r="U21" s="12">
        <f>U16-U20</f>
        <v>69916</v>
      </c>
      <c r="V21" s="12">
        <f>V16-V20</f>
        <v>83383</v>
      </c>
      <c r="W21" s="12">
        <f t="shared" ref="W21:X21" si="50">W16-W20</f>
        <v>88523</v>
      </c>
      <c r="X21" s="12">
        <f t="shared" si="50"/>
        <v>109433</v>
      </c>
      <c r="Y21" s="12">
        <f t="shared" ref="Y21" si="51">Y16-Y20</f>
        <v>118557.18800000002</v>
      </c>
      <c r="Z21" s="12">
        <f t="shared" ref="Z21" si="52">Z16-Z20</f>
        <v>130409.01910000005</v>
      </c>
      <c r="AA21" s="12">
        <f t="shared" ref="AA21" si="53">AA16-AA20</f>
        <v>143511.23655500004</v>
      </c>
      <c r="AB21" s="12">
        <f t="shared" ref="AB21" si="54">AB16-AB20</f>
        <v>157992.91185937001</v>
      </c>
      <c r="AC21" s="12">
        <f t="shared" ref="AC21" si="55">AC16-AC20</f>
        <v>173996.22469611355</v>
      </c>
      <c r="AD21" s="12">
        <f t="shared" ref="AD21" si="56">AD16-AD20</f>
        <v>191677.78331388539</v>
      </c>
      <c r="AE21" s="12">
        <f t="shared" ref="AE21:AF21" si="57">AE16-AE20</f>
        <v>211210.07739529121</v>
      </c>
      <c r="AF21" s="12">
        <f t="shared" si="57"/>
        <v>232783.076687355</v>
      </c>
    </row>
    <row r="22" spans="2:86" x14ac:dyDescent="0.25">
      <c r="B22" s="2" t="s">
        <v>27</v>
      </c>
      <c r="C22" s="11">
        <v>286</v>
      </c>
      <c r="D22" s="11">
        <v>268</v>
      </c>
      <c r="E22" s="11">
        <v>-174</v>
      </c>
      <c r="F22" s="11">
        <v>-47</v>
      </c>
      <c r="G22" s="11">
        <v>54</v>
      </c>
      <c r="H22" s="11">
        <v>-60</v>
      </c>
      <c r="I22" s="11">
        <v>321</v>
      </c>
      <c r="J22" s="11">
        <v>473</v>
      </c>
      <c r="K22" s="11">
        <v>389</v>
      </c>
      <c r="L22" s="11">
        <v>-506</v>
      </c>
      <c r="M22" s="11">
        <v>-854</v>
      </c>
      <c r="N22" s="11">
        <v>-675</v>
      </c>
      <c r="O22" s="11">
        <v>-283</v>
      </c>
      <c r="P22" s="11"/>
      <c r="Q22" s="11"/>
      <c r="R22" s="11">
        <v>1416</v>
      </c>
      <c r="S22" s="11">
        <v>729</v>
      </c>
      <c r="T22" s="11">
        <v>77</v>
      </c>
      <c r="U22" s="11">
        <v>1186</v>
      </c>
      <c r="V22" s="11">
        <v>333</v>
      </c>
      <c r="W22" s="11">
        <v>788</v>
      </c>
      <c r="X22" s="11">
        <v>-1646</v>
      </c>
      <c r="Y22" s="11">
        <f>X42*$AG$33</f>
        <v>385.13</v>
      </c>
      <c r="Z22" s="11">
        <f t="shared" ref="Z22:AF22" si="58">Y42*$AG$33</f>
        <v>1396.1397030000005</v>
      </c>
      <c r="AA22" s="11">
        <f t="shared" si="58"/>
        <v>2516.4835528255012</v>
      </c>
      <c r="AB22" s="11">
        <f t="shared" si="58"/>
        <v>3757.719173742018</v>
      </c>
      <c r="AC22" s="11">
        <f t="shared" si="58"/>
        <v>5132.5995375234706</v>
      </c>
      <c r="AD22" s="11">
        <f t="shared" si="58"/>
        <v>6655.1945435093858</v>
      </c>
      <c r="AE22" s="11">
        <f t="shared" si="58"/>
        <v>8341.0248552972425</v>
      </c>
      <c r="AF22" s="11">
        <f t="shared" si="58"/>
        <v>10207.209224427244</v>
      </c>
    </row>
    <row r="23" spans="2:86" s="4" customFormat="1" x14ac:dyDescent="0.25">
      <c r="B23" s="4" t="s">
        <v>28</v>
      </c>
      <c r="C23" s="12">
        <f t="shared" ref="C23:G23" si="59">C21+C22</f>
        <v>20524</v>
      </c>
      <c r="D23" s="12">
        <f t="shared" si="59"/>
        <v>22515</v>
      </c>
      <c r="E23" s="12">
        <f t="shared" si="59"/>
        <v>20190</v>
      </c>
      <c r="F23" s="12">
        <f t="shared" si="59"/>
        <v>20487</v>
      </c>
      <c r="G23" s="12">
        <f t="shared" si="59"/>
        <v>21572</v>
      </c>
      <c r="H23" s="12">
        <f>H21+H22</f>
        <v>20339</v>
      </c>
      <c r="I23" s="12">
        <f t="shared" ref="I23:J23" si="60">I21+I22</f>
        <v>22673</v>
      </c>
      <c r="J23" s="12">
        <f t="shared" si="60"/>
        <v>24727</v>
      </c>
      <c r="K23" s="12">
        <f>K21+K22</f>
        <v>27344</v>
      </c>
      <c r="L23" s="12">
        <f t="shared" ref="L23:N23" si="61">L21+L22</f>
        <v>26526</v>
      </c>
      <c r="M23" s="12">
        <f t="shared" si="61"/>
        <v>26727</v>
      </c>
      <c r="N23" s="12">
        <f t="shared" si="61"/>
        <v>27250</v>
      </c>
      <c r="O23" s="12">
        <f>O21+O22</f>
        <v>30269</v>
      </c>
      <c r="P23" s="12"/>
      <c r="Q23" s="12"/>
      <c r="R23" s="12">
        <f t="shared" ref="R23:T23" si="62">R21+R22</f>
        <v>36474</v>
      </c>
      <c r="S23" s="12">
        <f t="shared" si="62"/>
        <v>43688</v>
      </c>
      <c r="T23" s="12">
        <f t="shared" si="62"/>
        <v>53036</v>
      </c>
      <c r="U23" s="12">
        <f>U21+U22</f>
        <v>71102</v>
      </c>
      <c r="V23" s="12">
        <f>V21+V22</f>
        <v>83716</v>
      </c>
      <c r="W23" s="12">
        <f t="shared" ref="W23:X23" si="63">W21+W22</f>
        <v>89311</v>
      </c>
      <c r="X23" s="12">
        <f t="shared" si="63"/>
        <v>107787</v>
      </c>
      <c r="Y23" s="12">
        <f t="shared" ref="Y23" si="64">Y21+Y22</f>
        <v>118942.31800000003</v>
      </c>
      <c r="Z23" s="12">
        <f t="shared" ref="Z23" si="65">Z21+Z22</f>
        <v>131805.15880300006</v>
      </c>
      <c r="AA23" s="12">
        <f t="shared" ref="AA23" si="66">AA21+AA22</f>
        <v>146027.72010782553</v>
      </c>
      <c r="AB23" s="12">
        <f t="shared" ref="AB23" si="67">AB21+AB22</f>
        <v>161750.63103311203</v>
      </c>
      <c r="AC23" s="12">
        <f t="shared" ref="AC23" si="68">AC21+AC22</f>
        <v>179128.82423363702</v>
      </c>
      <c r="AD23" s="12">
        <f t="shared" ref="AD23" si="69">AD21+AD22</f>
        <v>198332.97785739478</v>
      </c>
      <c r="AE23" s="12">
        <f t="shared" ref="AE23:AF23" si="70">AE21+AE22</f>
        <v>219551.10225058845</v>
      </c>
      <c r="AF23" s="12">
        <f t="shared" si="70"/>
        <v>242990.28591178224</v>
      </c>
    </row>
    <row r="24" spans="2:86" x14ac:dyDescent="0.25">
      <c r="B24" s="2" t="s">
        <v>29</v>
      </c>
      <c r="C24" s="11">
        <v>19</v>
      </c>
      <c r="D24" s="11">
        <v>3750</v>
      </c>
      <c r="E24" s="11">
        <v>3462</v>
      </c>
      <c r="F24" s="11">
        <v>3747</v>
      </c>
      <c r="G24" s="11">
        <v>4016</v>
      </c>
      <c r="H24" s="11">
        <v>3914</v>
      </c>
      <c r="I24" s="11">
        <v>4374</v>
      </c>
      <c r="J24" s="11">
        <v>4646</v>
      </c>
      <c r="K24" s="11">
        <v>4993</v>
      </c>
      <c r="L24" s="11">
        <v>4656</v>
      </c>
      <c r="M24" s="11">
        <v>4788</v>
      </c>
      <c r="N24" s="11">
        <v>5214</v>
      </c>
      <c r="O24" s="11">
        <v>5602</v>
      </c>
      <c r="P24" s="11"/>
      <c r="Q24" s="11"/>
      <c r="R24" s="11">
        <v>19903</v>
      </c>
      <c r="S24" s="11">
        <v>4448</v>
      </c>
      <c r="T24" s="11">
        <v>8755</v>
      </c>
      <c r="U24" s="11">
        <v>9831</v>
      </c>
      <c r="V24" s="11">
        <v>10978</v>
      </c>
      <c r="W24" s="11">
        <v>16950</v>
      </c>
      <c r="X24" s="11">
        <v>19651</v>
      </c>
      <c r="Y24" s="11">
        <f>Y23*0.15</f>
        <v>17841.347700000002</v>
      </c>
      <c r="Z24" s="11">
        <f t="shared" ref="Z24:AD24" si="71">Z23*0.15</f>
        <v>19770.773820450009</v>
      </c>
      <c r="AA24" s="11">
        <f t="shared" si="71"/>
        <v>21904.158016173827</v>
      </c>
      <c r="AB24" s="11">
        <f t="shared" si="71"/>
        <v>24262.594654966804</v>
      </c>
      <c r="AC24" s="11">
        <f t="shared" si="71"/>
        <v>26869.323635045552</v>
      </c>
      <c r="AD24" s="11">
        <f t="shared" si="71"/>
        <v>29749.946678609216</v>
      </c>
      <c r="AE24" s="11">
        <f t="shared" ref="AE24:AF24" si="72">AE23*0.15</f>
        <v>32932.665337588267</v>
      </c>
      <c r="AF24" s="11">
        <f t="shared" si="72"/>
        <v>36448.542886767333</v>
      </c>
    </row>
    <row r="25" spans="2:86" s="4" customFormat="1" x14ac:dyDescent="0.25">
      <c r="B25" s="4" t="s">
        <v>30</v>
      </c>
      <c r="C25" s="12">
        <f t="shared" ref="C25:G25" si="73">C23-C24</f>
        <v>20505</v>
      </c>
      <c r="D25" s="12">
        <f t="shared" si="73"/>
        <v>18765</v>
      </c>
      <c r="E25" s="12">
        <f t="shared" si="73"/>
        <v>16728</v>
      </c>
      <c r="F25" s="12">
        <f t="shared" si="73"/>
        <v>16740</v>
      </c>
      <c r="G25" s="12">
        <f t="shared" si="73"/>
        <v>17556</v>
      </c>
      <c r="H25" s="12">
        <f>H23-H24</f>
        <v>16425</v>
      </c>
      <c r="I25" s="12">
        <f t="shared" ref="I25:J25" si="74">I23-I24</f>
        <v>18299</v>
      </c>
      <c r="J25" s="12">
        <f t="shared" si="74"/>
        <v>20081</v>
      </c>
      <c r="K25" s="12">
        <f>K23-K24</f>
        <v>22351</v>
      </c>
      <c r="L25" s="12">
        <f t="shared" ref="L25:N25" si="75">L23-L24</f>
        <v>21870</v>
      </c>
      <c r="M25" s="12">
        <f t="shared" si="75"/>
        <v>21939</v>
      </c>
      <c r="N25" s="12">
        <f t="shared" si="75"/>
        <v>22036</v>
      </c>
      <c r="O25" s="12">
        <f>O23-O24</f>
        <v>24667</v>
      </c>
      <c r="P25" s="12"/>
      <c r="Q25" s="12"/>
      <c r="R25" s="12">
        <f t="shared" ref="R25:T25" si="76">R23-R24</f>
        <v>16571</v>
      </c>
      <c r="S25" s="12">
        <f t="shared" si="76"/>
        <v>39240</v>
      </c>
      <c r="T25" s="12">
        <f t="shared" si="76"/>
        <v>44281</v>
      </c>
      <c r="U25" s="12">
        <f>U23-U24</f>
        <v>61271</v>
      </c>
      <c r="V25" s="12">
        <f>V23-V24</f>
        <v>72738</v>
      </c>
      <c r="W25" s="12">
        <f t="shared" ref="W25:X25" si="77">W23-W24</f>
        <v>72361</v>
      </c>
      <c r="X25" s="12">
        <f t="shared" si="77"/>
        <v>88136</v>
      </c>
      <c r="Y25" s="12">
        <f t="shared" ref="Y25" si="78">Y23-Y24</f>
        <v>101100.97030000003</v>
      </c>
      <c r="Z25" s="12">
        <f t="shared" ref="Z25" si="79">Z23-Z24</f>
        <v>112034.38498255005</v>
      </c>
      <c r="AA25" s="12">
        <f t="shared" ref="AA25" si="80">AA23-AA24</f>
        <v>124123.56209165171</v>
      </c>
      <c r="AB25" s="12">
        <f t="shared" ref="AB25" si="81">AB23-AB24</f>
        <v>137488.03637814522</v>
      </c>
      <c r="AC25" s="12">
        <f t="shared" ref="AC25" si="82">AC23-AC24</f>
        <v>152259.50059859146</v>
      </c>
      <c r="AD25" s="12">
        <f t="shared" ref="AD25:AE25" si="83">AD23-AD24</f>
        <v>168583.03117878558</v>
      </c>
      <c r="AE25" s="12">
        <f t="shared" si="83"/>
        <v>186618.43691300019</v>
      </c>
      <c r="AF25" s="12">
        <f t="shared" ref="AF25" si="84">AF23-AF24</f>
        <v>206541.7430250149</v>
      </c>
      <c r="AG25" s="12">
        <f t="shared" ref="AG25:CH25" si="85">AF25*(1+$AG$30)</f>
        <v>212737.99531576535</v>
      </c>
      <c r="AH25" s="12">
        <f t="shared" si="85"/>
        <v>219120.13517523831</v>
      </c>
      <c r="AI25" s="12">
        <f t="shared" si="85"/>
        <v>225693.73923049547</v>
      </c>
      <c r="AJ25" s="12">
        <f t="shared" si="85"/>
        <v>232464.55140741033</v>
      </c>
      <c r="AK25" s="12">
        <f>AJ25*(1+$AG$30)</f>
        <v>239438.48794963263</v>
      </c>
      <c r="AL25" s="12">
        <f t="shared" si="85"/>
        <v>246621.64258812161</v>
      </c>
      <c r="AM25" s="12">
        <f t="shared" si="85"/>
        <v>254020.29186576526</v>
      </c>
      <c r="AN25" s="12">
        <f t="shared" si="85"/>
        <v>261640.90062173823</v>
      </c>
      <c r="AO25" s="12">
        <f t="shared" si="85"/>
        <v>269490.12764039036</v>
      </c>
      <c r="AP25" s="12">
        <f t="shared" si="85"/>
        <v>277574.83146960207</v>
      </c>
      <c r="AQ25" s="12">
        <f t="shared" si="85"/>
        <v>285902.07641369011</v>
      </c>
      <c r="AR25" s="12">
        <f t="shared" si="85"/>
        <v>294479.13870610081</v>
      </c>
      <c r="AS25" s="12">
        <f t="shared" si="85"/>
        <v>303313.51286728383</v>
      </c>
      <c r="AT25" s="12">
        <f t="shared" si="85"/>
        <v>312412.91825330234</v>
      </c>
      <c r="AU25" s="12">
        <f t="shared" si="85"/>
        <v>321785.30580090143</v>
      </c>
      <c r="AV25" s="12">
        <f t="shared" si="85"/>
        <v>331438.8649749285</v>
      </c>
      <c r="AW25" s="12">
        <f t="shared" si="85"/>
        <v>341382.03092417633</v>
      </c>
      <c r="AX25" s="12">
        <f t="shared" si="85"/>
        <v>351623.49185190164</v>
      </c>
      <c r="AY25" s="12">
        <f t="shared" si="85"/>
        <v>362172.1966074587</v>
      </c>
      <c r="AZ25" s="12">
        <f t="shared" si="85"/>
        <v>373037.36250568245</v>
      </c>
      <c r="BA25" s="12">
        <f t="shared" si="85"/>
        <v>384228.48338085297</v>
      </c>
      <c r="BB25" s="12">
        <f t="shared" si="85"/>
        <v>395755.33788227855</v>
      </c>
      <c r="BC25" s="12">
        <f t="shared" si="85"/>
        <v>407627.9980187469</v>
      </c>
      <c r="BD25" s="12">
        <f t="shared" si="85"/>
        <v>419856.83795930934</v>
      </c>
      <c r="BE25" s="12">
        <f t="shared" si="85"/>
        <v>432452.54309808864</v>
      </c>
      <c r="BF25" s="12">
        <f t="shared" si="85"/>
        <v>445426.11939103133</v>
      </c>
      <c r="BG25" s="12">
        <f t="shared" si="85"/>
        <v>458788.9029727623</v>
      </c>
      <c r="BH25" s="12">
        <f t="shared" si="85"/>
        <v>472552.57006194518</v>
      </c>
      <c r="BI25" s="12">
        <f t="shared" si="85"/>
        <v>486729.14716380357</v>
      </c>
      <c r="BJ25" s="12">
        <f t="shared" si="85"/>
        <v>501331.02157871769</v>
      </c>
      <c r="BK25" s="12">
        <f t="shared" si="85"/>
        <v>516370.95222607924</v>
      </c>
      <c r="BL25" s="12">
        <f t="shared" si="85"/>
        <v>531862.08079286164</v>
      </c>
      <c r="BM25" s="12">
        <f t="shared" si="85"/>
        <v>547817.94321664749</v>
      </c>
      <c r="BN25" s="12">
        <f t="shared" si="85"/>
        <v>564252.48151314689</v>
      </c>
      <c r="BO25" s="12">
        <f t="shared" si="85"/>
        <v>581180.05595854134</v>
      </c>
      <c r="BP25" s="12">
        <f t="shared" si="85"/>
        <v>598615.45763729757</v>
      </c>
      <c r="BQ25" s="12">
        <f t="shared" si="85"/>
        <v>616573.9213664165</v>
      </c>
      <c r="BR25" s="12">
        <f t="shared" si="85"/>
        <v>635071.13900740899</v>
      </c>
      <c r="BS25" s="12">
        <f t="shared" si="85"/>
        <v>654123.27317763132</v>
      </c>
      <c r="BT25" s="12">
        <f t="shared" si="85"/>
        <v>673746.97137296025</v>
      </c>
      <c r="BU25" s="12">
        <f t="shared" si="85"/>
        <v>693959.38051414909</v>
      </c>
      <c r="BV25" s="12">
        <f t="shared" si="85"/>
        <v>714778.16192957363</v>
      </c>
      <c r="BW25" s="12">
        <f t="shared" si="85"/>
        <v>736221.50678746088</v>
      </c>
      <c r="BX25" s="12">
        <f t="shared" si="85"/>
        <v>758308.15199108468</v>
      </c>
      <c r="BY25" s="12">
        <f t="shared" si="85"/>
        <v>781057.3965508173</v>
      </c>
      <c r="BZ25" s="12">
        <f t="shared" si="85"/>
        <v>804489.11844734184</v>
      </c>
      <c r="CA25" s="12">
        <f t="shared" si="85"/>
        <v>828623.79200076207</v>
      </c>
      <c r="CB25" s="12">
        <f t="shared" si="85"/>
        <v>853482.50576078496</v>
      </c>
      <c r="CC25" s="12">
        <f t="shared" si="85"/>
        <v>879086.98093360849</v>
      </c>
      <c r="CD25" s="12">
        <f t="shared" si="85"/>
        <v>905459.59036161681</v>
      </c>
      <c r="CE25" s="12">
        <f t="shared" si="85"/>
        <v>932623.3780724653</v>
      </c>
      <c r="CF25" s="12">
        <f t="shared" si="85"/>
        <v>960602.07941463927</v>
      </c>
      <c r="CG25" s="12">
        <f t="shared" si="85"/>
        <v>989420.14179707842</v>
      </c>
      <c r="CH25" s="12">
        <f t="shared" si="85"/>
        <v>1019102.7460509908</v>
      </c>
    </row>
    <row r="26" spans="2:86" s="4" customFormat="1" x14ac:dyDescent="0.25">
      <c r="B26" s="4" t="s">
        <v>31</v>
      </c>
      <c r="C26" s="13">
        <f t="shared" ref="C26:G26" si="86">C25/C27</f>
        <v>2.7097925201532971</v>
      </c>
      <c r="D26" s="13">
        <f t="shared" si="86"/>
        <v>2.4837855724685638</v>
      </c>
      <c r="E26" s="13">
        <f t="shared" si="86"/>
        <v>2.2203344836740113</v>
      </c>
      <c r="F26" s="13">
        <f t="shared" si="86"/>
        <v>2.2302158273381294</v>
      </c>
      <c r="G26" s="13">
        <f t="shared" si="86"/>
        <v>2.3454909819639278</v>
      </c>
      <c r="H26" s="13">
        <f>H25/H27</f>
        <v>2.1979124849458049</v>
      </c>
      <c r="I26" s="13">
        <f t="shared" ref="I26:J26" si="87">I25/I27</f>
        <v>2.4516345123258305</v>
      </c>
      <c r="J26" s="13">
        <f t="shared" si="87"/>
        <v>2.6892995848399623</v>
      </c>
      <c r="K26" s="13">
        <f>K25/K27</f>
        <v>2.9953095684803004</v>
      </c>
      <c r="L26" s="13">
        <f t="shared" ref="L26:N26" si="88">L25/L27</f>
        <v>2.9284949116229244</v>
      </c>
      <c r="M26" s="13">
        <f t="shared" si="88"/>
        <v>2.936161670235546</v>
      </c>
      <c r="N26" s="13">
        <f t="shared" si="88"/>
        <v>2.9491434689507496</v>
      </c>
      <c r="O26" s="13">
        <f>O25/O27</f>
        <v>3.3021419009370816</v>
      </c>
      <c r="P26" s="13"/>
      <c r="Q26" s="13"/>
      <c r="R26" s="13">
        <f t="shared" ref="R26:T26" si="89">R25/R27</f>
        <v>2.126122658455222</v>
      </c>
      <c r="S26" s="13">
        <f t="shared" si="89"/>
        <v>5.0612666064749128</v>
      </c>
      <c r="T26" s="13">
        <f t="shared" si="89"/>
        <v>5.7635038396459715</v>
      </c>
      <c r="U26" s="13">
        <f>U25/U27</f>
        <v>8.0534963196635125</v>
      </c>
      <c r="V26" s="13">
        <f>V25/V27</f>
        <v>9.6456703354992701</v>
      </c>
      <c r="W26" s="13">
        <f t="shared" ref="W26:X26" si="90">W25/W27</f>
        <v>9.6842880085653107</v>
      </c>
      <c r="X26" s="13">
        <f t="shared" si="90"/>
        <v>11.800240996117285</v>
      </c>
      <c r="Y26" s="13">
        <f t="shared" ref="Y26" si="91">Y25/Y27</f>
        <v>13.536078497790873</v>
      </c>
      <c r="Z26" s="13">
        <f t="shared" ref="Z26" si="92">Z25/Z27</f>
        <v>14.999917657323611</v>
      </c>
      <c r="AA26" s="13">
        <f t="shared" ref="AA26" si="93">AA25/AA27</f>
        <v>16.618498070913336</v>
      </c>
      <c r="AB26" s="13">
        <f t="shared" ref="AB26" si="94">AB25/AB27</f>
        <v>18.407823855689546</v>
      </c>
      <c r="AC26" s="13">
        <f t="shared" ref="AC26" si="95">AC25/AC27</f>
        <v>20.385526924433186</v>
      </c>
      <c r="AD26" s="13">
        <f t="shared" ref="AD26:AE26" si="96">AD25/AD27</f>
        <v>22.571031085658799</v>
      </c>
      <c r="AE26" s="13">
        <f t="shared" si="96"/>
        <v>24.985732616548425</v>
      </c>
      <c r="AF26" s="13">
        <f t="shared" ref="AF26" si="97">AF25/AF27</f>
        <v>27.649497058234928</v>
      </c>
    </row>
    <row r="27" spans="2:86" s="11" customFormat="1" x14ac:dyDescent="0.25">
      <c r="B27" s="9" t="s">
        <v>32</v>
      </c>
      <c r="C27" s="11">
        <v>7567</v>
      </c>
      <c r="D27" s="11">
        <v>7555</v>
      </c>
      <c r="E27" s="11">
        <v>7534</v>
      </c>
      <c r="F27" s="11">
        <v>7506</v>
      </c>
      <c r="G27" s="11">
        <v>7485</v>
      </c>
      <c r="H27" s="11">
        <v>7473</v>
      </c>
      <c r="I27" s="11">
        <v>7464</v>
      </c>
      <c r="J27" s="11">
        <v>7467</v>
      </c>
      <c r="K27" s="11">
        <v>7462</v>
      </c>
      <c r="L27" s="11">
        <v>7468</v>
      </c>
      <c r="M27" s="11">
        <v>7472</v>
      </c>
      <c r="N27" s="11">
        <v>7472</v>
      </c>
      <c r="O27" s="11">
        <v>7470</v>
      </c>
      <c r="R27" s="11">
        <v>7794</v>
      </c>
      <c r="S27" s="11">
        <v>7753</v>
      </c>
      <c r="T27" s="11">
        <v>7683</v>
      </c>
      <c r="U27" s="11">
        <v>7608</v>
      </c>
      <c r="V27" s="11">
        <v>7541</v>
      </c>
      <c r="W27" s="11">
        <v>7472</v>
      </c>
      <c r="X27" s="11">
        <v>7469</v>
      </c>
      <c r="Y27" s="11">
        <v>7469</v>
      </c>
      <c r="Z27" s="11">
        <v>7469</v>
      </c>
      <c r="AA27" s="11">
        <v>7469</v>
      </c>
      <c r="AB27" s="11">
        <v>7469</v>
      </c>
      <c r="AC27" s="11">
        <v>7469</v>
      </c>
      <c r="AD27" s="11">
        <v>7469</v>
      </c>
      <c r="AE27" s="11">
        <v>7469</v>
      </c>
      <c r="AF27" s="11">
        <v>7470</v>
      </c>
    </row>
    <row r="28" spans="2:86" s="11" customFormat="1" x14ac:dyDescent="0.25">
      <c r="B28" s="9"/>
    </row>
    <row r="29" spans="2:86" s="4" customFormat="1" x14ac:dyDescent="0.25">
      <c r="B29" s="4" t="s">
        <v>54</v>
      </c>
      <c r="G29" s="29">
        <f t="shared" ref="G29:N29" si="98">G12/C12-1</f>
        <v>0.1060308493501334</v>
      </c>
      <c r="H29" s="29">
        <f t="shared" si="98"/>
        <v>1.9699195793380753E-2</v>
      </c>
      <c r="I29" s="29">
        <f t="shared" si="98"/>
        <v>7.0846839546191198E-2</v>
      </c>
      <c r="J29" s="29">
        <f t="shared" si="98"/>
        <v>8.3370288248336921E-2</v>
      </c>
      <c r="K29" s="29">
        <f t="shared" si="98"/>
        <v>0.12758868361198683</v>
      </c>
      <c r="L29" s="29">
        <f t="shared" si="98"/>
        <v>0.17580146738203117</v>
      </c>
      <c r="M29" s="29">
        <f t="shared" si="98"/>
        <v>0.17028964943148495</v>
      </c>
      <c r="N29" s="29">
        <f t="shared" si="98"/>
        <v>0.15195144957198026</v>
      </c>
      <c r="O29" s="29">
        <f>O12/K12-1</f>
        <v>0.16044729904276589</v>
      </c>
      <c r="S29" s="29">
        <f t="shared" ref="S29:V29" si="99">S12/R12-1</f>
        <v>0.14029539688292858</v>
      </c>
      <c r="T29" s="29">
        <f t="shared" si="99"/>
        <v>0.13645574247276371</v>
      </c>
      <c r="U29" s="29">
        <f t="shared" si="99"/>
        <v>0.17531727441177503</v>
      </c>
      <c r="V29" s="29">
        <f t="shared" si="99"/>
        <v>0.17956070629670173</v>
      </c>
      <c r="W29" s="29">
        <f>W12/V12-1</f>
        <v>6.8820295556564215E-2</v>
      </c>
      <c r="X29" s="29">
        <f>X12/W12-1</f>
        <v>0.1566996201307127</v>
      </c>
    </row>
    <row r="30" spans="2:86" s="4" customFormat="1" x14ac:dyDescent="0.25">
      <c r="B30" s="4" t="s">
        <v>55</v>
      </c>
      <c r="G30" s="29">
        <f t="shared" ref="G30:N30" si="100">G6/C6-1</f>
        <v>9.4820134317441296E-2</v>
      </c>
      <c r="H30" s="29">
        <f t="shared" si="100"/>
        <v>6.6892570281124497E-2</v>
      </c>
      <c r="I30" s="29">
        <f t="shared" si="100"/>
        <v>0.10937994806510853</v>
      </c>
      <c r="J30" s="29">
        <f t="shared" si="100"/>
        <v>0.10186746987951811</v>
      </c>
      <c r="K30" s="29">
        <f t="shared" si="100"/>
        <v>0.5320983905253569</v>
      </c>
      <c r="L30" s="29">
        <f t="shared" si="100"/>
        <v>0.13216092224444176</v>
      </c>
      <c r="M30" s="29">
        <f t="shared" si="100"/>
        <v>0.11726421557433198</v>
      </c>
      <c r="N30" s="29">
        <f t="shared" si="100"/>
        <v>0.1107648570335138</v>
      </c>
      <c r="O30" s="29">
        <f>O6/K6-1</f>
        <v>0.12253230793625614</v>
      </c>
      <c r="AF30" t="s">
        <v>100</v>
      </c>
      <c r="AG30" s="30">
        <v>0.03</v>
      </c>
    </row>
    <row r="31" spans="2:86" s="4" customFormat="1" x14ac:dyDescent="0.25">
      <c r="B31" s="4" t="s">
        <v>56</v>
      </c>
      <c r="G31" s="29">
        <f t="shared" ref="G31:N31" si="101">G7/C7-1</f>
        <v>0.20180936613055822</v>
      </c>
      <c r="H31" s="29">
        <f t="shared" si="101"/>
        <v>0.17356905112675292</v>
      </c>
      <c r="I31" s="29">
        <f t="shared" si="101"/>
        <v>0.15904676919846716</v>
      </c>
      <c r="J31" s="29">
        <f t="shared" si="101"/>
        <v>0.14749629346214554</v>
      </c>
      <c r="K31" s="29">
        <f t="shared" si="101"/>
        <v>-1.5350553505535047E-2</v>
      </c>
      <c r="L31" s="29">
        <f t="shared" si="101"/>
        <v>0.20327320066951837</v>
      </c>
      <c r="M31" s="29">
        <f t="shared" si="101"/>
        <v>0.20954666908201625</v>
      </c>
      <c r="N31" s="29">
        <f t="shared" si="101"/>
        <v>0.1884716375609552</v>
      </c>
      <c r="O31" s="29">
        <f>O7/K7-1</f>
        <v>0.20381751861290165</v>
      </c>
      <c r="AF31" t="s">
        <v>98</v>
      </c>
      <c r="AG31" s="30">
        <v>7.0000000000000007E-2</v>
      </c>
      <c r="AI31" s="4" t="s">
        <v>106</v>
      </c>
    </row>
    <row r="32" spans="2:86" s="4" customFormat="1" x14ac:dyDescent="0.25">
      <c r="B32" s="4" t="s">
        <v>97</v>
      </c>
      <c r="G32" s="29">
        <f t="shared" ref="G32:N32" si="102">G8/C8-1</f>
        <v>-2.5437677689660321E-3</v>
      </c>
      <c r="H32" s="29">
        <f t="shared" si="102"/>
        <v>-1.5762184583477334E-2</v>
      </c>
      <c r="I32" s="29">
        <f t="shared" si="102"/>
        <v>-8.6776859504132275E-2</v>
      </c>
      <c r="J32" s="29">
        <f t="shared" si="102"/>
        <v>-3.1415436054611279E-2</v>
      </c>
      <c r="K32" s="29">
        <f t="shared" si="102"/>
        <v>-0.15406540654065404</v>
      </c>
      <c r="L32" s="29">
        <f t="shared" si="102"/>
        <v>0.1864156774601391</v>
      </c>
      <c r="M32" s="29">
        <f t="shared" si="102"/>
        <v>0.17496229260935148</v>
      </c>
      <c r="N32" s="29">
        <f t="shared" si="102"/>
        <v>0.14311398777418205</v>
      </c>
      <c r="O32" s="29">
        <f>O8/K8-1</f>
        <v>0.16829225039900697</v>
      </c>
      <c r="AF32" s="4" t="s">
        <v>99</v>
      </c>
      <c r="AG32" s="35">
        <f>NPV(AG31,X25:CH25)+X42</f>
        <v>3443974.7869522148</v>
      </c>
    </row>
    <row r="33" spans="2:43" customFormat="1" x14ac:dyDescent="0.25">
      <c r="B33" t="s">
        <v>21</v>
      </c>
      <c r="C33" s="28">
        <f t="shared" ref="C33:AD33" si="103">C16/C12</f>
        <v>0.6988768012004325</v>
      </c>
      <c r="D33" s="28">
        <f t="shared" si="103"/>
        <v>0.67213114754098358</v>
      </c>
      <c r="E33" s="28">
        <f t="shared" si="103"/>
        <v>0.68365072933549431</v>
      </c>
      <c r="F33" s="28">
        <f t="shared" si="103"/>
        <v>0.68323532247180174</v>
      </c>
      <c r="G33" s="28">
        <f t="shared" si="103"/>
        <v>0.69171222217788597</v>
      </c>
      <c r="H33" s="28">
        <f t="shared" si="103"/>
        <v>0.66845507801391546</v>
      </c>
      <c r="I33" s="28">
        <f t="shared" si="103"/>
        <v>0.69487485101311086</v>
      </c>
      <c r="J33" s="28">
        <f t="shared" si="103"/>
        <v>0.70109807969531401</v>
      </c>
      <c r="K33" s="28">
        <f t="shared" si="103"/>
        <v>0.71261744253941295</v>
      </c>
      <c r="L33" s="28">
        <f t="shared" si="103"/>
        <v>0.68360206385037081</v>
      </c>
      <c r="M33" s="28">
        <f t="shared" si="103"/>
        <v>0.70084710142584628</v>
      </c>
      <c r="N33" s="28">
        <f t="shared" si="103"/>
        <v>0.69589197707293715</v>
      </c>
      <c r="O33" s="28">
        <f t="shared" si="103"/>
        <v>0.69354273080734929</v>
      </c>
      <c r="P33" s="28"/>
      <c r="Q33" s="28"/>
      <c r="R33" s="28">
        <f t="shared" ref="R33:U33" si="104">R16/R12</f>
        <v>0.65247372236317502</v>
      </c>
      <c r="S33" s="28">
        <f t="shared" si="104"/>
        <v>0.65901957200638894</v>
      </c>
      <c r="T33" s="28">
        <f t="shared" si="104"/>
        <v>0.67781001992797962</v>
      </c>
      <c r="U33" s="28">
        <f t="shared" si="104"/>
        <v>0.68925800771024703</v>
      </c>
      <c r="V33" s="28">
        <f t="shared" si="103"/>
        <v>0.68401674484289099</v>
      </c>
      <c r="W33" s="28">
        <f t="shared" si="103"/>
        <v>0.68920085883491022</v>
      </c>
      <c r="X33" s="28">
        <f>X16/X12</f>
        <v>0.69764443827971379</v>
      </c>
      <c r="Y33" s="28">
        <f t="shared" si="103"/>
        <v>0.68998649889152053</v>
      </c>
      <c r="Z33" s="28">
        <f t="shared" si="103"/>
        <v>0.68887590187384462</v>
      </c>
      <c r="AA33" s="28">
        <f t="shared" si="103"/>
        <v>0.68780870479595468</v>
      </c>
      <c r="AB33" s="28">
        <f t="shared" si="103"/>
        <v>0.68678527536894374</v>
      </c>
      <c r="AC33" s="28">
        <f t="shared" si="103"/>
        <v>0.68580571283514824</v>
      </c>
      <c r="AD33" s="28">
        <f t="shared" si="103"/>
        <v>0.68486986906563518</v>
      </c>
      <c r="AF33" t="s">
        <v>103</v>
      </c>
      <c r="AG33" s="31">
        <v>0.01</v>
      </c>
    </row>
    <row r="34" spans="2:43" customFormat="1" x14ac:dyDescent="0.25">
      <c r="B34" t="s">
        <v>52</v>
      </c>
      <c r="C34" s="28">
        <f t="shared" ref="C34:AD34" si="105">C21/C12</f>
        <v>0.44658737339188381</v>
      </c>
      <c r="D34" s="28">
        <f t="shared" si="105"/>
        <v>0.43007655428394681</v>
      </c>
      <c r="E34" s="28">
        <f t="shared" si="105"/>
        <v>0.41256077795786061</v>
      </c>
      <c r="F34" s="28">
        <f t="shared" si="105"/>
        <v>0.3959124650535043</v>
      </c>
      <c r="G34" s="28">
        <f t="shared" si="105"/>
        <v>0.42931247755476637</v>
      </c>
      <c r="H34" s="28">
        <f t="shared" si="105"/>
        <v>0.3867328947617874</v>
      </c>
      <c r="I34" s="28">
        <f t="shared" si="105"/>
        <v>0.42287681858599618</v>
      </c>
      <c r="J34" s="28">
        <f t="shared" si="105"/>
        <v>0.4316503230169606</v>
      </c>
      <c r="K34" s="28">
        <f t="shared" si="105"/>
        <v>0.47693614310738364</v>
      </c>
      <c r="L34" s="28">
        <f t="shared" si="105"/>
        <v>0.43585940019348596</v>
      </c>
      <c r="M34" s="28">
        <f t="shared" si="105"/>
        <v>0.44587603866921011</v>
      </c>
      <c r="N34" s="28">
        <f t="shared" si="105"/>
        <v>0.43142737960974553</v>
      </c>
      <c r="O34" s="28">
        <f t="shared" si="105"/>
        <v>0.46583822520393381</v>
      </c>
      <c r="P34" s="28"/>
      <c r="Q34" s="28"/>
      <c r="R34" s="28">
        <f t="shared" ref="R34:U34" si="106">R21/R12</f>
        <v>0.31766944545125048</v>
      </c>
      <c r="S34" s="28">
        <f t="shared" si="106"/>
        <v>0.3413698020549415</v>
      </c>
      <c r="T34" s="28">
        <f t="shared" si="106"/>
        <v>0.37030381428521486</v>
      </c>
      <c r="U34" s="28">
        <f t="shared" si="106"/>
        <v>0.41594878872971303</v>
      </c>
      <c r="V34" s="28">
        <f t="shared" si="105"/>
        <v>0.4205527815604983</v>
      </c>
      <c r="W34" s="28">
        <f t="shared" si="105"/>
        <v>0.41772880636104098</v>
      </c>
      <c r="X34" s="28">
        <f t="shared" si="105"/>
        <v>0.44644299573273716</v>
      </c>
      <c r="Y34" s="28">
        <f t="shared" si="105"/>
        <v>0.44831208161651498</v>
      </c>
      <c r="Z34" s="28">
        <f t="shared" si="105"/>
        <v>0.45659483731039102</v>
      </c>
      <c r="AA34" s="28">
        <f t="shared" si="105"/>
        <v>0.46476533368012363</v>
      </c>
      <c r="AB34" s="28">
        <f t="shared" si="105"/>
        <v>0.47280426727317409</v>
      </c>
      <c r="AC34" s="28">
        <f t="shared" si="105"/>
        <v>0.48069439094743532</v>
      </c>
      <c r="AD34" s="28">
        <f t="shared" si="105"/>
        <v>0.48842051027187322</v>
      </c>
    </row>
    <row r="35" spans="2:43" customFormat="1" x14ac:dyDescent="0.25">
      <c r="B35" t="s">
        <v>53</v>
      </c>
      <c r="C35" s="28">
        <f t="shared" ref="C35:AD35" si="107">C24/C23</f>
        <v>9.2574546871954783E-4</v>
      </c>
      <c r="D35" s="28">
        <f t="shared" si="107"/>
        <v>0.16655562958027981</v>
      </c>
      <c r="E35" s="28">
        <f t="shared" si="107"/>
        <v>0.17147102526002972</v>
      </c>
      <c r="F35" s="28">
        <f t="shared" si="107"/>
        <v>0.18289647093278666</v>
      </c>
      <c r="G35" s="28">
        <f t="shared" si="107"/>
        <v>0.18616725384758021</v>
      </c>
      <c r="H35" s="28">
        <f t="shared" si="107"/>
        <v>0.19243817296818919</v>
      </c>
      <c r="I35" s="28">
        <f t="shared" si="107"/>
        <v>0.19291668504388479</v>
      </c>
      <c r="J35" s="28">
        <f t="shared" si="107"/>
        <v>0.18789177821814212</v>
      </c>
      <c r="K35" s="28">
        <f t="shared" si="107"/>
        <v>0.18259947337624341</v>
      </c>
      <c r="L35" s="28">
        <f t="shared" si="107"/>
        <v>0.17552589911784663</v>
      </c>
      <c r="M35" s="28">
        <f t="shared" si="107"/>
        <v>0.17914468514984846</v>
      </c>
      <c r="N35" s="28">
        <f t="shared" si="107"/>
        <v>0.1913394495412844</v>
      </c>
      <c r="O35" s="28">
        <f t="shared" si="107"/>
        <v>0.18507383791998414</v>
      </c>
      <c r="P35" s="28"/>
      <c r="Q35" s="28"/>
      <c r="R35" s="28">
        <f t="shared" ref="R35:U35" si="108">R24/R23</f>
        <v>0.5456763722103416</v>
      </c>
      <c r="S35" s="28">
        <f t="shared" si="108"/>
        <v>0.10181285478850027</v>
      </c>
      <c r="T35" s="28">
        <f t="shared" si="108"/>
        <v>0.16507655177615205</v>
      </c>
      <c r="U35" s="28">
        <f t="shared" si="108"/>
        <v>0.13826615285083402</v>
      </c>
      <c r="V35" s="28">
        <f t="shared" si="107"/>
        <v>0.13113383343685794</v>
      </c>
      <c r="W35" s="28">
        <f t="shared" si="107"/>
        <v>0.18978625253328257</v>
      </c>
      <c r="X35" s="28">
        <f t="shared" si="107"/>
        <v>0.18231326597827197</v>
      </c>
      <c r="Y35" s="28">
        <f t="shared" si="107"/>
        <v>0.15</v>
      </c>
      <c r="Z35" s="28">
        <f t="shared" si="107"/>
        <v>0.15</v>
      </c>
      <c r="AA35" s="28">
        <f t="shared" si="107"/>
        <v>0.15</v>
      </c>
      <c r="AB35" s="28">
        <f t="shared" si="107"/>
        <v>0.15</v>
      </c>
      <c r="AC35" s="28">
        <f t="shared" si="107"/>
        <v>0.15</v>
      </c>
      <c r="AD35" s="28">
        <f t="shared" si="107"/>
        <v>0.15</v>
      </c>
      <c r="AF35" t="s">
        <v>104</v>
      </c>
      <c r="AG35" s="36">
        <f>AG32/AD27</f>
        <v>461.1025287123062</v>
      </c>
    </row>
    <row r="36" spans="2:43" s="11" customFormat="1" x14ac:dyDescent="0.25">
      <c r="B36" s="9" t="s">
        <v>101</v>
      </c>
      <c r="C36" s="28">
        <f>C13/C10</f>
        <v>0.22800793698514821</v>
      </c>
      <c r="D36" s="28">
        <f t="shared" ref="D36:Y36" si="109">D13/D10</f>
        <v>0.30468261225275517</v>
      </c>
      <c r="E36" s="28">
        <f t="shared" si="109"/>
        <v>0.26396406771853048</v>
      </c>
      <c r="F36" s="28">
        <f t="shared" si="109"/>
        <v>0.24264869681443529</v>
      </c>
      <c r="G36" s="28">
        <f t="shared" si="109"/>
        <v>0.27329902801600914</v>
      </c>
      <c r="H36" s="28">
        <f t="shared" si="109"/>
        <v>0.34449355209783861</v>
      </c>
      <c r="I36" s="28">
        <f t="shared" si="109"/>
        <v>0.25282268411598663</v>
      </c>
      <c r="J36" s="28">
        <f t="shared" si="109"/>
        <v>0.22969204295971044</v>
      </c>
      <c r="K36" s="28">
        <f t="shared" si="109"/>
        <v>0.22729320888316704</v>
      </c>
      <c r="L36" s="28">
        <f t="shared" si="109"/>
        <v>0.31487249881210072</v>
      </c>
      <c r="M36" s="28">
        <f t="shared" si="109"/>
        <v>0.25403981264637004</v>
      </c>
      <c r="N36" s="28">
        <f t="shared" si="109"/>
        <v>0.10879927366270711</v>
      </c>
      <c r="O36" s="28">
        <f t="shared" si="109"/>
        <v>0.21568884232582505</v>
      </c>
      <c r="P36" s="28"/>
      <c r="Q36" s="28"/>
      <c r="R36" s="28">
        <f t="shared" ref="R36:U36" si="110">R13/R10</f>
        <v>0.23908088748313874</v>
      </c>
      <c r="S36" s="28">
        <f t="shared" si="110"/>
        <v>0.24630310735745964</v>
      </c>
      <c r="T36" s="28">
        <f t="shared" si="110"/>
        <v>0.23540218397730781</v>
      </c>
      <c r="U36" s="28">
        <f t="shared" si="110"/>
        <v>0.25633846413597094</v>
      </c>
      <c r="V36" s="28">
        <f t="shared" si="109"/>
        <v>0.26211296265742728</v>
      </c>
      <c r="W36" s="28">
        <f t="shared" si="109"/>
        <v>0.27518199663055071</v>
      </c>
      <c r="X36" s="28">
        <f t="shared" si="109"/>
        <v>0.23577725286770723</v>
      </c>
      <c r="Y36" s="28">
        <f t="shared" si="109"/>
        <v>0.25</v>
      </c>
    </row>
    <row r="37" spans="2:43" s="11" customFormat="1" x14ac:dyDescent="0.25">
      <c r="B37" s="9" t="s">
        <v>102</v>
      </c>
      <c r="C37" s="28">
        <f>C14/C11</f>
        <v>0.34351251481558948</v>
      </c>
      <c r="D37" s="28">
        <f t="shared" ref="D37:Y37" si="111">D14/D11</f>
        <v>0.34343597531422665</v>
      </c>
      <c r="E37" s="28">
        <f t="shared" si="111"/>
        <v>0.34478339688691628</v>
      </c>
      <c r="F37" s="28">
        <f t="shared" si="111"/>
        <v>0.35601167831549146</v>
      </c>
      <c r="G37" s="28">
        <f t="shared" si="111"/>
        <v>0.32430703004566475</v>
      </c>
      <c r="H37" s="28">
        <f t="shared" si="111"/>
        <v>0.32564173337013524</v>
      </c>
      <c r="I37" s="28">
        <f t="shared" si="111"/>
        <v>0.32700099278220507</v>
      </c>
      <c r="J37" s="28">
        <f t="shared" si="111"/>
        <v>0.32855399633923121</v>
      </c>
      <c r="K37" s="28">
        <f t="shared" si="111"/>
        <v>0.31016055829388511</v>
      </c>
      <c r="L37" s="28">
        <f t="shared" si="111"/>
        <v>0.31706864133336427</v>
      </c>
      <c r="M37" s="28">
        <f t="shared" si="111"/>
        <v>0.31636071285006029</v>
      </c>
      <c r="N37" s="28">
        <f t="shared" si="111"/>
        <v>0.35422248107163656</v>
      </c>
      <c r="O37" s="28">
        <f t="shared" si="111"/>
        <v>0.33400910301512532</v>
      </c>
      <c r="P37" s="28"/>
      <c r="Q37" s="28"/>
      <c r="R37" s="28">
        <f t="shared" ref="R37:U37" si="112">R14/R11</f>
        <v>0.5000327061029588</v>
      </c>
      <c r="S37" s="28">
        <f t="shared" si="112"/>
        <v>0.44562853414528053</v>
      </c>
      <c r="T37" s="28">
        <f t="shared" si="112"/>
        <v>0.40095233014111559</v>
      </c>
      <c r="U37" s="28">
        <f t="shared" si="112"/>
        <v>0.35059888263549593</v>
      </c>
      <c r="V37" s="28">
        <f t="shared" si="111"/>
        <v>0.34719367840813142</v>
      </c>
      <c r="W37" s="28">
        <f t="shared" si="111"/>
        <v>0.3264522877948049</v>
      </c>
      <c r="X37" s="28">
        <f t="shared" si="111"/>
        <v>0.32626740375605079</v>
      </c>
      <c r="Y37" s="28">
        <f t="shared" si="111"/>
        <v>0.33</v>
      </c>
      <c r="AF37" s="11" t="s">
        <v>105</v>
      </c>
      <c r="AG37" s="32">
        <v>422.54</v>
      </c>
      <c r="AH37" s="37">
        <v>45606</v>
      </c>
    </row>
    <row r="38" spans="2:43" s="11" customFormat="1" x14ac:dyDescent="0.25">
      <c r="B38" s="9"/>
      <c r="R38" s="28" t="s">
        <v>22</v>
      </c>
      <c r="S38" s="28">
        <f>S17/R17-1</f>
        <v>0.14600027162841234</v>
      </c>
      <c r="T38" s="28">
        <f t="shared" ref="T38:U38" si="113">T17/S17-1</f>
        <v>0.14179900450343674</v>
      </c>
      <c r="U38" s="28">
        <f t="shared" si="113"/>
        <v>7.5094711713114437E-2</v>
      </c>
      <c r="V38" s="28">
        <f t="shared" ref="V38:X40" si="114">V17/U17-1</f>
        <v>0.1832400077234988</v>
      </c>
      <c r="W38" s="28">
        <f t="shared" si="114"/>
        <v>0.10945659268929497</v>
      </c>
      <c r="X38" s="28">
        <f t="shared" si="114"/>
        <v>8.5125942268799326E-2</v>
      </c>
      <c r="Y38" s="28">
        <v>1.03</v>
      </c>
      <c r="Z38" s="28"/>
      <c r="AA38" s="28"/>
      <c r="AB38" s="28"/>
      <c r="AC38" s="28"/>
      <c r="AD38" s="28"/>
    </row>
    <row r="39" spans="2:43" s="11" customFormat="1" x14ac:dyDescent="0.25">
      <c r="B39" s="9"/>
      <c r="R39" s="28" t="s">
        <v>23</v>
      </c>
      <c r="S39" s="28">
        <f>S18/R18-1</f>
        <v>4.2589730379529511E-2</v>
      </c>
      <c r="T39" s="28">
        <f>T18/S18-1</f>
        <v>7.604458353923027E-2</v>
      </c>
      <c r="U39" s="28">
        <f>U18/T18-1</f>
        <v>2.6482294111644045E-2</v>
      </c>
      <c r="V39" s="28">
        <f t="shared" si="114"/>
        <v>8.4903315603718221E-2</v>
      </c>
      <c r="W39" s="28">
        <f t="shared" si="114"/>
        <v>4.2794959908361907E-2</v>
      </c>
      <c r="X39" s="28">
        <f t="shared" si="114"/>
        <v>7.4563908783338517E-2</v>
      </c>
      <c r="Y39" s="28">
        <v>1.05</v>
      </c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</row>
    <row r="40" spans="2:43" s="11" customFormat="1" x14ac:dyDescent="0.25">
      <c r="B40" s="9"/>
      <c r="R40" s="28" t="s">
        <v>24</v>
      </c>
      <c r="S40" s="28">
        <f>S19/R19-1</f>
        <v>2.7555742532604066E-2</v>
      </c>
      <c r="T40" s="28">
        <f>T19/S19-1</f>
        <v>4.6264073694984642E-2</v>
      </c>
      <c r="U40" s="28">
        <f>U19/T19-1</f>
        <v>-7.8262570925458075E-4</v>
      </c>
      <c r="V40" s="28">
        <f t="shared" si="114"/>
        <v>0.15527707068729191</v>
      </c>
      <c r="W40" s="28">
        <f t="shared" si="114"/>
        <v>0.28389830508474567</v>
      </c>
      <c r="X40" s="28">
        <f t="shared" si="114"/>
        <v>4.4884488448844184E-3</v>
      </c>
      <c r="Y40" s="28">
        <v>1.03</v>
      </c>
      <c r="Z40" s="28"/>
      <c r="AA40" s="28"/>
      <c r="AB40" s="28"/>
      <c r="AC40" s="28"/>
      <c r="AD40" s="28"/>
      <c r="AF40" s="2"/>
    </row>
    <row r="41" spans="2:43" x14ac:dyDescent="0.25">
      <c r="B41" s="4" t="s">
        <v>67</v>
      </c>
      <c r="O41" s="11"/>
      <c r="P41" s="11"/>
      <c r="Q41" s="11"/>
    </row>
    <row r="42" spans="2:43" x14ac:dyDescent="0.25">
      <c r="B42" s="2" t="s">
        <v>57</v>
      </c>
      <c r="N42" s="11">
        <f>N43-N56</f>
        <v>38513</v>
      </c>
      <c r="O42" s="11">
        <f>O43-O56</f>
        <v>49089</v>
      </c>
      <c r="P42" s="11"/>
      <c r="Q42" s="11"/>
      <c r="X42" s="34">
        <f>N42</f>
        <v>38513</v>
      </c>
      <c r="Y42" s="34">
        <f>X42+Y25</f>
        <v>139613.97030000004</v>
      </c>
      <c r="Z42" s="34">
        <f t="shared" ref="Z42:AQ42" si="115">Y42+Z25</f>
        <v>251648.3552825501</v>
      </c>
      <c r="AA42" s="34">
        <f t="shared" si="115"/>
        <v>375771.91737420182</v>
      </c>
      <c r="AB42" s="34">
        <f t="shared" si="115"/>
        <v>513259.95375234704</v>
      </c>
      <c r="AC42" s="34">
        <f t="shared" si="115"/>
        <v>665519.45435093855</v>
      </c>
      <c r="AD42" s="34">
        <f t="shared" si="115"/>
        <v>834102.48552972416</v>
      </c>
      <c r="AE42" s="34">
        <f t="shared" si="115"/>
        <v>1020720.9224427243</v>
      </c>
      <c r="AF42" s="34">
        <f t="shared" si="115"/>
        <v>1227262.6654677393</v>
      </c>
      <c r="AG42" s="34">
        <f t="shared" si="115"/>
        <v>1440000.6607835046</v>
      </c>
      <c r="AH42" s="34">
        <f t="shared" si="115"/>
        <v>1659120.795958743</v>
      </c>
      <c r="AI42" s="34">
        <f t="shared" si="115"/>
        <v>1884814.5351892384</v>
      </c>
      <c r="AJ42" s="34">
        <f>AI42+AJ25</f>
        <v>2117279.0865966487</v>
      </c>
      <c r="AK42" s="34">
        <f t="shared" si="115"/>
        <v>2356717.5745462812</v>
      </c>
      <c r="AL42" s="34">
        <f t="shared" si="115"/>
        <v>2603339.2171344031</v>
      </c>
      <c r="AM42" s="34">
        <f t="shared" si="115"/>
        <v>2857359.5090001682</v>
      </c>
      <c r="AN42" s="34">
        <f>AM42+AN25</f>
        <v>3119000.4096219065</v>
      </c>
      <c r="AO42" s="34">
        <f>AN42+AO25</f>
        <v>3388490.5372622968</v>
      </c>
      <c r="AP42" s="34">
        <f t="shared" si="115"/>
        <v>3666065.3687318987</v>
      </c>
      <c r="AQ42" s="34">
        <f t="shared" si="115"/>
        <v>3951967.4451455888</v>
      </c>
    </row>
    <row r="43" spans="2:43" x14ac:dyDescent="0.25">
      <c r="B43" s="2" t="s">
        <v>1</v>
      </c>
      <c r="N43" s="11">
        <f>18315+57228+14600</f>
        <v>90143</v>
      </c>
      <c r="O43" s="11">
        <f>20840+57588+15778</f>
        <v>94206</v>
      </c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</row>
    <row r="44" spans="2:43" x14ac:dyDescent="0.25">
      <c r="B44" s="2" t="s">
        <v>58</v>
      </c>
      <c r="N44" s="11">
        <v>56924</v>
      </c>
      <c r="O44" s="11">
        <v>44148</v>
      </c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</row>
    <row r="45" spans="2:43" x14ac:dyDescent="0.25">
      <c r="B45" s="2" t="s">
        <v>59</v>
      </c>
      <c r="N45" s="11">
        <v>1246</v>
      </c>
      <c r="O45" s="11">
        <v>1626</v>
      </c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</row>
    <row r="46" spans="2:43" x14ac:dyDescent="0.25">
      <c r="B46" s="2" t="s">
        <v>60</v>
      </c>
      <c r="N46" s="11">
        <v>26021</v>
      </c>
      <c r="O46" s="11">
        <v>25724</v>
      </c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</row>
    <row r="47" spans="2:43" x14ac:dyDescent="0.25">
      <c r="B47" s="2" t="s">
        <v>61</v>
      </c>
      <c r="N47" s="33">
        <v>135591</v>
      </c>
      <c r="O47" s="11">
        <v>152863</v>
      </c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</row>
    <row r="48" spans="2:43" x14ac:dyDescent="0.25">
      <c r="B48" s="2" t="s">
        <v>62</v>
      </c>
      <c r="N48" s="33">
        <v>18961</v>
      </c>
      <c r="O48" s="11">
        <v>20528</v>
      </c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</row>
    <row r="49" spans="2:31" x14ac:dyDescent="0.25">
      <c r="B49" s="2" t="s">
        <v>63</v>
      </c>
      <c r="N49" s="33">
        <v>119220</v>
      </c>
      <c r="O49" s="11">
        <v>119374</v>
      </c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</row>
    <row r="50" spans="2:31" x14ac:dyDescent="0.25">
      <c r="B50" s="2" t="s">
        <v>64</v>
      </c>
      <c r="N50" s="33">
        <v>27597</v>
      </c>
      <c r="O50" s="11">
        <v>26751</v>
      </c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</row>
    <row r="51" spans="2:31" x14ac:dyDescent="0.25">
      <c r="B51" s="2" t="s">
        <v>65</v>
      </c>
      <c r="N51" s="33">
        <v>36460</v>
      </c>
      <c r="O51" s="11">
        <v>37793</v>
      </c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</row>
    <row r="52" spans="2:31" s="4" customFormat="1" x14ac:dyDescent="0.25">
      <c r="B52" s="4" t="s">
        <v>66</v>
      </c>
      <c r="N52" s="12">
        <f>SUM(N43:N51)</f>
        <v>512163</v>
      </c>
      <c r="O52" s="12">
        <f>SUM(O43:O51)</f>
        <v>523013</v>
      </c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</row>
    <row r="53" spans="2:31" x14ac:dyDescent="0.25"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</row>
    <row r="54" spans="2:31" x14ac:dyDescent="0.25">
      <c r="B54" s="4" t="s">
        <v>68</v>
      </c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</row>
    <row r="55" spans="2:31" x14ac:dyDescent="0.25">
      <c r="B55" s="2" t="s">
        <v>69</v>
      </c>
      <c r="N55" s="11">
        <v>21996</v>
      </c>
      <c r="O55" s="11">
        <v>22768</v>
      </c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</row>
    <row r="56" spans="2:31" x14ac:dyDescent="0.25">
      <c r="B56" s="2" t="s">
        <v>2</v>
      </c>
      <c r="N56" s="11">
        <f>6693+2249+42688</f>
        <v>51630</v>
      </c>
      <c r="O56" s="11">
        <f>0+2249+42868</f>
        <v>45117</v>
      </c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</row>
    <row r="57" spans="2:31" x14ac:dyDescent="0.25">
      <c r="B57" s="2" t="s">
        <v>70</v>
      </c>
      <c r="N57" s="11">
        <v>12564</v>
      </c>
      <c r="O57" s="11">
        <v>8326</v>
      </c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</row>
    <row r="58" spans="2:31" x14ac:dyDescent="0.25">
      <c r="B58" s="2" t="s">
        <v>29</v>
      </c>
      <c r="N58" s="11">
        <f>5107+27931+2618</f>
        <v>35656</v>
      </c>
      <c r="O58" s="11">
        <f>9171+24452</f>
        <v>33623</v>
      </c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</row>
    <row r="59" spans="2:31" x14ac:dyDescent="0.25">
      <c r="B59" s="2" t="s">
        <v>71</v>
      </c>
      <c r="N59" s="11">
        <f>57582+2602</f>
        <v>60184</v>
      </c>
      <c r="O59" s="11">
        <f>53026+2663</f>
        <v>55689</v>
      </c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</row>
    <row r="60" spans="2:31" x14ac:dyDescent="0.25">
      <c r="B60" s="2" t="s">
        <v>72</v>
      </c>
      <c r="N60" s="11">
        <v>19185</v>
      </c>
      <c r="O60" s="11">
        <v>19114</v>
      </c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</row>
    <row r="61" spans="2:31" x14ac:dyDescent="0.25">
      <c r="B61" s="2" t="s">
        <v>62</v>
      </c>
      <c r="N61" s="11">
        <v>15497</v>
      </c>
      <c r="O61" s="11">
        <v>16361</v>
      </c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</row>
    <row r="62" spans="2:31" x14ac:dyDescent="0.25">
      <c r="B62" s="2" t="s">
        <v>73</v>
      </c>
      <c r="N62" s="33">
        <v>27064</v>
      </c>
      <c r="O62" s="11">
        <v>31165</v>
      </c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</row>
    <row r="63" spans="2:31" x14ac:dyDescent="0.25">
      <c r="B63" s="4" t="s">
        <v>74</v>
      </c>
      <c r="N63" s="12">
        <f>SUM(N55:N62)</f>
        <v>243776</v>
      </c>
      <c r="O63" s="12">
        <f>SUM(O55:O62)</f>
        <v>232163</v>
      </c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</row>
    <row r="64" spans="2:31" x14ac:dyDescent="0.25"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</row>
    <row r="65" spans="2:31" x14ac:dyDescent="0.25">
      <c r="B65" s="4" t="s">
        <v>75</v>
      </c>
      <c r="N65" s="33">
        <v>268477</v>
      </c>
      <c r="O65" s="11">
        <v>287723</v>
      </c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</row>
    <row r="66" spans="2:31" x14ac:dyDescent="0.25">
      <c r="B66" s="4" t="s">
        <v>76</v>
      </c>
      <c r="N66" s="33">
        <v>512163</v>
      </c>
      <c r="O66" s="11">
        <v>523013</v>
      </c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</row>
    <row r="67" spans="2:31" x14ac:dyDescent="0.25"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</row>
    <row r="68" spans="2:31" x14ac:dyDescent="0.25"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</row>
    <row r="69" spans="2:31" x14ac:dyDescent="0.25"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</row>
    <row r="70" spans="2:31" x14ac:dyDescent="0.25"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</row>
    <row r="71" spans="2:31" x14ac:dyDescent="0.25"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</row>
    <row r="72" spans="2:31" x14ac:dyDescent="0.25"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</row>
    <row r="73" spans="2:31" x14ac:dyDescent="0.25"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</row>
    <row r="74" spans="2:31" x14ac:dyDescent="0.25"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</row>
    <row r="75" spans="2:31" x14ac:dyDescent="0.25"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</row>
    <row r="76" spans="2:31" x14ac:dyDescent="0.25"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</row>
    <row r="77" spans="2:31" x14ac:dyDescent="0.25"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</row>
    <row r="78" spans="2:31" x14ac:dyDescent="0.25"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</row>
    <row r="79" spans="2:31" x14ac:dyDescent="0.25"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</row>
    <row r="80" spans="2:31" x14ac:dyDescent="0.25"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</row>
    <row r="81" spans="15:31" x14ac:dyDescent="0.25"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</row>
    <row r="82" spans="15:31" x14ac:dyDescent="0.25"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</row>
    <row r="83" spans="15:31" x14ac:dyDescent="0.25"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</row>
    <row r="84" spans="15:31" x14ac:dyDescent="0.25"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</row>
    <row r="85" spans="15:31" x14ac:dyDescent="0.25"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</row>
    <row r="86" spans="15:31" x14ac:dyDescent="0.25"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</row>
    <row r="87" spans="15:31" x14ac:dyDescent="0.25"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</row>
    <row r="88" spans="15:31" x14ac:dyDescent="0.25"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</row>
    <row r="89" spans="15:31" x14ac:dyDescent="0.25"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</row>
    <row r="90" spans="15:31" x14ac:dyDescent="0.25"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</row>
    <row r="91" spans="15:31" x14ac:dyDescent="0.25"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</row>
    <row r="92" spans="15:31" x14ac:dyDescent="0.25"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</row>
    <row r="93" spans="15:31" x14ac:dyDescent="0.25"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</row>
    <row r="94" spans="15:31" x14ac:dyDescent="0.25"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</row>
    <row r="95" spans="15:31" x14ac:dyDescent="0.25"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</row>
    <row r="96" spans="15:31" x14ac:dyDescent="0.25"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</row>
    <row r="97" spans="15:31" x14ac:dyDescent="0.25"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</row>
    <row r="98" spans="15:31" x14ac:dyDescent="0.25"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</row>
    <row r="99" spans="15:31" x14ac:dyDescent="0.25"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</row>
    <row r="100" spans="15:31" x14ac:dyDescent="0.25"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</row>
    <row r="101" spans="15:31" x14ac:dyDescent="0.25"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</row>
    <row r="102" spans="15:31" x14ac:dyDescent="0.25"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</row>
    <row r="103" spans="15:31" x14ac:dyDescent="0.25"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</row>
    <row r="104" spans="15:31" x14ac:dyDescent="0.25"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</row>
    <row r="105" spans="15:31" x14ac:dyDescent="0.25"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</row>
    <row r="106" spans="15:31" x14ac:dyDescent="0.25"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</row>
    <row r="107" spans="15:31" x14ac:dyDescent="0.25"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</row>
    <row r="108" spans="15:31" x14ac:dyDescent="0.25"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</row>
    <row r="109" spans="15:31" x14ac:dyDescent="0.25"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</row>
    <row r="110" spans="15:31" x14ac:dyDescent="0.25"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</row>
    <row r="111" spans="15:31" x14ac:dyDescent="0.25"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</row>
    <row r="112" spans="15:31" x14ac:dyDescent="0.25"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</row>
    <row r="113" spans="15:31" x14ac:dyDescent="0.25"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</row>
    <row r="114" spans="15:31" x14ac:dyDescent="0.25"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</row>
    <row r="115" spans="15:31" x14ac:dyDescent="0.25"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</row>
    <row r="116" spans="15:31" x14ac:dyDescent="0.25"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</row>
    <row r="117" spans="15:31" x14ac:dyDescent="0.25"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</row>
    <row r="118" spans="15:31" x14ac:dyDescent="0.25"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</row>
    <row r="119" spans="15:31" x14ac:dyDescent="0.25"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</row>
    <row r="120" spans="15:31" x14ac:dyDescent="0.25"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</row>
    <row r="121" spans="15:31" x14ac:dyDescent="0.25"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</row>
    <row r="122" spans="15:31" x14ac:dyDescent="0.25"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</row>
    <row r="123" spans="15:31" x14ac:dyDescent="0.25"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</row>
    <row r="124" spans="15:31" x14ac:dyDescent="0.25"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</row>
    <row r="125" spans="15:31" x14ac:dyDescent="0.25"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</row>
    <row r="126" spans="15:31" x14ac:dyDescent="0.25"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</row>
    <row r="127" spans="15:31" x14ac:dyDescent="0.25"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</row>
    <row r="128" spans="15:31" x14ac:dyDescent="0.25"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</row>
    <row r="129" spans="15:31" x14ac:dyDescent="0.25"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</row>
    <row r="130" spans="15:31" x14ac:dyDescent="0.25"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</row>
    <row r="131" spans="15:31" x14ac:dyDescent="0.25"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</row>
    <row r="132" spans="15:31" x14ac:dyDescent="0.25"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</row>
    <row r="133" spans="15:31" x14ac:dyDescent="0.25"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</row>
    <row r="134" spans="15:31" x14ac:dyDescent="0.25"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</row>
    <row r="135" spans="15:31" x14ac:dyDescent="0.25"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</row>
    <row r="136" spans="15:31" x14ac:dyDescent="0.25"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</row>
    <row r="137" spans="15:31" x14ac:dyDescent="0.25"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</row>
    <row r="138" spans="15:31" x14ac:dyDescent="0.25"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</row>
    <row r="139" spans="15:31" x14ac:dyDescent="0.25"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</row>
    <row r="140" spans="15:31" x14ac:dyDescent="0.25"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</row>
    <row r="141" spans="15:31" x14ac:dyDescent="0.25"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</row>
    <row r="142" spans="15:31" x14ac:dyDescent="0.25"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</row>
    <row r="143" spans="15:31" x14ac:dyDescent="0.25"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</row>
  </sheetData>
  <hyperlinks>
    <hyperlink ref="A1" location="Main!A1" display="Main" xr:uid="{C15517D0-B047-4D68-AFF4-5061821EF9D0}"/>
  </hyperlink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Munoz</dc:creator>
  <cp:lastModifiedBy>Adrian Munoz</cp:lastModifiedBy>
  <dcterms:created xsi:type="dcterms:W3CDTF">2015-06-05T18:17:20Z</dcterms:created>
  <dcterms:modified xsi:type="dcterms:W3CDTF">2024-11-11T01:41:55Z</dcterms:modified>
</cp:coreProperties>
</file>