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imri\OneDrive\Desktop\My Stock Models\"/>
    </mc:Choice>
  </mc:AlternateContent>
  <xr:revisionPtr revIDLastSave="0" documentId="13_ncr:1_{60539853-9D79-44F6-B1E3-1B67467914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Warehouses" sheetId="7" r:id="rId3"/>
    <sheet name="Card Renewa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2" l="1"/>
  <c r="W11" i="2"/>
  <c r="X11" i="2" s="1"/>
  <c r="Y11" i="2" s="1"/>
  <c r="Z11" i="2" s="1"/>
  <c r="AA11" i="2" s="1"/>
  <c r="AB11" i="2" s="1"/>
  <c r="U11" i="2"/>
  <c r="V10" i="2"/>
  <c r="W10" i="2"/>
  <c r="X10" i="2"/>
  <c r="Y10" i="2" s="1"/>
  <c r="Z10" i="2" s="1"/>
  <c r="AA10" i="2" s="1"/>
  <c r="AB10" i="2" s="1"/>
  <c r="U10" i="2"/>
  <c r="V15" i="2"/>
  <c r="W15" i="2"/>
  <c r="X15" i="2"/>
  <c r="Y15" i="2"/>
  <c r="Z15" i="2" s="1"/>
  <c r="AA15" i="2" s="1"/>
  <c r="AB15" i="2" s="1"/>
  <c r="U15" i="2"/>
  <c r="P37" i="2"/>
  <c r="R37" i="2"/>
  <c r="S37" i="2"/>
  <c r="T37" i="2"/>
  <c r="Q37" i="2"/>
  <c r="U20" i="2"/>
  <c r="T36" i="2"/>
  <c r="D21" i="2"/>
  <c r="E21" i="2"/>
  <c r="F21" i="2"/>
  <c r="G21" i="2"/>
  <c r="H21" i="2"/>
  <c r="I21" i="2"/>
  <c r="J21" i="2"/>
  <c r="K21" i="2"/>
  <c r="L21" i="2"/>
  <c r="M21" i="2"/>
  <c r="N21" i="2"/>
  <c r="P21" i="2"/>
  <c r="Q21" i="2"/>
  <c r="R21" i="2"/>
  <c r="S21" i="2"/>
  <c r="T21" i="2"/>
  <c r="C21" i="2"/>
  <c r="D20" i="2"/>
  <c r="E20" i="2"/>
  <c r="F20" i="2"/>
  <c r="G20" i="2"/>
  <c r="H20" i="2"/>
  <c r="I20" i="2"/>
  <c r="J20" i="2"/>
  <c r="K20" i="2"/>
  <c r="L20" i="2"/>
  <c r="M20" i="2"/>
  <c r="N20" i="2"/>
  <c r="P20" i="2"/>
  <c r="Q20" i="2"/>
  <c r="R20" i="2"/>
  <c r="S20" i="2"/>
  <c r="T20" i="2"/>
  <c r="C20" i="2"/>
  <c r="U13" i="2" l="1"/>
  <c r="U37" i="2" s="1"/>
  <c r="T16" i="2" l="1"/>
  <c r="T17" i="2" s="1"/>
  <c r="T23" i="2" s="1"/>
  <c r="T14" i="2"/>
  <c r="T30" i="2" s="1"/>
  <c r="U29" i="2"/>
  <c r="Q29" i="2"/>
  <c r="R29" i="2"/>
  <c r="S29" i="2"/>
  <c r="Q28" i="2"/>
  <c r="R28" i="2"/>
  <c r="S28" i="2"/>
  <c r="T29" i="2"/>
  <c r="T28" i="2"/>
  <c r="P16" i="2"/>
  <c r="P17" i="2" s="1"/>
  <c r="P14" i="2"/>
  <c r="P30" i="2" s="1"/>
  <c r="Q16" i="2"/>
  <c r="Q17" i="2" s="1"/>
  <c r="R16" i="2"/>
  <c r="R17" i="2" s="1"/>
  <c r="R32" i="2" s="1"/>
  <c r="Q14" i="2"/>
  <c r="Q30" i="2" s="1"/>
  <c r="R14" i="2"/>
  <c r="R30" i="2" s="1"/>
  <c r="S16" i="2"/>
  <c r="S17" i="2" s="1"/>
  <c r="S14" i="2"/>
  <c r="S30" i="2" s="1"/>
  <c r="X4" i="2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V4" i="2"/>
  <c r="U4" i="2" s="1"/>
  <c r="T4" i="2" s="1"/>
  <c r="S4" i="2" s="1"/>
  <c r="R4" i="2" s="1"/>
  <c r="Q4" i="2" s="1"/>
  <c r="U16" i="2" l="1"/>
  <c r="P31" i="2"/>
  <c r="S23" i="2"/>
  <c r="U28" i="2"/>
  <c r="V13" i="2"/>
  <c r="V37" i="2" s="1"/>
  <c r="Q31" i="2"/>
  <c r="U12" i="2"/>
  <c r="U14" i="2" s="1"/>
  <c r="U30" i="2" s="1"/>
  <c r="R23" i="2"/>
  <c r="P32" i="2"/>
  <c r="S31" i="2"/>
  <c r="Q23" i="2"/>
  <c r="P23" i="2"/>
  <c r="P24" i="2" s="1"/>
  <c r="S32" i="2"/>
  <c r="Q32" i="2"/>
  <c r="R31" i="2"/>
  <c r="T31" i="2"/>
  <c r="U17" i="2" l="1"/>
  <c r="U21" i="2" s="1"/>
  <c r="U22" i="2" s="1"/>
  <c r="S24" i="2"/>
  <c r="S33" i="2"/>
  <c r="T33" i="2"/>
  <c r="U31" i="2"/>
  <c r="U32" i="2"/>
  <c r="Q24" i="2"/>
  <c r="Q33" i="2"/>
  <c r="V12" i="2"/>
  <c r="V16" i="2"/>
  <c r="W13" i="2"/>
  <c r="W37" i="2" s="1"/>
  <c r="V28" i="2"/>
  <c r="V29" i="2"/>
  <c r="R24" i="2"/>
  <c r="R33" i="2"/>
  <c r="U23" i="2"/>
  <c r="U36" i="2" s="1"/>
  <c r="V20" i="2" s="1"/>
  <c r="T24" i="2"/>
  <c r="T32" i="2"/>
  <c r="V17" i="2" l="1"/>
  <c r="V31" i="2" s="1"/>
  <c r="W29" i="2"/>
  <c r="W12" i="2"/>
  <c r="W16" i="2"/>
  <c r="W17" i="2" s="1"/>
  <c r="W28" i="2"/>
  <c r="X13" i="2"/>
  <c r="X37" i="2" s="1"/>
  <c r="V14" i="2"/>
  <c r="V30" i="2" s="1"/>
  <c r="U24" i="2"/>
  <c r="U33" i="2"/>
  <c r="V21" i="2" l="1"/>
  <c r="V22" i="2" s="1"/>
  <c r="V32" i="2" s="1"/>
  <c r="X16" i="2"/>
  <c r="X28" i="2"/>
  <c r="Y13" i="2"/>
  <c r="Y37" i="2" s="1"/>
  <c r="X12" i="2"/>
  <c r="W31" i="2"/>
  <c r="W14" i="2"/>
  <c r="W30" i="2" s="1"/>
  <c r="X29" i="2"/>
  <c r="V23" i="2"/>
  <c r="V36" i="2" s="1"/>
  <c r="L38" i="2"/>
  <c r="L36" i="2" s="1"/>
  <c r="K38" i="2"/>
  <c r="K45" i="2" s="1"/>
  <c r="C38" i="2"/>
  <c r="C36" i="2" s="1"/>
  <c r="D38" i="2"/>
  <c r="D45" i="2" s="1"/>
  <c r="E38" i="2"/>
  <c r="E36" i="2" s="1"/>
  <c r="G38" i="2"/>
  <c r="G36" i="2" s="1"/>
  <c r="H38" i="2"/>
  <c r="H36" i="2" s="1"/>
  <c r="I38" i="2"/>
  <c r="I45" i="2" s="1"/>
  <c r="F38" i="2"/>
  <c r="F36" i="2" s="1"/>
  <c r="J38" i="2"/>
  <c r="J45" i="2" s="1"/>
  <c r="N38" i="2"/>
  <c r="N45" i="2" s="1"/>
  <c r="N57" i="2"/>
  <c r="N36" i="2"/>
  <c r="C57" i="2"/>
  <c r="D57" i="2"/>
  <c r="E57" i="2"/>
  <c r="F57" i="2"/>
  <c r="G57" i="2"/>
  <c r="H57" i="2"/>
  <c r="J57" i="2"/>
  <c r="K57" i="2"/>
  <c r="L57" i="2"/>
  <c r="K36" i="2"/>
  <c r="W20" i="2" l="1"/>
  <c r="W21" i="2" s="1"/>
  <c r="Y29" i="2"/>
  <c r="X14" i="2"/>
  <c r="X30" i="2" s="1"/>
  <c r="X17" i="2"/>
  <c r="Y16" i="2"/>
  <c r="Z13" i="2"/>
  <c r="Z37" i="2" s="1"/>
  <c r="Y28" i="2"/>
  <c r="Y12" i="2"/>
  <c r="V24" i="2"/>
  <c r="V33" i="2"/>
  <c r="J36" i="2"/>
  <c r="F45" i="2"/>
  <c r="F59" i="2" s="1"/>
  <c r="F60" i="2" s="1"/>
  <c r="L45" i="2"/>
  <c r="L59" i="2" s="1"/>
  <c r="L60" i="2" s="1"/>
  <c r="K59" i="2"/>
  <c r="K60" i="2" s="1"/>
  <c r="C45" i="2"/>
  <c r="C59" i="2" s="1"/>
  <c r="C60" i="2" s="1"/>
  <c r="D59" i="2"/>
  <c r="D60" i="2" s="1"/>
  <c r="D36" i="2"/>
  <c r="E45" i="2"/>
  <c r="E59" i="2" s="1"/>
  <c r="E60" i="2" s="1"/>
  <c r="G45" i="2"/>
  <c r="G59" i="2" s="1"/>
  <c r="G60" i="2" s="1"/>
  <c r="H45" i="2"/>
  <c r="H59" i="2" s="1"/>
  <c r="H60" i="2" s="1"/>
  <c r="I36" i="2"/>
  <c r="J59" i="2"/>
  <c r="J60" i="2" s="1"/>
  <c r="N59" i="2"/>
  <c r="N60" i="2" s="1"/>
  <c r="W22" i="2" l="1"/>
  <c r="W32" i="2" s="1"/>
  <c r="W23" i="2"/>
  <c r="Y14" i="2"/>
  <c r="Y30" i="2" s="1"/>
  <c r="Y17" i="2"/>
  <c r="Z28" i="2"/>
  <c r="Z16" i="2"/>
  <c r="AA13" i="2"/>
  <c r="AA37" i="2" s="1"/>
  <c r="Z12" i="2"/>
  <c r="X31" i="2"/>
  <c r="Z29" i="2"/>
  <c r="I57" i="2"/>
  <c r="M57" i="2"/>
  <c r="M38" i="2"/>
  <c r="H11" i="1"/>
  <c r="N10" i="7"/>
  <c r="M10" i="7"/>
  <c r="L10" i="7"/>
  <c r="K10" i="7"/>
  <c r="J10" i="7"/>
  <c r="I10" i="7"/>
  <c r="H10" i="7"/>
  <c r="G10" i="7"/>
  <c r="F10" i="7"/>
  <c r="E10" i="7"/>
  <c r="D10" i="7"/>
  <c r="C10" i="7"/>
  <c r="W24" i="2" l="1"/>
  <c r="W36" i="2"/>
  <c r="W33" i="2"/>
  <c r="AB29" i="2"/>
  <c r="AA29" i="2"/>
  <c r="Z17" i="2"/>
  <c r="Z14" i="2"/>
  <c r="Z30" i="2" s="1"/>
  <c r="AB13" i="2"/>
  <c r="AB37" i="2" s="1"/>
  <c r="AA16" i="2"/>
  <c r="AA28" i="2"/>
  <c r="AA12" i="2"/>
  <c r="Y31" i="2"/>
  <c r="M45" i="2"/>
  <c r="M59" i="2" s="1"/>
  <c r="M60" i="2" s="1"/>
  <c r="M36" i="2"/>
  <c r="I59" i="2"/>
  <c r="I60" i="2" s="1"/>
  <c r="M13" i="7"/>
  <c r="N13" i="7"/>
  <c r="G13" i="7"/>
  <c r="H13" i="7"/>
  <c r="M12" i="7"/>
  <c r="I13" i="7"/>
  <c r="J13" i="7"/>
  <c r="K13" i="7"/>
  <c r="L13" i="7"/>
  <c r="N12" i="7"/>
  <c r="G12" i="7"/>
  <c r="H12" i="7"/>
  <c r="I12" i="7"/>
  <c r="J12" i="7"/>
  <c r="K12" i="7"/>
  <c r="L12" i="7"/>
  <c r="G29" i="2"/>
  <c r="H29" i="2"/>
  <c r="I29" i="2"/>
  <c r="J29" i="2"/>
  <c r="K29" i="2"/>
  <c r="L29" i="2"/>
  <c r="M29" i="2"/>
  <c r="N29" i="2"/>
  <c r="X20" i="2" l="1"/>
  <c r="X21" i="2" s="1"/>
  <c r="X22" i="2" s="1"/>
  <c r="AA14" i="2"/>
  <c r="AA30" i="2" s="1"/>
  <c r="AA17" i="2"/>
  <c r="AB16" i="2"/>
  <c r="AB28" i="2"/>
  <c r="AB12" i="2"/>
  <c r="Z31" i="2"/>
  <c r="N9" i="2"/>
  <c r="N8" i="2"/>
  <c r="N7" i="2"/>
  <c r="N6" i="2"/>
  <c r="J9" i="2"/>
  <c r="J8" i="2"/>
  <c r="J7" i="2"/>
  <c r="J6" i="2"/>
  <c r="F9" i="2"/>
  <c r="F8" i="2"/>
  <c r="F7" i="2"/>
  <c r="F6" i="2"/>
  <c r="D10" i="2"/>
  <c r="D14" i="2" s="1"/>
  <c r="D30" i="2" s="1"/>
  <c r="C10" i="2"/>
  <c r="C12" i="2" s="1"/>
  <c r="E10" i="2"/>
  <c r="E14" i="2" s="1"/>
  <c r="E30" i="2" s="1"/>
  <c r="C16" i="2"/>
  <c r="D16" i="2"/>
  <c r="E16" i="2"/>
  <c r="F16" i="2"/>
  <c r="G16" i="2"/>
  <c r="H16" i="2"/>
  <c r="G10" i="2"/>
  <c r="G14" i="2" s="1"/>
  <c r="G30" i="2" s="1"/>
  <c r="H10" i="2"/>
  <c r="K10" i="2"/>
  <c r="I10" i="2"/>
  <c r="L10" i="2"/>
  <c r="M10" i="2"/>
  <c r="X32" i="2" l="1"/>
  <c r="X23" i="2"/>
  <c r="AB14" i="2"/>
  <c r="AB30" i="2" s="1"/>
  <c r="AB17" i="2"/>
  <c r="AA31" i="2"/>
  <c r="K28" i="2"/>
  <c r="D12" i="2"/>
  <c r="D17" i="2" s="1"/>
  <c r="E12" i="2"/>
  <c r="E17" i="2" s="1"/>
  <c r="I28" i="2"/>
  <c r="H28" i="2"/>
  <c r="J10" i="2"/>
  <c r="J14" i="2" s="1"/>
  <c r="J30" i="2" s="1"/>
  <c r="N10" i="2"/>
  <c r="G28" i="2"/>
  <c r="C17" i="2"/>
  <c r="F10" i="2"/>
  <c r="F12" i="2" s="1"/>
  <c r="F17" i="2" s="1"/>
  <c r="C14" i="2"/>
  <c r="C30" i="2" s="1"/>
  <c r="L28" i="2"/>
  <c r="H12" i="2"/>
  <c r="H17" i="2" s="1"/>
  <c r="H14" i="2"/>
  <c r="H30" i="2" s="1"/>
  <c r="G12" i="2"/>
  <c r="G17" i="2" s="1"/>
  <c r="M28" i="2"/>
  <c r="I16" i="2"/>
  <c r="J16" i="2"/>
  <c r="K16" i="2"/>
  <c r="L16" i="2"/>
  <c r="I14" i="2"/>
  <c r="I30" i="2" s="1"/>
  <c r="K14" i="2"/>
  <c r="K30" i="2" s="1"/>
  <c r="L14" i="2"/>
  <c r="L30" i="2" s="1"/>
  <c r="I12" i="2"/>
  <c r="K12" i="2"/>
  <c r="L12" i="2"/>
  <c r="M14" i="2"/>
  <c r="M30" i="2" s="1"/>
  <c r="N16" i="2"/>
  <c r="M12" i="2"/>
  <c r="M16" i="2"/>
  <c r="X36" i="2" l="1"/>
  <c r="X33" i="2"/>
  <c r="X24" i="2"/>
  <c r="AB31" i="2"/>
  <c r="J12" i="2"/>
  <c r="J17" i="2" s="1"/>
  <c r="G31" i="2"/>
  <c r="H31" i="2"/>
  <c r="D32" i="2"/>
  <c r="D31" i="2"/>
  <c r="F32" i="2"/>
  <c r="F31" i="2"/>
  <c r="C31" i="2"/>
  <c r="N14" i="2"/>
  <c r="N30" i="2" s="1"/>
  <c r="N28" i="2"/>
  <c r="E31" i="2"/>
  <c r="N12" i="2"/>
  <c r="N17" i="2" s="1"/>
  <c r="J28" i="2"/>
  <c r="F14" i="2"/>
  <c r="F30" i="2" s="1"/>
  <c r="K17" i="2"/>
  <c r="L17" i="2"/>
  <c r="I17" i="2"/>
  <c r="M17" i="2"/>
  <c r="Y20" i="2" l="1"/>
  <c r="Y21" i="2" s="1"/>
  <c r="Y22" i="2" s="1"/>
  <c r="D23" i="2"/>
  <c r="D24" i="2" s="1"/>
  <c r="F23" i="2"/>
  <c r="F24" i="2" s="1"/>
  <c r="N31" i="2"/>
  <c r="E23" i="2"/>
  <c r="E24" i="2" s="1"/>
  <c r="E32" i="2"/>
  <c r="K31" i="2"/>
  <c r="C23" i="2"/>
  <c r="C24" i="2" s="1"/>
  <c r="C32" i="2"/>
  <c r="M31" i="2"/>
  <c r="L31" i="2"/>
  <c r="I31" i="2"/>
  <c r="H23" i="2"/>
  <c r="H24" i="2" s="1"/>
  <c r="H32" i="2"/>
  <c r="J31" i="2"/>
  <c r="G23" i="2"/>
  <c r="G24" i="2" s="1"/>
  <c r="G32" i="2"/>
  <c r="H6" i="1"/>
  <c r="H5" i="1"/>
  <c r="H8" i="1" s="1"/>
  <c r="Y32" i="2" l="1"/>
  <c r="Y23" i="2"/>
  <c r="J23" i="2"/>
  <c r="J24" i="2" s="1"/>
  <c r="J32" i="2"/>
  <c r="H27" i="2"/>
  <c r="I23" i="2"/>
  <c r="I24" i="2" s="1"/>
  <c r="I32" i="2"/>
  <c r="L23" i="2"/>
  <c r="L24" i="2" s="1"/>
  <c r="L32" i="2"/>
  <c r="M23" i="2"/>
  <c r="M24" i="2" s="1"/>
  <c r="M32" i="2"/>
  <c r="K23" i="2"/>
  <c r="K24" i="2" s="1"/>
  <c r="K32" i="2"/>
  <c r="G27" i="2"/>
  <c r="N23" i="2"/>
  <c r="N24" i="2" s="1"/>
  <c r="N32" i="2"/>
  <c r="Y33" i="2" l="1"/>
  <c r="Y24" i="2"/>
  <c r="Y36" i="2"/>
  <c r="K27" i="2"/>
  <c r="N27" i="2"/>
  <c r="M27" i="2"/>
  <c r="L27" i="2"/>
  <c r="I27" i="2"/>
  <c r="J27" i="2"/>
  <c r="Z20" i="2" l="1"/>
  <c r="Z21" i="2" s="1"/>
  <c r="Z22" i="2" s="1"/>
  <c r="Z32" i="2" l="1"/>
  <c r="Z23" i="2"/>
  <c r="Z24" i="2" l="1"/>
  <c r="Z33" i="2"/>
  <c r="Z36" i="2"/>
  <c r="AA20" i="2" l="1"/>
  <c r="AA21" i="2" s="1"/>
  <c r="AA22" i="2" s="1"/>
  <c r="AA32" i="2" l="1"/>
  <c r="AA23" i="2"/>
  <c r="AA33" i="2" l="1"/>
  <c r="AA24" i="2"/>
  <c r="AA36" i="2"/>
  <c r="AB20" i="2" l="1"/>
  <c r="AB21" i="2" s="1"/>
  <c r="AB22" i="2" s="1"/>
  <c r="AB32" i="2" l="1"/>
  <c r="AB23" i="2"/>
  <c r="AB24" i="2" l="1"/>
  <c r="AC23" i="2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AB33" i="2"/>
  <c r="AB36" i="2"/>
  <c r="AD37" i="2" l="1"/>
  <c r="AD40" i="2" s="1"/>
  <c r="AD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tc={DDC01CB7-392F-4948-BFFB-9BE14DA6446E}</author>
    <author>tc={2CD24D21-0089-497F-847E-2A3E8128103B}</author>
    <author>tc={FAEA9483-A753-4D93-9D53-476DC78D688E}</author>
    <author>tc={59CF9B7F-0911-4750-B201-5950770826C0}</author>
  </authors>
  <commentList>
    <comment ref="C23" authorId="0" shapeId="0" xr:uid="{DDC01CB7-392F-4948-BFFB-9BE14DA6446E}">
      <text>
        <t>[Threaded comment]
Your version of Excel allows you to read this threaded comment; however, any edits to it will get removed if the file is opened in a newer version of Excel. Learn more: https://go.microsoft.com/fwlink/?linkid=870924
Comment:
    -21M Net Income Attributable to noncontrolling interests</t>
      </text>
    </comment>
    <comment ref="D23" authorId="1" shapeId="0" xr:uid="{2CD24D21-0089-497F-847E-2A3E8128103B}">
      <text>
        <t>[Threaded comment]
Your version of Excel allows you to read this threaded comment; however, any edits to it will get removed if the file is opened in a newer version of Excel. Learn more: https://go.microsoft.com/fwlink/?linkid=870924
Comment:
    -21M Net Income Attributable to noncontrolling interests</t>
      </text>
    </comment>
    <comment ref="E23" authorId="2" shapeId="0" xr:uid="{FAEA9483-A753-4D93-9D53-476DC78D688E}">
      <text>
        <t>[Threaded comment]
Your version of Excel allows you to read this threaded comment; however, any edits to it will get removed if the file is opened in a newer version of Excel. Learn more: https://go.microsoft.com/fwlink/?linkid=870924
Comment:
    -19M Net Income Attributable to noncontrolling interests</t>
      </text>
    </comment>
    <comment ref="F23" authorId="3" shapeId="0" xr:uid="{59CF9B7F-0911-4750-B201-5950770826C0}">
      <text>
        <t>[Threaded comment]
Your version of Excel allows you to read this threaded comment; however, any edits to it will get removed if the file is opened in a newer version of Excel. Learn more: https://go.microsoft.com/fwlink/?linkid=870924
Comment:
    -10M Net Income Attributable to noncontrolling interests</t>
      </text>
    </comment>
  </commentList>
</comments>
</file>

<file path=xl/sharedStrings.xml><?xml version="1.0" encoding="utf-8"?>
<sst xmlns="http://schemas.openxmlformats.org/spreadsheetml/2006/main" count="136" uniqueCount="101">
  <si>
    <t>SEC.GOV</t>
  </si>
  <si>
    <t>Main</t>
  </si>
  <si>
    <t>Model</t>
  </si>
  <si>
    <t>Shares</t>
  </si>
  <si>
    <t>Cash</t>
  </si>
  <si>
    <t>Debt</t>
  </si>
  <si>
    <t>Revenue</t>
  </si>
  <si>
    <t>Investor Relations</t>
  </si>
  <si>
    <t>Founded</t>
  </si>
  <si>
    <t>Net Sales</t>
  </si>
  <si>
    <t>Memberships</t>
  </si>
  <si>
    <t>SG&amp;A</t>
  </si>
  <si>
    <t>Op Expense</t>
  </si>
  <si>
    <t>Op Income</t>
  </si>
  <si>
    <t>Int Expense</t>
  </si>
  <si>
    <t>Int Income</t>
  </si>
  <si>
    <t>Pre Tax</t>
  </si>
  <si>
    <t>Net Income</t>
  </si>
  <si>
    <t>Gross Profit</t>
  </si>
  <si>
    <t>Gross Margin</t>
  </si>
  <si>
    <t>EPS</t>
  </si>
  <si>
    <t>y/y</t>
  </si>
  <si>
    <t>Reporting Date</t>
  </si>
  <si>
    <t>Filing Date</t>
  </si>
  <si>
    <t>Food and Sundries</t>
  </si>
  <si>
    <t>Non-Food</t>
  </si>
  <si>
    <t>Fresh Foods</t>
  </si>
  <si>
    <t>Other Businesses</t>
  </si>
  <si>
    <t>COSTCO WHOLESALE CORPORATION</t>
  </si>
  <si>
    <t>Price per share</t>
  </si>
  <si>
    <t>Shares Oustanding</t>
  </si>
  <si>
    <t>Market Cap</t>
  </si>
  <si>
    <t>Enterprise Value</t>
  </si>
  <si>
    <t>443M</t>
  </si>
  <si>
    <t>394B</t>
  </si>
  <si>
    <t>11B</t>
  </si>
  <si>
    <t>6B</t>
  </si>
  <si>
    <t>P/E</t>
  </si>
  <si>
    <t>Q4 24</t>
  </si>
  <si>
    <t>Q3 24</t>
  </si>
  <si>
    <t>Q2 24</t>
  </si>
  <si>
    <t>Q1 24</t>
  </si>
  <si>
    <t>Q4 23</t>
  </si>
  <si>
    <t>Q3 23</t>
  </si>
  <si>
    <t>Q2 23</t>
  </si>
  <si>
    <t>Q1 23</t>
  </si>
  <si>
    <t>Q4 22</t>
  </si>
  <si>
    <t>Q3 22</t>
  </si>
  <si>
    <t>Q2 22</t>
  </si>
  <si>
    <t>Q1 22</t>
  </si>
  <si>
    <t>Warehouses</t>
  </si>
  <si>
    <t>Canada</t>
  </si>
  <si>
    <t>Other International</t>
  </si>
  <si>
    <t>Total</t>
  </si>
  <si>
    <t>USA</t>
  </si>
  <si>
    <t>Fully Owned Total</t>
  </si>
  <si>
    <t>Quarter</t>
  </si>
  <si>
    <t>Operating Margin</t>
  </si>
  <si>
    <t>Tax Rate</t>
  </si>
  <si>
    <t>Taxes</t>
  </si>
  <si>
    <t>Merchandise Inventories</t>
  </si>
  <si>
    <t>Other Current Assets</t>
  </si>
  <si>
    <t>q/q</t>
  </si>
  <si>
    <t>Total Warehouse growth</t>
  </si>
  <si>
    <t>Cash &amp; Investments</t>
  </si>
  <si>
    <t>PP&amp;E</t>
  </si>
  <si>
    <t>Operating lease right-of-use assets</t>
  </si>
  <si>
    <t>Assets</t>
  </si>
  <si>
    <t>Total Assets</t>
  </si>
  <si>
    <t>Liabilities</t>
  </si>
  <si>
    <t>Accounts Payable</t>
  </si>
  <si>
    <t>Accunts Recivables</t>
  </si>
  <si>
    <t>Accured Salaries and Benefitts</t>
  </si>
  <si>
    <t>Accrued Member Rewards</t>
  </si>
  <si>
    <t>Deferred Membership Fees</t>
  </si>
  <si>
    <t>Non-Current Long Term Debt</t>
  </si>
  <si>
    <t>Total Liabilities</t>
  </si>
  <si>
    <t>Other Current Liabilities</t>
  </si>
  <si>
    <t>Long Term Lease Liabilities</t>
  </si>
  <si>
    <t>Other Long-Term Liabilities</t>
  </si>
  <si>
    <t>Equity</t>
  </si>
  <si>
    <t>Liabilities+Equity</t>
  </si>
  <si>
    <t>Net Cash</t>
  </si>
  <si>
    <t>Earnings Growth Y/Y</t>
  </si>
  <si>
    <t>Sales Growth Y/Y</t>
  </si>
  <si>
    <t>Membership Growth Y/Y</t>
  </si>
  <si>
    <t>Merch Costs (COGS)</t>
  </si>
  <si>
    <t>Other L-T assets(myb cash equiv)</t>
  </si>
  <si>
    <t>Current L-T Debt (&lt;12 Month)</t>
  </si>
  <si>
    <t>Terminal</t>
  </si>
  <si>
    <t>Discount</t>
  </si>
  <si>
    <t>NPV</t>
  </si>
  <si>
    <t>ROIC</t>
  </si>
  <si>
    <t>Share Price</t>
  </si>
  <si>
    <t>Current Price</t>
  </si>
  <si>
    <t>Upside/Downside</t>
  </si>
  <si>
    <t>Updated 11/11/24</t>
  </si>
  <si>
    <t>Net Income Y/Y</t>
  </si>
  <si>
    <t>Net Interest Income(Expense)</t>
  </si>
  <si>
    <t>COGS margin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</si>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</sst>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b/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29">
    <xf numFmtId="0" fontId="0" fillId="0" borderId="0" xfId="0"/>
    <xf numFmtId="0" fontId="3" fillId="0" borderId="0" xfId="2" applyFont="1"/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5" fillId="0" borderId="0" xfId="0" applyFont="1"/>
    <xf numFmtId="165" fontId="5" fillId="0" borderId="0" xfId="1" applyNumberFormat="1" applyFont="1"/>
    <xf numFmtId="165" fontId="5" fillId="0" borderId="0" xfId="0" applyNumberFormat="1" applyFont="1"/>
    <xf numFmtId="43" fontId="5" fillId="0" borderId="0" xfId="1" applyFont="1"/>
    <xf numFmtId="166" fontId="4" fillId="0" borderId="0" xfId="3" applyNumberFormat="1" applyFont="1"/>
    <xf numFmtId="10" fontId="4" fillId="0" borderId="0" xfId="3" applyNumberFormat="1" applyFont="1"/>
    <xf numFmtId="165" fontId="4" fillId="0" borderId="0" xfId="1" applyNumberFormat="1" applyFont="1" applyAlignment="1">
      <alignment horizontal="right"/>
    </xf>
    <xf numFmtId="3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1" applyNumberFormat="1" applyFont="1"/>
    <xf numFmtId="0" fontId="4" fillId="0" borderId="0" xfId="0" applyFont="1" applyAlignment="1">
      <alignment wrapText="1"/>
    </xf>
    <xf numFmtId="165" fontId="4" fillId="0" borderId="0" xfId="1" applyNumberFormat="1" applyFont="1" applyAlignment="1">
      <alignment wrapText="1"/>
    </xf>
    <xf numFmtId="43" fontId="4" fillId="0" borderId="0" xfId="0" applyNumberFormat="1" applyFont="1"/>
    <xf numFmtId="0" fontId="7" fillId="0" borderId="0" xfId="0" applyFont="1"/>
    <xf numFmtId="14" fontId="5" fillId="0" borderId="0" xfId="0" applyNumberFormat="1" applyFont="1"/>
    <xf numFmtId="43" fontId="4" fillId="0" borderId="0" xfId="1" applyFont="1" applyAlignment="1">
      <alignment horizontal="right"/>
    </xf>
    <xf numFmtId="0" fontId="5" fillId="0" borderId="0" xfId="1" applyNumberFormat="1" applyFont="1"/>
    <xf numFmtId="43" fontId="5" fillId="0" borderId="0" xfId="0" applyNumberFormat="1" applyFont="1"/>
    <xf numFmtId="9" fontId="4" fillId="0" borderId="0" xfId="0" applyNumberFormat="1" applyFont="1"/>
    <xf numFmtId="9" fontId="5" fillId="0" borderId="0" xfId="0" applyNumberFormat="1" applyFont="1"/>
    <xf numFmtId="14" fontId="4" fillId="0" borderId="0" xfId="1" applyNumberFormat="1" applyFont="1"/>
    <xf numFmtId="43" fontId="4" fillId="0" borderId="0" xfId="1" applyFont="1"/>
    <xf numFmtId="9" fontId="4" fillId="0" borderId="0" xfId="3" applyFont="1"/>
  </cellXfs>
  <cellStyles count="5">
    <cellStyle name="Comma" xfId="1" builtinId="3"/>
    <cellStyle name="Hyperlink" xfId="2" builtinId="8"/>
    <cellStyle name="Normal" xfId="0" builtinId="0"/>
    <cellStyle name="Normal 2" xfId="4" xr:uid="{FD27445F-CC14-48E5-A538-DD34902ECF9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1026584</xdr:colOff>
      <xdr:row>4</xdr:row>
      <xdr:rowOff>10584</xdr:rowOff>
    </xdr:from>
    <xdr:to>
      <xdr:col>14</xdr:col>
      <xdr:colOff>0</xdr:colOff>
      <xdr:row>30</xdr:row>
      <xdr:rowOff>105833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C0FF642-4B2C-E945-344B-D2BE353DCA45}"/>
            </a:ext>
          </a:extLst>
        </xdr:cNvPr>
        <xdr:cNvCxnSpPr/>
      </xdr:nvCxnSpPr>
      <xdr:spPr>
        <a:xfrm>
          <a:off x="20309417" y="941917"/>
          <a:ext cx="21166" cy="5916083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84667</xdr:colOff>
      <xdr:row>4</xdr:row>
      <xdr:rowOff>10584</xdr:rowOff>
    </xdr:from>
    <xdr:to>
      <xdr:col>20</xdr:col>
      <xdr:colOff>95250</xdr:colOff>
      <xdr:row>34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A2D7957-BE22-415F-43D0-5F36D713B5F1}"/>
            </a:ext>
          </a:extLst>
        </xdr:cNvPr>
        <xdr:cNvCxnSpPr/>
      </xdr:nvCxnSpPr>
      <xdr:spPr>
        <a:xfrm>
          <a:off x="25855084" y="941917"/>
          <a:ext cx="10583" cy="66040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rian Munoz" id="{A58FB227-429F-4D45-AD26-C30DF0253A12}" userId="S::ADRIMUNOZ1@my.lonestar.edu::7810730b-1be9-4056-9d5a-c020871e0f4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3" dT="2024-10-21T06:08:54.84" personId="{A58FB227-429F-4D45-AD26-C30DF0253A12}" id="{DDC01CB7-392F-4948-BFFB-9BE14DA6446E}">
    <text>-21M Net Income Attributable to noncontrolling interests</text>
  </threadedComment>
  <threadedComment ref="D23" dT="2024-10-21T06:14:10.36" personId="{A58FB227-429F-4D45-AD26-C30DF0253A12}" id="{2CD24D21-0089-497F-847E-2A3E8128103B}">
    <text>-21M Net Income Attributable to noncontrolling interests</text>
  </threadedComment>
  <threadedComment ref="E23" dT="2024-10-21T06:16:25.32" personId="{A58FB227-429F-4D45-AD26-C30DF0253A12}" id="{FAEA9483-A753-4D93-9D53-476DC78D688E}">
    <text>-19M Net Income Attributable to noncontrolling interests</text>
  </threadedComment>
  <threadedComment ref="F23" dT="2024-10-21T06:23:46.64" personId="{A58FB227-429F-4D45-AD26-C30DF0253A12}" id="{59CF9B7F-0911-4750-B201-5950770826C0}">
    <text>-10M Net Income Attributable to noncontrolling interests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nvestor.costco.com/overview/default.aspx" TargetMode="External"/><Relationship Id="rId1" Type="http://schemas.openxmlformats.org/officeDocument/2006/relationships/hyperlink" Target="https://www.sec.gov/edgar/browse/?CIK=909832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zoomScaleNormal="100" workbookViewId="0">
      <selection activeCell="H13" sqref="H13"/>
    </sheetView>
  </sheetViews>
  <sheetFormatPr defaultRowHeight="18" x14ac:dyDescent="0.25"/>
  <cols>
    <col min="1" max="1" width="7.7109375" style="2" customWidth="1"/>
    <col min="2" max="2" width="9.140625" style="2"/>
    <col min="3" max="3" width="39.7109375" style="2" bestFit="1" customWidth="1"/>
    <col min="4" max="4" width="10.7109375" style="2" bestFit="1" customWidth="1"/>
    <col min="5" max="6" width="9.140625" style="2"/>
    <col min="7" max="7" width="53.85546875" style="2" bestFit="1" customWidth="1"/>
    <col min="8" max="8" width="36.7109375" style="2" bestFit="1" customWidth="1"/>
    <col min="9" max="9" width="9.42578125" style="2" bestFit="1" customWidth="1"/>
    <col min="10" max="11" width="9.140625" style="2"/>
    <col min="12" max="12" width="13.42578125" style="2" customWidth="1"/>
    <col min="13" max="13" width="16.7109375" style="2" bestFit="1" customWidth="1"/>
    <col min="14" max="14" width="23.7109375" style="2" customWidth="1"/>
    <col min="15" max="16384" width="9.140625" style="2"/>
  </cols>
  <sheetData>
    <row r="1" spans="1:15" x14ac:dyDescent="0.25">
      <c r="A1" s="2" t="s">
        <v>1</v>
      </c>
      <c r="B1" s="1" t="s">
        <v>2</v>
      </c>
      <c r="C1" s="20"/>
      <c r="G1" s="2" t="s">
        <v>28</v>
      </c>
      <c r="H1" s="2" t="s">
        <v>96</v>
      </c>
    </row>
    <row r="2" spans="1:15" x14ac:dyDescent="0.25">
      <c r="B2" s="1"/>
      <c r="C2" s="3"/>
    </row>
    <row r="3" spans="1:15" x14ac:dyDescent="0.25">
      <c r="B3" s="1"/>
      <c r="C3" s="1" t="s">
        <v>0</v>
      </c>
      <c r="G3" s="2" t="s">
        <v>29</v>
      </c>
      <c r="H3" s="21">
        <v>939.77</v>
      </c>
    </row>
    <row r="4" spans="1:15" x14ac:dyDescent="0.25">
      <c r="B4" s="1"/>
      <c r="C4" s="1" t="s">
        <v>7</v>
      </c>
      <c r="G4" s="2" t="s">
        <v>30</v>
      </c>
      <c r="H4" s="11">
        <v>443073</v>
      </c>
      <c r="I4" s="2" t="s">
        <v>33</v>
      </c>
    </row>
    <row r="5" spans="1:15" x14ac:dyDescent="0.25">
      <c r="G5" s="2" t="s">
        <v>31</v>
      </c>
      <c r="H5" s="11">
        <f>H3*H4</f>
        <v>416386713.20999998</v>
      </c>
      <c r="I5" s="2" t="s">
        <v>34</v>
      </c>
    </row>
    <row r="6" spans="1:15" x14ac:dyDescent="0.25">
      <c r="G6" s="2" t="s">
        <v>4</v>
      </c>
      <c r="H6" s="11">
        <f>9906+1238</f>
        <v>11144</v>
      </c>
      <c r="I6" s="2" t="s">
        <v>35</v>
      </c>
      <c r="M6" s="12"/>
    </row>
    <row r="7" spans="1:15" x14ac:dyDescent="0.25">
      <c r="G7" s="2" t="s">
        <v>5</v>
      </c>
      <c r="H7" s="11">
        <v>5794</v>
      </c>
      <c r="I7" s="2" t="s">
        <v>36</v>
      </c>
      <c r="M7" s="13"/>
    </row>
    <row r="8" spans="1:15" x14ac:dyDescent="0.25">
      <c r="G8" s="2" t="s">
        <v>32</v>
      </c>
      <c r="H8" s="11">
        <f>H5-H6+H7</f>
        <v>416381363.20999998</v>
      </c>
      <c r="I8" s="2" t="s">
        <v>34</v>
      </c>
    </row>
    <row r="9" spans="1:15" x14ac:dyDescent="0.25">
      <c r="H9" s="11"/>
    </row>
    <row r="10" spans="1:15" x14ac:dyDescent="0.25">
      <c r="G10" s="2" t="s">
        <v>8</v>
      </c>
      <c r="H10" s="15">
        <v>1983</v>
      </c>
      <c r="M10" s="3"/>
    </row>
    <row r="11" spans="1:15" x14ac:dyDescent="0.25">
      <c r="G11" s="2" t="s">
        <v>37</v>
      </c>
      <c r="H11" s="18">
        <f>H3/16.52</f>
        <v>56.88680387409201</v>
      </c>
      <c r="O11" s="14"/>
    </row>
  </sheetData>
  <hyperlinks>
    <hyperlink ref="C3" r:id="rId1" xr:uid="{4E66EAC3-9ECE-4648-A6FA-3FC638B74DC8}"/>
    <hyperlink ref="B1" location="Model!A1" display="Model" xr:uid="{127513B2-10FB-45E2-89FD-3B392976B097}"/>
    <hyperlink ref="C4" r:id="rId2" xr:uid="{93735467-A761-4A0B-B800-4706CBAE83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25C7-BE15-48B2-A04E-07AAA92D7EDD}">
  <dimension ref="A1:CM60"/>
  <sheetViews>
    <sheetView tabSelected="1" zoomScale="90" zoomScaleNormal="90" workbookViewId="0">
      <pane xSplit="2" ySplit="4" topLeftCell="S14" activePane="bottomRight" state="frozen"/>
      <selection pane="topRight" activeCell="C1" sqref="C1"/>
      <selection pane="bottomLeft" activeCell="A5" sqref="A5"/>
      <selection pane="bottomRight" activeCell="AE41" sqref="AE41"/>
    </sheetView>
  </sheetViews>
  <sheetFormatPr defaultRowHeight="18" x14ac:dyDescent="0.25"/>
  <cols>
    <col min="1" max="1" width="7.7109375" style="2" bestFit="1" customWidth="1"/>
    <col min="2" max="2" width="43" style="2" customWidth="1"/>
    <col min="3" max="8" width="26.28515625" style="2" customWidth="1"/>
    <col min="9" max="15" width="15.7109375" style="2" customWidth="1"/>
    <col min="16" max="28" width="13.140625" style="2" bestFit="1" customWidth="1"/>
    <col min="29" max="29" width="24.7109375" style="2" bestFit="1" customWidth="1"/>
    <col min="30" max="30" width="19.85546875" style="2" customWidth="1"/>
    <col min="31" max="32" width="15.42578125" style="2" bestFit="1" customWidth="1"/>
    <col min="33" max="91" width="11.5703125" style="2" bestFit="1" customWidth="1"/>
    <col min="92" max="16384" width="9.140625" style="2"/>
  </cols>
  <sheetData>
    <row r="1" spans="1:91" x14ac:dyDescent="0.25">
      <c r="A1" s="1" t="s">
        <v>1</v>
      </c>
    </row>
    <row r="2" spans="1:91" x14ac:dyDescent="0.25">
      <c r="A2" s="1"/>
      <c r="B2" s="2" t="s">
        <v>23</v>
      </c>
      <c r="M2" s="3"/>
    </row>
    <row r="3" spans="1:91" x14ac:dyDescent="0.25">
      <c r="B3" s="2" t="s">
        <v>22</v>
      </c>
      <c r="C3" s="3">
        <v>44521</v>
      </c>
      <c r="D3" s="3">
        <v>44605</v>
      </c>
      <c r="E3" s="3">
        <v>44689</v>
      </c>
      <c r="F3" s="3">
        <v>44801</v>
      </c>
      <c r="G3" s="3">
        <v>44885</v>
      </c>
      <c r="H3" s="3">
        <v>44969</v>
      </c>
      <c r="I3" s="3">
        <v>45053</v>
      </c>
      <c r="J3" s="3">
        <v>45172</v>
      </c>
      <c r="K3" s="3">
        <v>45256</v>
      </c>
      <c r="L3" s="3">
        <v>45340</v>
      </c>
      <c r="M3" s="3">
        <v>45424</v>
      </c>
      <c r="N3" s="3">
        <v>45536</v>
      </c>
    </row>
    <row r="4" spans="1:91" x14ac:dyDescent="0.25">
      <c r="B4" s="2" t="s">
        <v>56</v>
      </c>
      <c r="C4" s="2" t="s">
        <v>49</v>
      </c>
      <c r="D4" s="2" t="s">
        <v>48</v>
      </c>
      <c r="E4" s="2" t="s">
        <v>47</v>
      </c>
      <c r="F4" s="2" t="s">
        <v>46</v>
      </c>
      <c r="G4" s="2" t="s">
        <v>45</v>
      </c>
      <c r="H4" s="2" t="s">
        <v>44</v>
      </c>
      <c r="I4" s="2" t="s">
        <v>43</v>
      </c>
      <c r="J4" s="2" t="s">
        <v>42</v>
      </c>
      <c r="K4" s="2" t="s">
        <v>41</v>
      </c>
      <c r="L4" s="2" t="s">
        <v>40</v>
      </c>
      <c r="M4" s="2" t="s">
        <v>39</v>
      </c>
      <c r="N4" s="2" t="s">
        <v>38</v>
      </c>
      <c r="P4" s="2">
        <v>2020</v>
      </c>
      <c r="Q4" s="2">
        <f t="shared" ref="Q4:V4" si="0">R4-1</f>
        <v>2021</v>
      </c>
      <c r="R4" s="2">
        <f t="shared" si="0"/>
        <v>2022</v>
      </c>
      <c r="S4" s="2">
        <f t="shared" si="0"/>
        <v>2023</v>
      </c>
      <c r="T4" s="2">
        <f t="shared" si="0"/>
        <v>2024</v>
      </c>
      <c r="U4" s="2">
        <f t="shared" si="0"/>
        <v>2025</v>
      </c>
      <c r="V4" s="2">
        <f t="shared" si="0"/>
        <v>2026</v>
      </c>
      <c r="W4" s="2">
        <v>2027</v>
      </c>
      <c r="X4" s="2">
        <f>W4+1</f>
        <v>2028</v>
      </c>
      <c r="Y4" s="2">
        <f t="shared" ref="Y4:CJ4" si="1">X4+1</f>
        <v>2029</v>
      </c>
      <c r="Z4" s="2">
        <f t="shared" si="1"/>
        <v>2030</v>
      </c>
      <c r="AA4" s="2">
        <f t="shared" si="1"/>
        <v>2031</v>
      </c>
      <c r="AB4" s="2">
        <f t="shared" si="1"/>
        <v>2032</v>
      </c>
      <c r="AC4" s="2">
        <f t="shared" si="1"/>
        <v>2033</v>
      </c>
      <c r="AD4" s="2">
        <f t="shared" si="1"/>
        <v>2034</v>
      </c>
      <c r="AE4" s="2">
        <f t="shared" si="1"/>
        <v>2035</v>
      </c>
      <c r="AF4" s="2">
        <f t="shared" si="1"/>
        <v>2036</v>
      </c>
      <c r="AG4" s="2">
        <f t="shared" si="1"/>
        <v>2037</v>
      </c>
      <c r="AH4" s="2">
        <f t="shared" si="1"/>
        <v>2038</v>
      </c>
      <c r="AI4" s="2">
        <f t="shared" si="1"/>
        <v>2039</v>
      </c>
      <c r="AJ4" s="2">
        <f t="shared" si="1"/>
        <v>2040</v>
      </c>
      <c r="AK4" s="2">
        <f t="shared" si="1"/>
        <v>2041</v>
      </c>
      <c r="AL4" s="2">
        <f t="shared" si="1"/>
        <v>2042</v>
      </c>
      <c r="AM4" s="2">
        <f t="shared" si="1"/>
        <v>2043</v>
      </c>
      <c r="AN4" s="2">
        <f t="shared" si="1"/>
        <v>2044</v>
      </c>
      <c r="AO4" s="2">
        <f t="shared" si="1"/>
        <v>2045</v>
      </c>
      <c r="AP4" s="2">
        <f t="shared" si="1"/>
        <v>2046</v>
      </c>
      <c r="AQ4" s="2">
        <f t="shared" si="1"/>
        <v>2047</v>
      </c>
      <c r="AR4" s="2">
        <f t="shared" si="1"/>
        <v>2048</v>
      </c>
      <c r="AS4" s="2">
        <f t="shared" si="1"/>
        <v>2049</v>
      </c>
      <c r="AT4" s="2">
        <f t="shared" si="1"/>
        <v>2050</v>
      </c>
      <c r="AU4" s="2">
        <f t="shared" si="1"/>
        <v>2051</v>
      </c>
      <c r="AV4" s="2">
        <f t="shared" si="1"/>
        <v>2052</v>
      </c>
      <c r="AW4" s="2">
        <f t="shared" si="1"/>
        <v>2053</v>
      </c>
      <c r="AX4" s="2">
        <f t="shared" si="1"/>
        <v>2054</v>
      </c>
      <c r="AY4" s="2">
        <f t="shared" si="1"/>
        <v>2055</v>
      </c>
      <c r="AZ4" s="2">
        <f t="shared" si="1"/>
        <v>2056</v>
      </c>
      <c r="BA4" s="2">
        <f t="shared" si="1"/>
        <v>2057</v>
      </c>
      <c r="BB4" s="2">
        <f t="shared" si="1"/>
        <v>2058</v>
      </c>
      <c r="BC4" s="2">
        <f t="shared" si="1"/>
        <v>2059</v>
      </c>
      <c r="BD4" s="2">
        <f t="shared" si="1"/>
        <v>2060</v>
      </c>
      <c r="BE4" s="2">
        <f t="shared" si="1"/>
        <v>2061</v>
      </c>
      <c r="BF4" s="2">
        <f t="shared" si="1"/>
        <v>2062</v>
      </c>
      <c r="BG4" s="2">
        <f t="shared" si="1"/>
        <v>2063</v>
      </c>
      <c r="BH4" s="2">
        <f t="shared" si="1"/>
        <v>2064</v>
      </c>
      <c r="BI4" s="2">
        <f t="shared" si="1"/>
        <v>2065</v>
      </c>
      <c r="BJ4" s="2">
        <f t="shared" si="1"/>
        <v>2066</v>
      </c>
      <c r="BK4" s="2">
        <f t="shared" si="1"/>
        <v>2067</v>
      </c>
      <c r="BL4" s="2">
        <f t="shared" si="1"/>
        <v>2068</v>
      </c>
      <c r="BM4" s="2">
        <f t="shared" si="1"/>
        <v>2069</v>
      </c>
      <c r="BN4" s="2">
        <f t="shared" si="1"/>
        <v>2070</v>
      </c>
      <c r="BO4" s="2">
        <f t="shared" si="1"/>
        <v>2071</v>
      </c>
      <c r="BP4" s="2">
        <f t="shared" si="1"/>
        <v>2072</v>
      </c>
      <c r="BQ4" s="2">
        <f t="shared" si="1"/>
        <v>2073</v>
      </c>
      <c r="BR4" s="2">
        <f t="shared" si="1"/>
        <v>2074</v>
      </c>
      <c r="BS4" s="2">
        <f t="shared" si="1"/>
        <v>2075</v>
      </c>
      <c r="BT4" s="2">
        <f t="shared" si="1"/>
        <v>2076</v>
      </c>
      <c r="BU4" s="2">
        <f t="shared" si="1"/>
        <v>2077</v>
      </c>
      <c r="BV4" s="2">
        <f t="shared" si="1"/>
        <v>2078</v>
      </c>
      <c r="BW4" s="2">
        <f t="shared" si="1"/>
        <v>2079</v>
      </c>
      <c r="BX4" s="2">
        <f t="shared" si="1"/>
        <v>2080</v>
      </c>
      <c r="BY4" s="2">
        <f t="shared" si="1"/>
        <v>2081</v>
      </c>
      <c r="BZ4" s="2">
        <f t="shared" si="1"/>
        <v>2082</v>
      </c>
      <c r="CA4" s="2">
        <f t="shared" si="1"/>
        <v>2083</v>
      </c>
      <c r="CB4" s="2">
        <f t="shared" si="1"/>
        <v>2084</v>
      </c>
      <c r="CC4" s="2">
        <f t="shared" si="1"/>
        <v>2085</v>
      </c>
      <c r="CD4" s="2">
        <f t="shared" si="1"/>
        <v>2086</v>
      </c>
      <c r="CE4" s="2">
        <f t="shared" si="1"/>
        <v>2087</v>
      </c>
      <c r="CF4" s="2">
        <f t="shared" si="1"/>
        <v>2088</v>
      </c>
      <c r="CG4" s="2">
        <f t="shared" si="1"/>
        <v>2089</v>
      </c>
      <c r="CH4" s="2">
        <f t="shared" si="1"/>
        <v>2090</v>
      </c>
      <c r="CI4" s="2">
        <f t="shared" si="1"/>
        <v>2091</v>
      </c>
      <c r="CJ4" s="2">
        <f t="shared" si="1"/>
        <v>2092</v>
      </c>
      <c r="CK4" s="2">
        <f t="shared" ref="CK4:CM4" si="2">CJ4+1</f>
        <v>2093</v>
      </c>
      <c r="CL4" s="2">
        <f t="shared" si="2"/>
        <v>2094</v>
      </c>
      <c r="CM4" s="2">
        <f t="shared" si="2"/>
        <v>2095</v>
      </c>
    </row>
    <row r="6" spans="1:91" x14ac:dyDescent="0.25">
      <c r="B6" s="2" t="s">
        <v>24</v>
      </c>
      <c r="C6" s="4">
        <v>19563</v>
      </c>
      <c r="D6" s="4">
        <v>19489</v>
      </c>
      <c r="E6" s="4">
        <v>19594</v>
      </c>
      <c r="F6" s="4">
        <f>85629-C6-D6-E6</f>
        <v>26983</v>
      </c>
      <c r="G6" s="4">
        <v>21448</v>
      </c>
      <c r="H6" s="4">
        <v>21926</v>
      </c>
      <c r="I6" s="4">
        <v>21298</v>
      </c>
      <c r="J6" s="4">
        <f>96175-G6-H6-I6</f>
        <v>31503</v>
      </c>
      <c r="K6" s="4">
        <v>23024</v>
      </c>
      <c r="L6" s="4">
        <v>23675</v>
      </c>
      <c r="M6" s="4">
        <v>23065</v>
      </c>
      <c r="N6" s="4">
        <f>101463-K6-L6-M6</f>
        <v>31699</v>
      </c>
    </row>
    <row r="7" spans="1:91" x14ac:dyDescent="0.25">
      <c r="B7" s="2" t="s">
        <v>25</v>
      </c>
      <c r="C7" s="4">
        <v>14162</v>
      </c>
      <c r="D7" s="4">
        <v>15105</v>
      </c>
      <c r="E7" s="4">
        <v>13810</v>
      </c>
      <c r="F7" s="4">
        <f>61100-C7-D7-E7</f>
        <v>18023</v>
      </c>
      <c r="G7" s="4">
        <v>14032</v>
      </c>
      <c r="H7" s="4">
        <v>14741</v>
      </c>
      <c r="I7" s="4">
        <v>13087</v>
      </c>
      <c r="J7" s="4">
        <f>60865-G7-H7-I7</f>
        <v>19005</v>
      </c>
      <c r="K7" s="4">
        <v>14766</v>
      </c>
      <c r="L7" s="4">
        <v>15017</v>
      </c>
      <c r="M7" s="4">
        <v>14518</v>
      </c>
      <c r="N7" s="4">
        <f>63973-K7-L7-M7</f>
        <v>19672</v>
      </c>
    </row>
    <row r="8" spans="1:91" x14ac:dyDescent="0.25">
      <c r="B8" s="2" t="s">
        <v>26</v>
      </c>
      <c r="C8" s="4">
        <v>6439</v>
      </c>
      <c r="D8" s="4">
        <v>6959</v>
      </c>
      <c r="E8" s="4">
        <v>6813</v>
      </c>
      <c r="F8" s="4">
        <f>29527-C8-D8-E8</f>
        <v>9316</v>
      </c>
      <c r="G8" s="4">
        <v>6717</v>
      </c>
      <c r="H8" s="4">
        <v>7376</v>
      </c>
      <c r="I8" s="4">
        <v>7194</v>
      </c>
      <c r="J8" s="4">
        <f>31977-G8-H8-I8</f>
        <v>10690</v>
      </c>
      <c r="K8" s="4">
        <v>7328</v>
      </c>
      <c r="L8" s="4">
        <v>7996</v>
      </c>
      <c r="M8" s="4">
        <v>7888</v>
      </c>
      <c r="N8" s="4">
        <f>34220-K8-L8-M8</f>
        <v>11008</v>
      </c>
    </row>
    <row r="9" spans="1:91" x14ac:dyDescent="0.25">
      <c r="B9" s="16" t="s">
        <v>27</v>
      </c>
      <c r="C9" s="17">
        <v>9253</v>
      </c>
      <c r="D9" s="17">
        <v>9384</v>
      </c>
      <c r="E9" s="17">
        <v>11395</v>
      </c>
      <c r="F9" s="17">
        <f>46474-C9-D9-E9</f>
        <v>16442</v>
      </c>
      <c r="G9" s="17">
        <v>11240</v>
      </c>
      <c r="H9" s="17">
        <v>10196</v>
      </c>
      <c r="I9" s="4">
        <v>11025</v>
      </c>
      <c r="J9" s="4">
        <f>48693-G9-H9-I9</f>
        <v>16232</v>
      </c>
      <c r="K9" s="4">
        <v>11599</v>
      </c>
      <c r="L9" s="4">
        <v>10643</v>
      </c>
      <c r="M9" s="4">
        <v>11921</v>
      </c>
      <c r="N9" s="4">
        <f>49969-K9-L9-M9</f>
        <v>15806</v>
      </c>
    </row>
    <row r="10" spans="1:91" s="5" customFormat="1" x14ac:dyDescent="0.25">
      <c r="B10" s="5" t="s">
        <v>9</v>
      </c>
      <c r="C10" s="6">
        <f t="shared" ref="C10:F10" si="3">C6+C7+C8+C9</f>
        <v>49417</v>
      </c>
      <c r="D10" s="6">
        <f>D6+D7+D8+D9</f>
        <v>50937</v>
      </c>
      <c r="E10" s="6">
        <f t="shared" si="3"/>
        <v>51612</v>
      </c>
      <c r="F10" s="6">
        <f t="shared" si="3"/>
        <v>70764</v>
      </c>
      <c r="G10" s="6">
        <f t="shared" ref="G10" si="4">G6+G7+G8+G9</f>
        <v>53437</v>
      </c>
      <c r="H10" s="6">
        <f t="shared" ref="H10" si="5">H6+H7+H8+H9</f>
        <v>54239</v>
      </c>
      <c r="I10" s="6">
        <f t="shared" ref="I10:L10" si="6">I6+I7+I8+I9</f>
        <v>52604</v>
      </c>
      <c r="J10" s="6">
        <f>J6+J7+J8+J9</f>
        <v>77430</v>
      </c>
      <c r="K10" s="6">
        <f>K6+K7+K8+K9</f>
        <v>56717</v>
      </c>
      <c r="L10" s="6">
        <f t="shared" si="6"/>
        <v>57331</v>
      </c>
      <c r="M10" s="6">
        <f>M6+M7+M8+M9</f>
        <v>57392</v>
      </c>
      <c r="N10" s="6">
        <f>N6+N7+N8+N9</f>
        <v>78185</v>
      </c>
      <c r="P10" s="6">
        <v>163220</v>
      </c>
      <c r="Q10" s="6">
        <v>192052</v>
      </c>
      <c r="R10" s="6">
        <v>222730</v>
      </c>
      <c r="S10" s="6">
        <v>237710</v>
      </c>
      <c r="T10" s="6">
        <v>249625</v>
      </c>
      <c r="U10" s="6">
        <f>T10*1.06</f>
        <v>264602.5</v>
      </c>
      <c r="V10" s="6">
        <f t="shared" ref="V10:AB10" si="7">U10*1.06</f>
        <v>280478.65000000002</v>
      </c>
      <c r="W10" s="6">
        <f t="shared" si="7"/>
        <v>297307.36900000006</v>
      </c>
      <c r="X10" s="6">
        <f t="shared" si="7"/>
        <v>315145.81114000006</v>
      </c>
      <c r="Y10" s="6">
        <f t="shared" si="7"/>
        <v>334054.55980840011</v>
      </c>
      <c r="Z10" s="6">
        <f t="shared" si="7"/>
        <v>354097.83339690411</v>
      </c>
      <c r="AA10" s="6">
        <f t="shared" si="7"/>
        <v>375343.7034007184</v>
      </c>
      <c r="AB10" s="6">
        <f t="shared" si="7"/>
        <v>397864.32560476154</v>
      </c>
      <c r="AC10" s="6"/>
      <c r="AD10" s="6"/>
      <c r="AE10" s="6"/>
      <c r="AF10" s="6"/>
      <c r="AG10" s="6"/>
      <c r="AH10" s="6"/>
      <c r="AI10" s="6"/>
      <c r="AJ10" s="6"/>
    </row>
    <row r="11" spans="1:91" x14ac:dyDescent="0.25">
      <c r="B11" s="2" t="s">
        <v>10</v>
      </c>
      <c r="C11" s="4">
        <v>946</v>
      </c>
      <c r="D11" s="4">
        <v>967</v>
      </c>
      <c r="E11" s="4">
        <v>984</v>
      </c>
      <c r="F11" s="4">
        <v>1327</v>
      </c>
      <c r="G11" s="4">
        <v>1000</v>
      </c>
      <c r="H11" s="4">
        <v>1027</v>
      </c>
      <c r="I11" s="4">
        <v>1044</v>
      </c>
      <c r="J11" s="4">
        <v>1509</v>
      </c>
      <c r="K11" s="4">
        <v>1082</v>
      </c>
      <c r="L11" s="4">
        <v>1111</v>
      </c>
      <c r="M11" s="4">
        <v>1123</v>
      </c>
      <c r="N11" s="4">
        <v>1512</v>
      </c>
      <c r="P11" s="4">
        <v>3541</v>
      </c>
      <c r="Q11" s="4">
        <v>3887</v>
      </c>
      <c r="R11" s="4">
        <v>4224</v>
      </c>
      <c r="S11" s="4">
        <v>4580</v>
      </c>
      <c r="T11" s="4">
        <v>4828</v>
      </c>
      <c r="U11" s="4">
        <f>T11*1.06</f>
        <v>5117.68</v>
      </c>
      <c r="V11" s="4">
        <f t="shared" ref="V11:AB11" si="8">U11*1.06</f>
        <v>5424.7408000000005</v>
      </c>
      <c r="W11" s="4">
        <f t="shared" si="8"/>
        <v>5750.2252480000006</v>
      </c>
      <c r="X11" s="4">
        <f t="shared" si="8"/>
        <v>6095.2387628800006</v>
      </c>
      <c r="Y11" s="4">
        <f t="shared" si="8"/>
        <v>6460.9530886528009</v>
      </c>
      <c r="Z11" s="4">
        <f t="shared" si="8"/>
        <v>6848.610273971969</v>
      </c>
      <c r="AA11" s="4">
        <f t="shared" si="8"/>
        <v>7259.5268904102877</v>
      </c>
      <c r="AB11" s="4">
        <f t="shared" si="8"/>
        <v>7695.0985038349054</v>
      </c>
      <c r="AC11" s="4"/>
      <c r="AD11" s="4"/>
      <c r="AE11" s="4"/>
      <c r="AF11" s="4"/>
      <c r="AG11" s="4"/>
      <c r="AH11" s="4"/>
      <c r="AI11" s="4"/>
      <c r="AJ11" s="4"/>
    </row>
    <row r="12" spans="1:91" s="5" customFormat="1" x14ac:dyDescent="0.25">
      <c r="B12" s="5" t="s">
        <v>6</v>
      </c>
      <c r="C12" s="6">
        <f t="shared" ref="C12:F12" si="9">C10+C11</f>
        <v>50363</v>
      </c>
      <c r="D12" s="6">
        <f t="shared" si="9"/>
        <v>51904</v>
      </c>
      <c r="E12" s="6">
        <f t="shared" si="9"/>
        <v>52596</v>
      </c>
      <c r="F12" s="6">
        <f t="shared" si="9"/>
        <v>72091</v>
      </c>
      <c r="G12" s="6">
        <f t="shared" ref="G12:L12" si="10">G10+G11</f>
        <v>54437</v>
      </c>
      <c r="H12" s="6">
        <f t="shared" si="10"/>
        <v>55266</v>
      </c>
      <c r="I12" s="6">
        <f t="shared" si="10"/>
        <v>53648</v>
      </c>
      <c r="J12" s="6">
        <f t="shared" si="10"/>
        <v>78939</v>
      </c>
      <c r="K12" s="6">
        <f t="shared" si="10"/>
        <v>57799</v>
      </c>
      <c r="L12" s="6">
        <f t="shared" si="10"/>
        <v>58442</v>
      </c>
      <c r="M12" s="6">
        <f>M10+M11</f>
        <v>58515</v>
      </c>
      <c r="N12" s="6">
        <f t="shared" ref="N12" si="11">N10+N11</f>
        <v>79697</v>
      </c>
      <c r="O12" s="6"/>
      <c r="P12" s="6">
        <v>166761</v>
      </c>
      <c r="Q12" s="6">
        <v>195929</v>
      </c>
      <c r="R12" s="6">
        <v>226954</v>
      </c>
      <c r="S12" s="6">
        <v>242290</v>
      </c>
      <c r="T12" s="6">
        <v>254453</v>
      </c>
      <c r="U12" s="6">
        <f>U10+U11</f>
        <v>269720.18</v>
      </c>
      <c r="V12" s="6">
        <f t="shared" ref="V12:AB12" si="12">V10+V11</f>
        <v>285903.39080000005</v>
      </c>
      <c r="W12" s="6">
        <f t="shared" si="12"/>
        <v>303057.59424800007</v>
      </c>
      <c r="X12" s="6">
        <f t="shared" si="12"/>
        <v>321241.04990288004</v>
      </c>
      <c r="Y12" s="6">
        <f t="shared" si="12"/>
        <v>340515.51289705292</v>
      </c>
      <c r="Z12" s="6">
        <f t="shared" si="12"/>
        <v>360946.44367087609</v>
      </c>
      <c r="AA12" s="6">
        <f t="shared" si="12"/>
        <v>382603.23029112868</v>
      </c>
      <c r="AB12" s="6">
        <f t="shared" si="12"/>
        <v>405559.42410859646</v>
      </c>
      <c r="AC12" s="6"/>
      <c r="AD12" s="6"/>
      <c r="AE12" s="6"/>
      <c r="AF12" s="6"/>
      <c r="AG12" s="6"/>
      <c r="AH12" s="6"/>
      <c r="AI12" s="6"/>
      <c r="AJ12" s="6"/>
    </row>
    <row r="13" spans="1:91" x14ac:dyDescent="0.25">
      <c r="B13" s="2" t="s">
        <v>86</v>
      </c>
      <c r="C13" s="4">
        <v>43952</v>
      </c>
      <c r="D13" s="4">
        <v>45517</v>
      </c>
      <c r="E13" s="4">
        <v>46355</v>
      </c>
      <c r="F13" s="4">
        <v>63558</v>
      </c>
      <c r="G13" s="4">
        <v>47769</v>
      </c>
      <c r="H13" s="4">
        <v>48423</v>
      </c>
      <c r="I13" s="4">
        <v>47175</v>
      </c>
      <c r="J13" s="4">
        <v>69219</v>
      </c>
      <c r="K13" s="4">
        <v>50457</v>
      </c>
      <c r="L13" s="4">
        <v>51140</v>
      </c>
      <c r="M13" s="4">
        <v>51173</v>
      </c>
      <c r="N13" s="4">
        <v>69588</v>
      </c>
      <c r="P13" s="4">
        <v>144939</v>
      </c>
      <c r="Q13" s="4">
        <v>170684</v>
      </c>
      <c r="R13" s="4">
        <v>199382</v>
      </c>
      <c r="S13" s="4">
        <v>212586</v>
      </c>
      <c r="T13" s="4">
        <v>222358</v>
      </c>
      <c r="U13" s="4">
        <f>U10*0.89</f>
        <v>235496.22500000001</v>
      </c>
      <c r="V13" s="4">
        <f t="shared" ref="V13:AB13" si="13">V10*0.89</f>
        <v>249625.99850000002</v>
      </c>
      <c r="W13" s="4">
        <f t="shared" si="13"/>
        <v>264603.55841000006</v>
      </c>
      <c r="X13" s="4">
        <f t="shared" si="13"/>
        <v>280479.77191460005</v>
      </c>
      <c r="Y13" s="4">
        <f t="shared" si="13"/>
        <v>297308.5582294761</v>
      </c>
      <c r="Z13" s="4">
        <f t="shared" si="13"/>
        <v>315147.07172324468</v>
      </c>
      <c r="AA13" s="4">
        <f t="shared" si="13"/>
        <v>334055.89602663938</v>
      </c>
      <c r="AB13" s="4">
        <f t="shared" si="13"/>
        <v>354099.24978823779</v>
      </c>
      <c r="AC13" s="4"/>
      <c r="AD13" s="4"/>
      <c r="AE13" s="4"/>
      <c r="AF13" s="4"/>
      <c r="AG13" s="4"/>
      <c r="AH13" s="4"/>
      <c r="AI13" s="4"/>
      <c r="AJ13" s="4"/>
    </row>
    <row r="14" spans="1:91" s="5" customFormat="1" x14ac:dyDescent="0.25">
      <c r="B14" s="5" t="s">
        <v>18</v>
      </c>
      <c r="C14" s="6">
        <f t="shared" ref="C14:F14" si="14">C10-C13</f>
        <v>5465</v>
      </c>
      <c r="D14" s="6">
        <f t="shared" si="14"/>
        <v>5420</v>
      </c>
      <c r="E14" s="6">
        <f t="shared" si="14"/>
        <v>5257</v>
      </c>
      <c r="F14" s="6">
        <f t="shared" si="14"/>
        <v>7206</v>
      </c>
      <c r="G14" s="6">
        <f t="shared" ref="G14:L14" si="15">G10-G13</f>
        <v>5668</v>
      </c>
      <c r="H14" s="6">
        <f t="shared" si="15"/>
        <v>5816</v>
      </c>
      <c r="I14" s="6">
        <f t="shared" si="15"/>
        <v>5429</v>
      </c>
      <c r="J14" s="6">
        <f t="shared" si="15"/>
        <v>8211</v>
      </c>
      <c r="K14" s="6">
        <f t="shared" si="15"/>
        <v>6260</v>
      </c>
      <c r="L14" s="6">
        <f t="shared" si="15"/>
        <v>6191</v>
      </c>
      <c r="M14" s="6">
        <f>M10-M13</f>
        <v>6219</v>
      </c>
      <c r="N14" s="6">
        <f t="shared" ref="N14" si="16">N10-N13</f>
        <v>8597</v>
      </c>
      <c r="O14" s="6"/>
      <c r="P14" s="6">
        <f t="shared" ref="P14:R14" si="17">P12-P13</f>
        <v>21822</v>
      </c>
      <c r="Q14" s="6">
        <f t="shared" si="17"/>
        <v>25245</v>
      </c>
      <c r="R14" s="6">
        <f t="shared" si="17"/>
        <v>27572</v>
      </c>
      <c r="S14" s="6">
        <f>S12-S13</f>
        <v>29704</v>
      </c>
      <c r="T14" s="6">
        <f t="shared" ref="T14:AB14" si="18">T12-T13</f>
        <v>32095</v>
      </c>
      <c r="U14" s="6">
        <f>U12-U13</f>
        <v>34223.954999999987</v>
      </c>
      <c r="V14" s="6">
        <f t="shared" si="18"/>
        <v>36277.392300000036</v>
      </c>
      <c r="W14" s="6">
        <f t="shared" si="18"/>
        <v>38454.035838000011</v>
      </c>
      <c r="X14" s="6">
        <f t="shared" si="18"/>
        <v>40761.277988279995</v>
      </c>
      <c r="Y14" s="6">
        <f t="shared" si="18"/>
        <v>43206.954667576822</v>
      </c>
      <c r="Z14" s="6">
        <f t="shared" si="18"/>
        <v>45799.371947631415</v>
      </c>
      <c r="AA14" s="6">
        <f t="shared" si="18"/>
        <v>48547.334264489298</v>
      </c>
      <c r="AB14" s="6">
        <f t="shared" si="18"/>
        <v>51460.174320358667</v>
      </c>
      <c r="AC14" s="6"/>
      <c r="AD14" s="6"/>
      <c r="AE14" s="6"/>
      <c r="AF14" s="6"/>
      <c r="AG14" s="6"/>
      <c r="AH14" s="6"/>
      <c r="AI14" s="6"/>
      <c r="AJ14" s="6"/>
    </row>
    <row r="15" spans="1:91" x14ac:dyDescent="0.25">
      <c r="B15" s="2" t="s">
        <v>11</v>
      </c>
      <c r="C15" s="4">
        <v>4718</v>
      </c>
      <c r="D15" s="4">
        <v>4575</v>
      </c>
      <c r="E15" s="4">
        <v>4450</v>
      </c>
      <c r="F15" s="4">
        <v>6036</v>
      </c>
      <c r="G15" s="4">
        <v>4917</v>
      </c>
      <c r="H15" s="4">
        <v>4940</v>
      </c>
      <c r="I15" s="4">
        <v>4794</v>
      </c>
      <c r="J15" s="4">
        <v>6939</v>
      </c>
      <c r="K15" s="4">
        <v>5358</v>
      </c>
      <c r="L15" s="4">
        <v>5240</v>
      </c>
      <c r="M15" s="4">
        <v>5145</v>
      </c>
      <c r="N15" s="4">
        <v>7067</v>
      </c>
      <c r="P15" s="4">
        <v>16387</v>
      </c>
      <c r="Q15" s="4">
        <v>18537</v>
      </c>
      <c r="R15" s="4">
        <v>19779</v>
      </c>
      <c r="S15" s="4">
        <v>21590</v>
      </c>
      <c r="T15" s="4">
        <v>22810</v>
      </c>
      <c r="U15" s="4">
        <f>T15*1.05</f>
        <v>23950.5</v>
      </c>
      <c r="V15" s="4">
        <f t="shared" ref="V15:AB15" si="19">U15*1.05</f>
        <v>25148.025000000001</v>
      </c>
      <c r="W15" s="4">
        <f t="shared" si="19"/>
        <v>26405.426250000004</v>
      </c>
      <c r="X15" s="4">
        <f t="shared" si="19"/>
        <v>27725.697562500005</v>
      </c>
      <c r="Y15" s="4">
        <f t="shared" si="19"/>
        <v>29111.982440625008</v>
      </c>
      <c r="Z15" s="4">
        <f t="shared" si="19"/>
        <v>30567.581562656262</v>
      </c>
      <c r="AA15" s="4">
        <f t="shared" si="19"/>
        <v>32095.960640789075</v>
      </c>
      <c r="AB15" s="4">
        <f t="shared" si="19"/>
        <v>33700.758672828531</v>
      </c>
      <c r="AC15" s="4"/>
      <c r="AD15" s="4"/>
      <c r="AE15" s="4"/>
      <c r="AF15" s="4"/>
      <c r="AG15" s="4"/>
      <c r="AH15" s="4"/>
      <c r="AI15" s="4"/>
      <c r="AJ15" s="4"/>
    </row>
    <row r="16" spans="1:91" s="5" customFormat="1" x14ac:dyDescent="0.25">
      <c r="B16" s="5" t="s">
        <v>12</v>
      </c>
      <c r="C16" s="7">
        <f t="shared" ref="C16:F16" si="20">C13+C15</f>
        <v>48670</v>
      </c>
      <c r="D16" s="7">
        <f t="shared" si="20"/>
        <v>50092</v>
      </c>
      <c r="E16" s="7">
        <f t="shared" si="20"/>
        <v>50805</v>
      </c>
      <c r="F16" s="7">
        <f t="shared" si="20"/>
        <v>69594</v>
      </c>
      <c r="G16" s="7">
        <f t="shared" ref="G16:L16" si="21">G13+G15</f>
        <v>52686</v>
      </c>
      <c r="H16" s="7">
        <f t="shared" si="21"/>
        <v>53363</v>
      </c>
      <c r="I16" s="7">
        <f t="shared" si="21"/>
        <v>51969</v>
      </c>
      <c r="J16" s="7">
        <f t="shared" si="21"/>
        <v>76158</v>
      </c>
      <c r="K16" s="7">
        <f t="shared" si="21"/>
        <v>55815</v>
      </c>
      <c r="L16" s="7">
        <f t="shared" si="21"/>
        <v>56380</v>
      </c>
      <c r="M16" s="7">
        <f>M13+M15</f>
        <v>56318</v>
      </c>
      <c r="N16" s="7">
        <f>N13+N15</f>
        <v>76655</v>
      </c>
      <c r="O16" s="7"/>
      <c r="P16" s="6">
        <f t="shared" ref="P16:R16" si="22">P13+P15</f>
        <v>161326</v>
      </c>
      <c r="Q16" s="6">
        <f t="shared" si="22"/>
        <v>189221</v>
      </c>
      <c r="R16" s="6">
        <f t="shared" si="22"/>
        <v>219161</v>
      </c>
      <c r="S16" s="6">
        <f>S13+S15</f>
        <v>234176</v>
      </c>
      <c r="T16" s="6">
        <f t="shared" ref="T16:AB16" si="23">T13+T15</f>
        <v>245168</v>
      </c>
      <c r="U16" s="6">
        <f t="shared" si="23"/>
        <v>259446.72500000001</v>
      </c>
      <c r="V16" s="6">
        <f t="shared" si="23"/>
        <v>274774.02350000001</v>
      </c>
      <c r="W16" s="6">
        <f t="shared" si="23"/>
        <v>291008.98466000007</v>
      </c>
      <c r="X16" s="6">
        <f t="shared" si="23"/>
        <v>308205.46947710006</v>
      </c>
      <c r="Y16" s="6">
        <f t="shared" si="23"/>
        <v>326420.54067010112</v>
      </c>
      <c r="Z16" s="6">
        <f t="shared" si="23"/>
        <v>345714.65328590095</v>
      </c>
      <c r="AA16" s="6">
        <f t="shared" si="23"/>
        <v>366151.85666742845</v>
      </c>
      <c r="AB16" s="6">
        <f t="shared" si="23"/>
        <v>387800.00846106635</v>
      </c>
      <c r="AC16" s="6"/>
      <c r="AD16" s="6"/>
      <c r="AE16" s="6"/>
      <c r="AF16" s="6"/>
      <c r="AG16" s="6"/>
      <c r="AH16" s="6"/>
      <c r="AI16" s="6"/>
      <c r="AJ16" s="6"/>
    </row>
    <row r="17" spans="2:91" s="5" customFormat="1" x14ac:dyDescent="0.25">
      <c r="B17" s="5" t="s">
        <v>13</v>
      </c>
      <c r="C17" s="7">
        <f t="shared" ref="C17:F17" si="24">C12-C16</f>
        <v>1693</v>
      </c>
      <c r="D17" s="7">
        <f t="shared" si="24"/>
        <v>1812</v>
      </c>
      <c r="E17" s="7">
        <f t="shared" si="24"/>
        <v>1791</v>
      </c>
      <c r="F17" s="7">
        <f t="shared" si="24"/>
        <v>2497</v>
      </c>
      <c r="G17" s="7">
        <f t="shared" ref="G17:L17" si="25">G12-G16</f>
        <v>1751</v>
      </c>
      <c r="H17" s="7">
        <f t="shared" si="25"/>
        <v>1903</v>
      </c>
      <c r="I17" s="7">
        <f t="shared" si="25"/>
        <v>1679</v>
      </c>
      <c r="J17" s="7">
        <f t="shared" si="25"/>
        <v>2781</v>
      </c>
      <c r="K17" s="7">
        <f t="shared" si="25"/>
        <v>1984</v>
      </c>
      <c r="L17" s="7">
        <f t="shared" si="25"/>
        <v>2062</v>
      </c>
      <c r="M17" s="7">
        <f>M12-M16</f>
        <v>2197</v>
      </c>
      <c r="N17" s="7">
        <f>N12-N16</f>
        <v>3042</v>
      </c>
      <c r="O17" s="7"/>
      <c r="P17" s="6">
        <f t="shared" ref="P17:R17" si="26">P12-P16</f>
        <v>5435</v>
      </c>
      <c r="Q17" s="6">
        <f t="shared" si="26"/>
        <v>6708</v>
      </c>
      <c r="R17" s="6">
        <f t="shared" si="26"/>
        <v>7793</v>
      </c>
      <c r="S17" s="6">
        <f>S12-S16</f>
        <v>8114</v>
      </c>
      <c r="T17" s="6">
        <f t="shared" ref="T17:AB17" si="27">T12-T16</f>
        <v>9285</v>
      </c>
      <c r="U17" s="6">
        <f t="shared" si="27"/>
        <v>10273.454999999987</v>
      </c>
      <c r="V17" s="6">
        <f t="shared" si="27"/>
        <v>11129.367300000042</v>
      </c>
      <c r="W17" s="6">
        <f t="shared" si="27"/>
        <v>12048.609587999992</v>
      </c>
      <c r="X17" s="6">
        <f t="shared" si="27"/>
        <v>13035.580425779975</v>
      </c>
      <c r="Y17" s="6">
        <f t="shared" si="27"/>
        <v>14094.972226951795</v>
      </c>
      <c r="Z17" s="6">
        <f t="shared" si="27"/>
        <v>15231.790384975146</v>
      </c>
      <c r="AA17" s="6">
        <f t="shared" si="27"/>
        <v>16451.37362370023</v>
      </c>
      <c r="AB17" s="6">
        <f t="shared" si="27"/>
        <v>17759.415647530113</v>
      </c>
      <c r="AC17" s="6"/>
      <c r="AD17" s="6"/>
      <c r="AE17" s="6"/>
      <c r="AF17" s="6"/>
      <c r="AG17" s="6"/>
      <c r="AH17" s="6"/>
      <c r="AI17" s="6"/>
      <c r="AJ17" s="6"/>
    </row>
    <row r="18" spans="2:91" x14ac:dyDescent="0.25">
      <c r="B18" s="2" t="s">
        <v>14</v>
      </c>
      <c r="C18" s="4">
        <v>-39</v>
      </c>
      <c r="D18" s="4">
        <v>-36</v>
      </c>
      <c r="E18" s="4">
        <v>-35</v>
      </c>
      <c r="F18" s="4">
        <v>-48</v>
      </c>
      <c r="G18" s="4">
        <v>-34</v>
      </c>
      <c r="H18" s="4">
        <v>-34</v>
      </c>
      <c r="I18" s="4">
        <v>-36</v>
      </c>
      <c r="J18" s="4">
        <v>-56</v>
      </c>
      <c r="K18" s="4">
        <v>-38</v>
      </c>
      <c r="L18" s="4">
        <v>-41</v>
      </c>
      <c r="M18" s="4">
        <v>-41</v>
      </c>
      <c r="N18" s="4">
        <v>-49</v>
      </c>
      <c r="P18" s="4">
        <v>-160</v>
      </c>
      <c r="Q18" s="4">
        <v>-171</v>
      </c>
      <c r="R18" s="4">
        <v>-158</v>
      </c>
      <c r="S18" s="4">
        <v>-160</v>
      </c>
      <c r="T18" s="4">
        <v>-169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2:91" x14ac:dyDescent="0.25">
      <c r="B19" s="2" t="s">
        <v>15</v>
      </c>
      <c r="C19" s="4">
        <v>42</v>
      </c>
      <c r="D19" s="4">
        <v>25</v>
      </c>
      <c r="E19" s="4">
        <v>71</v>
      </c>
      <c r="F19" s="4">
        <v>67</v>
      </c>
      <c r="G19" s="4">
        <v>53</v>
      </c>
      <c r="H19" s="4">
        <v>114</v>
      </c>
      <c r="I19" s="4">
        <v>128</v>
      </c>
      <c r="J19" s="4">
        <v>238</v>
      </c>
      <c r="K19" s="4">
        <v>160</v>
      </c>
      <c r="L19" s="4">
        <v>216</v>
      </c>
      <c r="M19" s="4">
        <v>128</v>
      </c>
      <c r="N19" s="4">
        <v>120</v>
      </c>
      <c r="P19" s="4">
        <v>92</v>
      </c>
      <c r="Q19" s="4">
        <v>143</v>
      </c>
      <c r="R19" s="4">
        <v>205</v>
      </c>
      <c r="S19" s="4">
        <v>533</v>
      </c>
      <c r="T19" s="4">
        <v>624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2:91" x14ac:dyDescent="0.25">
      <c r="B20" s="2" t="s">
        <v>98</v>
      </c>
      <c r="C20" s="4">
        <f>C18+C19</f>
        <v>3</v>
      </c>
      <c r="D20" s="4">
        <f t="shared" ref="D20:T20" si="28">D18+D19</f>
        <v>-11</v>
      </c>
      <c r="E20" s="4">
        <f t="shared" si="28"/>
        <v>36</v>
      </c>
      <c r="F20" s="4">
        <f t="shared" si="28"/>
        <v>19</v>
      </c>
      <c r="G20" s="4">
        <f t="shared" si="28"/>
        <v>19</v>
      </c>
      <c r="H20" s="4">
        <f t="shared" si="28"/>
        <v>80</v>
      </c>
      <c r="I20" s="4">
        <f t="shared" si="28"/>
        <v>92</v>
      </c>
      <c r="J20" s="4">
        <f t="shared" si="28"/>
        <v>182</v>
      </c>
      <c r="K20" s="4">
        <f t="shared" si="28"/>
        <v>122</v>
      </c>
      <c r="L20" s="4">
        <f t="shared" si="28"/>
        <v>175</v>
      </c>
      <c r="M20" s="4">
        <f t="shared" si="28"/>
        <v>87</v>
      </c>
      <c r="N20" s="4">
        <f t="shared" si="28"/>
        <v>71</v>
      </c>
      <c r="O20" s="4"/>
      <c r="P20" s="4">
        <f t="shared" si="28"/>
        <v>-68</v>
      </c>
      <c r="Q20" s="4">
        <f t="shared" si="28"/>
        <v>-28</v>
      </c>
      <c r="R20" s="4">
        <f t="shared" si="28"/>
        <v>47</v>
      </c>
      <c r="S20" s="4">
        <f t="shared" si="28"/>
        <v>373</v>
      </c>
      <c r="T20" s="4">
        <f t="shared" si="28"/>
        <v>455</v>
      </c>
      <c r="U20" s="4">
        <f>T36*$AD$38</f>
        <v>78.704999999999998</v>
      </c>
      <c r="V20" s="4">
        <f t="shared" ref="V20:AB20" si="29">U36*$AD$38</f>
        <v>199.82527199999984</v>
      </c>
      <c r="W20" s="4">
        <f t="shared" si="29"/>
        <v>332.37682509240034</v>
      </c>
      <c r="X20" s="4">
        <f t="shared" si="29"/>
        <v>477.23436612558129</v>
      </c>
      <c r="Y20" s="4">
        <f t="shared" si="29"/>
        <v>635.33429919087632</v>
      </c>
      <c r="Z20" s="4">
        <f t="shared" si="29"/>
        <v>807.67888554674562</v>
      </c>
      <c r="AA20" s="4">
        <f t="shared" si="29"/>
        <v>995.34067601185177</v>
      </c>
      <c r="AB20" s="4">
        <f t="shared" si="29"/>
        <v>1199.4672333184831</v>
      </c>
      <c r="AC20" s="4"/>
      <c r="AD20" s="4"/>
      <c r="AE20" s="4"/>
      <c r="AF20" s="4"/>
      <c r="AG20" s="4"/>
      <c r="AH20" s="4"/>
      <c r="AI20" s="4"/>
      <c r="AJ20" s="4"/>
    </row>
    <row r="21" spans="2:91" s="5" customFormat="1" x14ac:dyDescent="0.25">
      <c r="B21" s="5" t="s">
        <v>16</v>
      </c>
      <c r="C21" s="7">
        <f>C17+C20</f>
        <v>1696</v>
      </c>
      <c r="D21" s="7">
        <f t="shared" ref="D21:AB21" si="30">D17+D20</f>
        <v>1801</v>
      </c>
      <c r="E21" s="7">
        <f t="shared" si="30"/>
        <v>1827</v>
      </c>
      <c r="F21" s="7">
        <f t="shared" si="30"/>
        <v>2516</v>
      </c>
      <c r="G21" s="7">
        <f t="shared" si="30"/>
        <v>1770</v>
      </c>
      <c r="H21" s="7">
        <f t="shared" si="30"/>
        <v>1983</v>
      </c>
      <c r="I21" s="7">
        <f t="shared" si="30"/>
        <v>1771</v>
      </c>
      <c r="J21" s="7">
        <f t="shared" si="30"/>
        <v>2963</v>
      </c>
      <c r="K21" s="7">
        <f t="shared" si="30"/>
        <v>2106</v>
      </c>
      <c r="L21" s="7">
        <f t="shared" si="30"/>
        <v>2237</v>
      </c>
      <c r="M21" s="7">
        <f t="shared" si="30"/>
        <v>2284</v>
      </c>
      <c r="N21" s="7">
        <f t="shared" si="30"/>
        <v>3113</v>
      </c>
      <c r="O21" s="7"/>
      <c r="P21" s="7">
        <f t="shared" si="30"/>
        <v>5367</v>
      </c>
      <c r="Q21" s="7">
        <f t="shared" si="30"/>
        <v>6680</v>
      </c>
      <c r="R21" s="7">
        <f t="shared" si="30"/>
        <v>7840</v>
      </c>
      <c r="S21" s="7">
        <f t="shared" si="30"/>
        <v>8487</v>
      </c>
      <c r="T21" s="7">
        <f t="shared" si="30"/>
        <v>9740</v>
      </c>
      <c r="U21" s="7">
        <f t="shared" si="30"/>
        <v>10352.159999999987</v>
      </c>
      <c r="V21" s="7">
        <f t="shared" si="30"/>
        <v>11329.192572000042</v>
      </c>
      <c r="W21" s="7">
        <f t="shared" si="30"/>
        <v>12380.986413092392</v>
      </c>
      <c r="X21" s="7">
        <f t="shared" si="30"/>
        <v>13512.814791905557</v>
      </c>
      <c r="Y21" s="7">
        <f t="shared" si="30"/>
        <v>14730.306526142671</v>
      </c>
      <c r="Z21" s="7">
        <f t="shared" si="30"/>
        <v>16039.469270521891</v>
      </c>
      <c r="AA21" s="7">
        <f t="shared" si="30"/>
        <v>17446.714299712083</v>
      </c>
      <c r="AB21" s="7">
        <f t="shared" si="30"/>
        <v>18958.882880848596</v>
      </c>
      <c r="AC21" s="6"/>
      <c r="AD21" s="6"/>
      <c r="AE21" s="6"/>
      <c r="AF21" s="6"/>
      <c r="AG21" s="6"/>
      <c r="AH21" s="6"/>
      <c r="AI21" s="6"/>
      <c r="AJ21" s="6"/>
    </row>
    <row r="22" spans="2:91" x14ac:dyDescent="0.25">
      <c r="B22" s="2" t="s">
        <v>59</v>
      </c>
      <c r="C22" s="4">
        <v>351</v>
      </c>
      <c r="D22" s="4">
        <v>481</v>
      </c>
      <c r="E22" s="4">
        <v>455</v>
      </c>
      <c r="F22" s="4">
        <v>638</v>
      </c>
      <c r="G22" s="4">
        <v>406</v>
      </c>
      <c r="H22" s="4">
        <v>517</v>
      </c>
      <c r="I22" s="4">
        <v>469</v>
      </c>
      <c r="J22" s="4">
        <v>803</v>
      </c>
      <c r="K22" s="4">
        <v>517</v>
      </c>
      <c r="L22" s="4">
        <v>494</v>
      </c>
      <c r="M22" s="4">
        <v>603</v>
      </c>
      <c r="N22" s="4">
        <v>759</v>
      </c>
      <c r="P22" s="4">
        <v>1308</v>
      </c>
      <c r="Q22" s="4">
        <v>1601</v>
      </c>
      <c r="R22" s="4">
        <v>1925</v>
      </c>
      <c r="S22" s="4">
        <v>2195</v>
      </c>
      <c r="T22" s="4">
        <v>2373</v>
      </c>
      <c r="U22" s="4">
        <f>U21*0.22</f>
        <v>2277.4751999999971</v>
      </c>
      <c r="V22" s="4">
        <f t="shared" ref="V22:AB22" si="31">V21*0.22</f>
        <v>2492.4223658400092</v>
      </c>
      <c r="W22" s="4">
        <f t="shared" si="31"/>
        <v>2723.8170108803265</v>
      </c>
      <c r="X22" s="4">
        <f t="shared" si="31"/>
        <v>2972.8192542192228</v>
      </c>
      <c r="Y22" s="4">
        <f t="shared" si="31"/>
        <v>3240.6674357513875</v>
      </c>
      <c r="Z22" s="4">
        <f t="shared" si="31"/>
        <v>3528.6832395148163</v>
      </c>
      <c r="AA22" s="4">
        <f t="shared" si="31"/>
        <v>3838.2771459366581</v>
      </c>
      <c r="AB22" s="4">
        <f t="shared" si="31"/>
        <v>4170.9542337866915</v>
      </c>
      <c r="AC22" s="4"/>
      <c r="AD22" s="4"/>
      <c r="AE22" s="4"/>
      <c r="AF22" s="4"/>
      <c r="AG22" s="4"/>
      <c r="AH22" s="4"/>
      <c r="AI22" s="4"/>
      <c r="AJ22" s="4"/>
    </row>
    <row r="23" spans="2:91" s="5" customFormat="1" x14ac:dyDescent="0.25">
      <c r="B23" s="5" t="s">
        <v>17</v>
      </c>
      <c r="C23" s="7">
        <f>C21-C22-21</f>
        <v>1324</v>
      </c>
      <c r="D23" s="7">
        <f>D21-D22-21</f>
        <v>1299</v>
      </c>
      <c r="E23" s="7">
        <f>E21-E22-19</f>
        <v>1353</v>
      </c>
      <c r="F23" s="7">
        <f>F21-F22-10</f>
        <v>1868</v>
      </c>
      <c r="G23" s="7">
        <f t="shared" ref="G23:L23" si="32">G21-G22</f>
        <v>1364</v>
      </c>
      <c r="H23" s="7">
        <f t="shared" si="32"/>
        <v>1466</v>
      </c>
      <c r="I23" s="7">
        <f t="shared" si="32"/>
        <v>1302</v>
      </c>
      <c r="J23" s="7">
        <f t="shared" si="32"/>
        <v>2160</v>
      </c>
      <c r="K23" s="7">
        <f t="shared" si="32"/>
        <v>1589</v>
      </c>
      <c r="L23" s="7">
        <f t="shared" si="32"/>
        <v>1743</v>
      </c>
      <c r="M23" s="7">
        <f>M21-M22</f>
        <v>1681</v>
      </c>
      <c r="N23" s="7">
        <f t="shared" ref="N23" si="33">N21-N22</f>
        <v>2354</v>
      </c>
      <c r="O23" s="7"/>
      <c r="P23" s="7">
        <f>P21-P22-57</f>
        <v>4002</v>
      </c>
      <c r="Q23" s="7">
        <f>Q21-Q22-72</f>
        <v>5007</v>
      </c>
      <c r="R23" s="7">
        <f>R21-R22-71</f>
        <v>5844</v>
      </c>
      <c r="S23" s="7">
        <f>S21-S22</f>
        <v>6292</v>
      </c>
      <c r="T23" s="7">
        <f t="shared" ref="T23:AB23" si="34">T21-T22</f>
        <v>7367</v>
      </c>
      <c r="U23" s="7">
        <f t="shared" si="34"/>
        <v>8074.68479999999</v>
      </c>
      <c r="V23" s="7">
        <f t="shared" si="34"/>
        <v>8836.7702061600321</v>
      </c>
      <c r="W23" s="7">
        <f t="shared" si="34"/>
        <v>9657.1694022120664</v>
      </c>
      <c r="X23" s="7">
        <f t="shared" si="34"/>
        <v>10539.995537686335</v>
      </c>
      <c r="Y23" s="7">
        <f t="shared" si="34"/>
        <v>11489.639090391283</v>
      </c>
      <c r="Z23" s="7">
        <f t="shared" si="34"/>
        <v>12510.786031007076</v>
      </c>
      <c r="AA23" s="7">
        <f t="shared" si="34"/>
        <v>13608.437153775425</v>
      </c>
      <c r="AB23" s="7">
        <f t="shared" si="34"/>
        <v>14787.928647061904</v>
      </c>
      <c r="AC23" s="7">
        <f>AB23*(1+$AD$35)</f>
        <v>15231.566506473762</v>
      </c>
      <c r="AD23" s="7">
        <f t="shared" ref="AD23:CM23" si="35">AC23*(1+$AD$35)</f>
        <v>15688.513501667976</v>
      </c>
      <c r="AE23" s="7">
        <f t="shared" si="35"/>
        <v>16159.168906718016</v>
      </c>
      <c r="AF23" s="7">
        <f t="shared" si="35"/>
        <v>16643.943973919559</v>
      </c>
      <c r="AG23" s="7">
        <f t="shared" si="35"/>
        <v>17143.262293137144</v>
      </c>
      <c r="AH23" s="7">
        <f t="shared" si="35"/>
        <v>17657.560161931258</v>
      </c>
      <c r="AI23" s="7">
        <f t="shared" si="35"/>
        <v>18187.286966789197</v>
      </c>
      <c r="AJ23" s="7">
        <f t="shared" si="35"/>
        <v>18732.905575792873</v>
      </c>
      <c r="AK23" s="7">
        <f t="shared" si="35"/>
        <v>19294.892743066659</v>
      </c>
      <c r="AL23" s="7">
        <f t="shared" si="35"/>
        <v>19873.739525358658</v>
      </c>
      <c r="AM23" s="7">
        <f t="shared" si="35"/>
        <v>20469.951711119418</v>
      </c>
      <c r="AN23" s="7">
        <f t="shared" si="35"/>
        <v>21084.050262453002</v>
      </c>
      <c r="AO23" s="7">
        <f t="shared" si="35"/>
        <v>21716.571770326591</v>
      </c>
      <c r="AP23" s="7">
        <f t="shared" si="35"/>
        <v>22368.068923436389</v>
      </c>
      <c r="AQ23" s="7">
        <f t="shared" si="35"/>
        <v>23039.110991139481</v>
      </c>
      <c r="AR23" s="7">
        <f t="shared" si="35"/>
        <v>23730.284320873667</v>
      </c>
      <c r="AS23" s="7">
        <f t="shared" si="35"/>
        <v>24442.192850499876</v>
      </c>
      <c r="AT23" s="7">
        <f t="shared" si="35"/>
        <v>25175.458636014871</v>
      </c>
      <c r="AU23" s="7">
        <f t="shared" si="35"/>
        <v>25930.722395095319</v>
      </c>
      <c r="AV23" s="7">
        <f t="shared" si="35"/>
        <v>26708.644066948178</v>
      </c>
      <c r="AW23" s="7">
        <f t="shared" si="35"/>
        <v>27509.903388956624</v>
      </c>
      <c r="AX23" s="7">
        <f t="shared" si="35"/>
        <v>28335.200490625324</v>
      </c>
      <c r="AY23" s="7">
        <f t="shared" si="35"/>
        <v>29185.256505344085</v>
      </c>
      <c r="AZ23" s="7">
        <f t="shared" si="35"/>
        <v>30060.814200504406</v>
      </c>
      <c r="BA23" s="7">
        <f t="shared" si="35"/>
        <v>30962.63862651954</v>
      </c>
      <c r="BB23" s="7">
        <f t="shared" si="35"/>
        <v>31891.517785315125</v>
      </c>
      <c r="BC23" s="7">
        <f t="shared" si="35"/>
        <v>32848.263318874582</v>
      </c>
      <c r="BD23" s="7">
        <f t="shared" si="35"/>
        <v>33833.711218440818</v>
      </c>
      <c r="BE23" s="7">
        <f t="shared" si="35"/>
        <v>34848.722554994041</v>
      </c>
      <c r="BF23" s="7">
        <f t="shared" si="35"/>
        <v>35894.184231643863</v>
      </c>
      <c r="BG23" s="7">
        <f t="shared" si="35"/>
        <v>36971.00975859318</v>
      </c>
      <c r="BH23" s="7">
        <f t="shared" si="35"/>
        <v>38080.14005135098</v>
      </c>
      <c r="BI23" s="7">
        <f t="shared" si="35"/>
        <v>39222.544252891508</v>
      </c>
      <c r="BJ23" s="7">
        <f t="shared" si="35"/>
        <v>40399.220580478257</v>
      </c>
      <c r="BK23" s="7">
        <f t="shared" si="35"/>
        <v>41611.197197892609</v>
      </c>
      <c r="BL23" s="7">
        <f t="shared" si="35"/>
        <v>42859.533113829391</v>
      </c>
      <c r="BM23" s="7">
        <f t="shared" si="35"/>
        <v>44145.319107244271</v>
      </c>
      <c r="BN23" s="7">
        <f t="shared" si="35"/>
        <v>45469.678680461599</v>
      </c>
      <c r="BO23" s="7">
        <f t="shared" si="35"/>
        <v>46833.76904087545</v>
      </c>
      <c r="BP23" s="7">
        <f t="shared" si="35"/>
        <v>48238.782112101711</v>
      </c>
      <c r="BQ23" s="7">
        <f t="shared" si="35"/>
        <v>49685.945575464764</v>
      </c>
      <c r="BR23" s="7">
        <f t="shared" si="35"/>
        <v>51176.523942728709</v>
      </c>
      <c r="BS23" s="7">
        <f t="shared" si="35"/>
        <v>52711.819661010573</v>
      </c>
      <c r="BT23" s="7">
        <f t="shared" si="35"/>
        <v>54293.174250840893</v>
      </c>
      <c r="BU23" s="7">
        <f t="shared" si="35"/>
        <v>55921.969478366118</v>
      </c>
      <c r="BV23" s="7">
        <f t="shared" si="35"/>
        <v>57599.628562717102</v>
      </c>
      <c r="BW23" s="7">
        <f t="shared" si="35"/>
        <v>59327.617419598617</v>
      </c>
      <c r="BX23" s="7">
        <f t="shared" si="35"/>
        <v>61107.445942186576</v>
      </c>
      <c r="BY23" s="7">
        <f t="shared" si="35"/>
        <v>62940.669320452173</v>
      </c>
      <c r="BZ23" s="7">
        <f t="shared" si="35"/>
        <v>64828.889400065738</v>
      </c>
      <c r="CA23" s="7">
        <f t="shared" si="35"/>
        <v>66773.756082067717</v>
      </c>
      <c r="CB23" s="7">
        <f t="shared" si="35"/>
        <v>68776.968764529753</v>
      </c>
      <c r="CC23" s="7">
        <f t="shared" si="35"/>
        <v>70840.277827465645</v>
      </c>
      <c r="CD23" s="7">
        <f t="shared" si="35"/>
        <v>72965.486162289613</v>
      </c>
      <c r="CE23" s="7">
        <f t="shared" si="35"/>
        <v>75154.450747158306</v>
      </c>
      <c r="CF23" s="7">
        <f t="shared" si="35"/>
        <v>77409.084269573053</v>
      </c>
      <c r="CG23" s="7">
        <f t="shared" si="35"/>
        <v>79731.35679766025</v>
      </c>
      <c r="CH23" s="7">
        <f t="shared" si="35"/>
        <v>82123.297501590059</v>
      </c>
      <c r="CI23" s="7">
        <f t="shared" si="35"/>
        <v>84586.996426637765</v>
      </c>
      <c r="CJ23" s="7">
        <f t="shared" si="35"/>
        <v>87124.606319436905</v>
      </c>
      <c r="CK23" s="7">
        <f t="shared" si="35"/>
        <v>89738.344509020011</v>
      </c>
      <c r="CL23" s="7">
        <f t="shared" si="35"/>
        <v>92430.494844290617</v>
      </c>
      <c r="CM23" s="7">
        <f t="shared" si="35"/>
        <v>95203.409689619337</v>
      </c>
    </row>
    <row r="24" spans="2:91" s="5" customFormat="1" x14ac:dyDescent="0.25">
      <c r="B24" s="5" t="s">
        <v>20</v>
      </c>
      <c r="C24" s="8">
        <f t="shared" ref="C24:F24" si="36">C23/C25</f>
        <v>2.9779309227987154</v>
      </c>
      <c r="D24" s="8">
        <f t="shared" si="36"/>
        <v>2.9196522489638492</v>
      </c>
      <c r="E24" s="8">
        <f t="shared" si="36"/>
        <v>3.0412285394460601</v>
      </c>
      <c r="F24" s="8">
        <f t="shared" si="36"/>
        <v>4.2010097716206953</v>
      </c>
      <c r="G24" s="8">
        <f t="shared" ref="G24:L24" si="37">G23/G25</f>
        <v>3.0684024286270248</v>
      </c>
      <c r="H24" s="8">
        <f t="shared" si="37"/>
        <v>3.2982732437144944</v>
      </c>
      <c r="I24" s="8">
        <f t="shared" si="37"/>
        <v>2.9300567107750473</v>
      </c>
      <c r="J24" s="8">
        <f t="shared" si="37"/>
        <v>4.8599939250075934</v>
      </c>
      <c r="K24" s="8">
        <f t="shared" si="37"/>
        <v>3.575583423154209</v>
      </c>
      <c r="L24" s="8">
        <f t="shared" si="37"/>
        <v>3.9190204022898052</v>
      </c>
      <c r="M24" s="8">
        <f>M23/M25</f>
        <v>3.7789887327236595</v>
      </c>
      <c r="N24" s="8">
        <f t="shared" ref="N24" si="38">N23/N25</f>
        <v>5.2901610645044581</v>
      </c>
      <c r="O24" s="8"/>
      <c r="P24" s="23">
        <f t="shared" ref="P24:R24" si="39">P23/P25</f>
        <v>9.2233020896471771</v>
      </c>
      <c r="Q24" s="23">
        <f t="shared" si="39"/>
        <v>11.268245916470498</v>
      </c>
      <c r="R24" s="23">
        <f t="shared" si="39"/>
        <v>13.139759464156832</v>
      </c>
      <c r="S24" s="23">
        <f>S23/S25</f>
        <v>14.156759335091303</v>
      </c>
      <c r="T24" s="23">
        <f>T23/T25</f>
        <v>16.564026810025204</v>
      </c>
      <c r="U24" s="23">
        <f t="shared" ref="U24:AB24" si="40">U23/U25</f>
        <v>18.155191463241867</v>
      </c>
      <c r="V24" s="23">
        <f t="shared" si="40"/>
        <v>19.86867091202209</v>
      </c>
      <c r="W24" s="23">
        <f t="shared" si="40"/>
        <v>21.713263592669438</v>
      </c>
      <c r="X24" s="23">
        <f t="shared" si="40"/>
        <v>23.698217546325839</v>
      </c>
      <c r="Y24" s="23">
        <f t="shared" si="40"/>
        <v>25.833404361443574</v>
      </c>
      <c r="Z24" s="23">
        <f t="shared" si="40"/>
        <v>28.129360015215152</v>
      </c>
      <c r="AA24" s="23">
        <f t="shared" si="40"/>
        <v>30.59732833686429</v>
      </c>
      <c r="AB24" s="23">
        <f t="shared" si="40"/>
        <v>33.249307258676957</v>
      </c>
    </row>
    <row r="25" spans="2:91" x14ac:dyDescent="0.25">
      <c r="B25" s="2" t="s">
        <v>3</v>
      </c>
      <c r="C25" s="4">
        <v>444.60399999999998</v>
      </c>
      <c r="D25" s="4">
        <v>444.916</v>
      </c>
      <c r="E25" s="4">
        <v>444.88600000000002</v>
      </c>
      <c r="F25" s="4">
        <v>444.65499999999997</v>
      </c>
      <c r="G25" s="4">
        <v>444.53100000000001</v>
      </c>
      <c r="H25" s="4">
        <v>444.47500000000002</v>
      </c>
      <c r="I25" s="4">
        <v>444.36</v>
      </c>
      <c r="J25" s="4">
        <v>444.44499999999999</v>
      </c>
      <c r="K25" s="4">
        <v>444.40300000000002</v>
      </c>
      <c r="L25" s="4">
        <v>444.75400000000002</v>
      </c>
      <c r="M25" s="4">
        <v>444.82799999999997</v>
      </c>
      <c r="N25" s="4">
        <v>444.97699999999998</v>
      </c>
      <c r="P25" s="2">
        <v>433.90100000000001</v>
      </c>
      <c r="Q25" s="2">
        <v>444.346</v>
      </c>
      <c r="R25" s="2">
        <v>444.75700000000001</v>
      </c>
      <c r="S25" s="2">
        <v>444.452</v>
      </c>
      <c r="T25" s="2">
        <v>444.75900000000001</v>
      </c>
      <c r="U25" s="2">
        <v>444.75900000000001</v>
      </c>
      <c r="V25" s="2">
        <v>444.75900000000001</v>
      </c>
      <c r="W25" s="2">
        <v>444.75900000000001</v>
      </c>
      <c r="X25" s="2">
        <v>444.75900000000001</v>
      </c>
      <c r="Y25" s="2">
        <v>444.75900000000001</v>
      </c>
      <c r="Z25" s="2">
        <v>444.75900000000001</v>
      </c>
      <c r="AA25" s="2">
        <v>444.75900000000001</v>
      </c>
      <c r="AB25" s="2">
        <v>444.75900000000001</v>
      </c>
    </row>
    <row r="26" spans="2:91" x14ac:dyDescent="0.25">
      <c r="I26" s="4"/>
      <c r="J26" s="4"/>
      <c r="K26" s="4"/>
      <c r="L26" s="4"/>
      <c r="M26" s="4"/>
      <c r="N26" s="4"/>
    </row>
    <row r="27" spans="2:91" x14ac:dyDescent="0.25">
      <c r="B27" s="2" t="s">
        <v>83</v>
      </c>
      <c r="C27" s="10"/>
      <c r="D27" s="10"/>
      <c r="E27" s="10"/>
      <c r="F27" s="10"/>
      <c r="G27" s="10">
        <f t="shared" ref="G27:N27" si="41">G24/C24-1</f>
        <v>3.0380659650520947E-2</v>
      </c>
      <c r="H27" s="10">
        <f t="shared" si="41"/>
        <v>0.1296801682066806</v>
      </c>
      <c r="I27" s="10">
        <f t="shared" si="41"/>
        <v>-3.6554907738456932E-2</v>
      </c>
      <c r="J27" s="10">
        <f t="shared" si="41"/>
        <v>0.15686327554831436</v>
      </c>
      <c r="K27" s="10">
        <f t="shared" si="41"/>
        <v>0.16529155035055987</v>
      </c>
      <c r="L27" s="10">
        <f t="shared" si="41"/>
        <v>0.18820367892753165</v>
      </c>
      <c r="M27" s="10">
        <f t="shared" si="41"/>
        <v>0.28973228361988124</v>
      </c>
      <c r="N27" s="10">
        <f t="shared" si="41"/>
        <v>8.8511867737816718E-2</v>
      </c>
    </row>
    <row r="28" spans="2:91" x14ac:dyDescent="0.25">
      <c r="B28" s="2" t="s">
        <v>84</v>
      </c>
      <c r="G28" s="9">
        <f t="shared" ref="G28:N29" si="42">G10/C10-1</f>
        <v>8.1348523787360572E-2</v>
      </c>
      <c r="H28" s="9">
        <f t="shared" si="42"/>
        <v>6.4825176198048506E-2</v>
      </c>
      <c r="I28" s="9">
        <f t="shared" si="42"/>
        <v>1.9220336355886269E-2</v>
      </c>
      <c r="J28" s="9">
        <f t="shared" si="42"/>
        <v>9.4200440902153737E-2</v>
      </c>
      <c r="K28" s="9">
        <f t="shared" si="42"/>
        <v>6.1380691281321953E-2</v>
      </c>
      <c r="L28" s="9">
        <f t="shared" si="42"/>
        <v>5.7006950718117899E-2</v>
      </c>
      <c r="M28" s="9">
        <f t="shared" si="42"/>
        <v>9.1019694319823596E-2</v>
      </c>
      <c r="N28" s="9">
        <f t="shared" si="42"/>
        <v>9.7507426062248825E-3</v>
      </c>
      <c r="Q28" s="9">
        <f t="shared" ref="Q28:AB28" si="43">Q10/P10-1</f>
        <v>0.17664501899277041</v>
      </c>
      <c r="R28" s="9">
        <f t="shared" si="43"/>
        <v>0.15973798762835067</v>
      </c>
      <c r="S28" s="9">
        <f t="shared" si="43"/>
        <v>6.72563193103759E-2</v>
      </c>
      <c r="T28" s="9">
        <f t="shared" si="43"/>
        <v>5.0124100795086557E-2</v>
      </c>
      <c r="U28" s="9">
        <f t="shared" si="43"/>
        <v>6.0000000000000053E-2</v>
      </c>
      <c r="V28" s="9">
        <f t="shared" si="43"/>
        <v>6.0000000000000053E-2</v>
      </c>
      <c r="W28" s="9">
        <f t="shared" si="43"/>
        <v>6.0000000000000053E-2</v>
      </c>
      <c r="X28" s="9">
        <f t="shared" si="43"/>
        <v>6.0000000000000053E-2</v>
      </c>
      <c r="Y28" s="9">
        <f t="shared" si="43"/>
        <v>6.0000000000000053E-2</v>
      </c>
      <c r="Z28" s="9">
        <f t="shared" si="43"/>
        <v>6.0000000000000053E-2</v>
      </c>
      <c r="AA28" s="9">
        <f t="shared" si="43"/>
        <v>6.0000000000000053E-2</v>
      </c>
      <c r="AB28" s="9">
        <f t="shared" si="43"/>
        <v>6.0000000000000053E-2</v>
      </c>
    </row>
    <row r="29" spans="2:91" x14ac:dyDescent="0.25">
      <c r="B29" s="2" t="s">
        <v>85</v>
      </c>
      <c r="G29" s="9">
        <f t="shared" si="42"/>
        <v>5.7082452431289621E-2</v>
      </c>
      <c r="H29" s="9">
        <f t="shared" si="42"/>
        <v>6.2047569803516112E-2</v>
      </c>
      <c r="I29" s="9">
        <f t="shared" si="42"/>
        <v>6.0975609756097615E-2</v>
      </c>
      <c r="J29" s="9">
        <f t="shared" si="42"/>
        <v>0.13715146948003021</v>
      </c>
      <c r="K29" s="9">
        <f t="shared" si="42"/>
        <v>8.2000000000000073E-2</v>
      </c>
      <c r="L29" s="9">
        <f t="shared" si="42"/>
        <v>8.1791626095423453E-2</v>
      </c>
      <c r="M29" s="9">
        <f t="shared" si="42"/>
        <v>7.5670498084291271E-2</v>
      </c>
      <c r="N29" s="9">
        <f t="shared" si="42"/>
        <v>1.9880715705764551E-3</v>
      </c>
      <c r="Q29" s="9">
        <f t="shared" ref="Q29:AB29" si="44">Q11/P11-1</f>
        <v>9.7712510590228785E-2</v>
      </c>
      <c r="R29" s="9">
        <f t="shared" si="44"/>
        <v>8.6699253923334219E-2</v>
      </c>
      <c r="S29" s="9">
        <f t="shared" si="44"/>
        <v>8.4280303030302983E-2</v>
      </c>
      <c r="T29" s="9">
        <f t="shared" si="44"/>
        <v>5.4148471615720561E-2</v>
      </c>
      <c r="U29" s="9">
        <f t="shared" si="44"/>
        <v>6.0000000000000053E-2</v>
      </c>
      <c r="V29" s="9">
        <f t="shared" si="44"/>
        <v>6.0000000000000053E-2</v>
      </c>
      <c r="W29" s="9">
        <f t="shared" si="44"/>
        <v>6.0000000000000053E-2</v>
      </c>
      <c r="X29" s="9">
        <f t="shared" si="44"/>
        <v>6.0000000000000053E-2</v>
      </c>
      <c r="Y29" s="9">
        <f t="shared" si="44"/>
        <v>6.0000000000000053E-2</v>
      </c>
      <c r="Z29" s="9">
        <f t="shared" si="44"/>
        <v>6.0000000000000053E-2</v>
      </c>
      <c r="AA29" s="9">
        <f t="shared" si="44"/>
        <v>6.0000000000000053E-2</v>
      </c>
      <c r="AB29" s="9">
        <f t="shared" si="44"/>
        <v>6.0000000000000053E-2</v>
      </c>
    </row>
    <row r="30" spans="2:91" x14ac:dyDescent="0.25">
      <c r="B30" s="2" t="s">
        <v>19</v>
      </c>
      <c r="C30" s="10">
        <f t="shared" ref="C30:N30" si="45">C14/C10</f>
        <v>0.1105894732581905</v>
      </c>
      <c r="D30" s="10">
        <f t="shared" si="45"/>
        <v>0.106405952451067</v>
      </c>
      <c r="E30" s="10">
        <f t="shared" si="45"/>
        <v>0.10185615748275595</v>
      </c>
      <c r="F30" s="10">
        <f t="shared" si="45"/>
        <v>0.10183143971510938</v>
      </c>
      <c r="G30" s="10">
        <f t="shared" si="45"/>
        <v>0.1060688287141868</v>
      </c>
      <c r="H30" s="10">
        <f t="shared" si="45"/>
        <v>0.10722911558103948</v>
      </c>
      <c r="I30" s="10">
        <f t="shared" si="45"/>
        <v>0.1032050794616379</v>
      </c>
      <c r="J30" s="10">
        <f t="shared" si="45"/>
        <v>0.10604416892677257</v>
      </c>
      <c r="K30" s="10">
        <f t="shared" si="45"/>
        <v>0.11037255143960364</v>
      </c>
      <c r="L30" s="10">
        <f t="shared" si="45"/>
        <v>0.10798695295738781</v>
      </c>
      <c r="M30" s="10">
        <f t="shared" si="45"/>
        <v>0.10836005018120992</v>
      </c>
      <c r="N30" s="10">
        <f t="shared" si="45"/>
        <v>0.10995715290656775</v>
      </c>
      <c r="O30" s="10"/>
      <c r="P30" s="10">
        <f t="shared" ref="P30:AB30" si="46">P14/P10</f>
        <v>0.13369685087611813</v>
      </c>
      <c r="Q30" s="10">
        <f t="shared" si="46"/>
        <v>0.13144877429029639</v>
      </c>
      <c r="R30" s="10">
        <f t="shared" si="46"/>
        <v>0.12379113725138059</v>
      </c>
      <c r="S30" s="10">
        <f t="shared" si="46"/>
        <v>0.12495898363552227</v>
      </c>
      <c r="T30" s="10">
        <f t="shared" si="46"/>
        <v>0.12857285928893339</v>
      </c>
      <c r="U30" s="10">
        <f t="shared" si="46"/>
        <v>0.12934101151727587</v>
      </c>
      <c r="V30" s="10">
        <f t="shared" si="46"/>
        <v>0.12934101151727603</v>
      </c>
      <c r="W30" s="10">
        <f t="shared" si="46"/>
        <v>0.12934101151727592</v>
      </c>
      <c r="X30" s="10">
        <f t="shared" si="46"/>
        <v>0.12934101151727587</v>
      </c>
      <c r="Y30" s="10">
        <f t="shared" si="46"/>
        <v>0.12934101151727592</v>
      </c>
      <c r="Z30" s="10">
        <f t="shared" si="46"/>
        <v>0.12934101151727589</v>
      </c>
      <c r="AA30" s="10">
        <f t="shared" si="46"/>
        <v>0.12934101151727587</v>
      </c>
      <c r="AB30" s="10">
        <f t="shared" si="46"/>
        <v>0.12934101151727589</v>
      </c>
    </row>
    <row r="31" spans="2:91" x14ac:dyDescent="0.25">
      <c r="B31" s="2" t="s">
        <v>57</v>
      </c>
      <c r="C31" s="10">
        <f t="shared" ref="C31:N31" si="47">C17/C12</f>
        <v>3.3615948215952186E-2</v>
      </c>
      <c r="D31" s="10">
        <f t="shared" si="47"/>
        <v>3.4910604192355116E-2</v>
      </c>
      <c r="E31" s="10">
        <f t="shared" si="47"/>
        <v>3.405201916495551E-2</v>
      </c>
      <c r="F31" s="10">
        <f t="shared" si="47"/>
        <v>3.4636778516042223E-2</v>
      </c>
      <c r="G31" s="10">
        <f t="shared" si="47"/>
        <v>3.2165622646361851E-2</v>
      </c>
      <c r="H31" s="10">
        <f t="shared" si="47"/>
        <v>3.4433467231209061E-2</v>
      </c>
      <c r="I31" s="10">
        <f t="shared" si="47"/>
        <v>3.1296600059648079E-2</v>
      </c>
      <c r="J31" s="10">
        <f t="shared" si="47"/>
        <v>3.5229734351841298E-2</v>
      </c>
      <c r="K31" s="10">
        <f t="shared" si="47"/>
        <v>3.4325853388466929E-2</v>
      </c>
      <c r="L31" s="10">
        <f t="shared" si="47"/>
        <v>3.5282844529619106E-2</v>
      </c>
      <c r="M31" s="10">
        <f t="shared" si="47"/>
        <v>3.7545928394428781E-2</v>
      </c>
      <c r="N31" s="10">
        <f t="shared" si="47"/>
        <v>3.8169567235905991E-2</v>
      </c>
      <c r="O31" s="10"/>
      <c r="P31" s="10">
        <f t="shared" ref="P31:AB31" si="48">P17/P12</f>
        <v>3.259155318089961E-2</v>
      </c>
      <c r="Q31" s="10">
        <f t="shared" si="48"/>
        <v>3.4236891935343926E-2</v>
      </c>
      <c r="R31" s="10">
        <f t="shared" si="48"/>
        <v>3.4337354706240032E-2</v>
      </c>
      <c r="S31" s="10">
        <f t="shared" si="48"/>
        <v>3.3488794419910026E-2</v>
      </c>
      <c r="T31" s="10">
        <f t="shared" si="48"/>
        <v>3.6490039417888566E-2</v>
      </c>
      <c r="U31" s="10">
        <f t="shared" si="48"/>
        <v>3.8089307963534609E-2</v>
      </c>
      <c r="V31" s="10">
        <f t="shared" si="48"/>
        <v>3.8927021008244855E-2</v>
      </c>
      <c r="W31" s="10">
        <f t="shared" si="48"/>
        <v>3.9756831099702766E-2</v>
      </c>
      <c r="X31" s="10">
        <f t="shared" si="48"/>
        <v>4.0578812794071578E-2</v>
      </c>
      <c r="Y31" s="10">
        <f t="shared" si="48"/>
        <v>4.1393039944153991E-2</v>
      </c>
      <c r="Z31" s="10">
        <f t="shared" si="48"/>
        <v>4.2199585706028005E-2</v>
      </c>
      <c r="AA31" s="10">
        <f t="shared" si="48"/>
        <v>4.2998522545620241E-2</v>
      </c>
      <c r="AB31" s="10">
        <f t="shared" si="48"/>
        <v>4.3789922245216231E-2</v>
      </c>
    </row>
    <row r="32" spans="2:91" x14ac:dyDescent="0.25">
      <c r="B32" s="2" t="s">
        <v>58</v>
      </c>
      <c r="C32" s="10">
        <f>C22/C21</f>
        <v>0.20695754716981132</v>
      </c>
      <c r="D32" s="10">
        <f t="shared" ref="D32:N32" si="49">D22/D21</f>
        <v>0.26707384786229871</v>
      </c>
      <c r="E32" s="10">
        <f t="shared" si="49"/>
        <v>0.24904214559386972</v>
      </c>
      <c r="F32" s="10">
        <f t="shared" si="49"/>
        <v>0.25357710651828297</v>
      </c>
      <c r="G32" s="10">
        <f t="shared" si="49"/>
        <v>0.22937853107344633</v>
      </c>
      <c r="H32" s="10">
        <f t="shared" si="49"/>
        <v>0.26071608673726676</v>
      </c>
      <c r="I32" s="10">
        <f t="shared" si="49"/>
        <v>0.2648221343873518</v>
      </c>
      <c r="J32" s="10">
        <f t="shared" si="49"/>
        <v>0.27100911238609515</v>
      </c>
      <c r="K32" s="10">
        <f t="shared" si="49"/>
        <v>0.24548907882241217</v>
      </c>
      <c r="L32" s="10">
        <f t="shared" si="49"/>
        <v>0.2208314707197139</v>
      </c>
      <c r="M32" s="10">
        <f t="shared" si="49"/>
        <v>0.26401050788091068</v>
      </c>
      <c r="N32" s="10">
        <f t="shared" si="49"/>
        <v>0.24381625441696114</v>
      </c>
      <c r="O32" s="10"/>
      <c r="P32" s="10">
        <f t="shared" ref="P32:S32" si="50">P22/P21</f>
        <v>0.2437115707098938</v>
      </c>
      <c r="Q32" s="10">
        <f t="shared" si="50"/>
        <v>0.23967065868263474</v>
      </c>
      <c r="R32" s="10">
        <f t="shared" si="50"/>
        <v>0.24553571428571427</v>
      </c>
      <c r="S32" s="10">
        <f t="shared" si="50"/>
        <v>0.25863084717803697</v>
      </c>
      <c r="T32" s="10">
        <f t="shared" ref="T32:Z32" si="51">T22/T21</f>
        <v>0.24363449691991787</v>
      </c>
      <c r="U32" s="10">
        <f t="shared" si="51"/>
        <v>0.22</v>
      </c>
      <c r="V32" s="10">
        <f t="shared" si="51"/>
        <v>0.22</v>
      </c>
      <c r="W32" s="10">
        <f t="shared" si="51"/>
        <v>0.22</v>
      </c>
      <c r="X32" s="10">
        <f t="shared" si="51"/>
        <v>0.22</v>
      </c>
      <c r="Y32" s="10">
        <f t="shared" si="51"/>
        <v>0.22</v>
      </c>
      <c r="Z32" s="10">
        <f t="shared" si="51"/>
        <v>0.22</v>
      </c>
      <c r="AA32" s="10">
        <f t="shared" ref="AA32:AB32" si="52">AA22/AA21</f>
        <v>0.22</v>
      </c>
      <c r="AB32" s="10">
        <f t="shared" si="52"/>
        <v>0.22000000000000003</v>
      </c>
    </row>
    <row r="33" spans="2:31" x14ac:dyDescent="0.25">
      <c r="B33" s="2" t="s">
        <v>97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f>Q23/P23-1</f>
        <v>0.25112443778110949</v>
      </c>
      <c r="R33" s="10">
        <f t="shared" ref="R33:AB33" si="53">R23/Q23-1</f>
        <v>0.16716596764529656</v>
      </c>
      <c r="S33" s="10">
        <f t="shared" si="53"/>
        <v>7.6659822039698788E-2</v>
      </c>
      <c r="T33" s="10">
        <f t="shared" si="53"/>
        <v>0.17085187539733004</v>
      </c>
      <c r="U33" s="10">
        <f t="shared" si="53"/>
        <v>9.6061463282202997E-2</v>
      </c>
      <c r="V33" s="10">
        <f t="shared" si="53"/>
        <v>9.4379585709654323E-2</v>
      </c>
      <c r="W33" s="10">
        <f t="shared" si="53"/>
        <v>9.2839258791650003E-2</v>
      </c>
      <c r="X33" s="10">
        <f t="shared" si="53"/>
        <v>9.1416656238011873E-2</v>
      </c>
      <c r="Y33" s="10">
        <f t="shared" si="53"/>
        <v>9.009904694071702E-2</v>
      </c>
      <c r="Z33" s="10">
        <f t="shared" si="53"/>
        <v>8.8875458365769822E-2</v>
      </c>
      <c r="AA33" s="10">
        <f t="shared" si="53"/>
        <v>8.7736383633122639E-2</v>
      </c>
      <c r="AB33" s="10">
        <f t="shared" si="53"/>
        <v>8.6673545239487781E-2</v>
      </c>
    </row>
    <row r="34" spans="2:31" x14ac:dyDescent="0.2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2:31" x14ac:dyDescent="0.2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AC35" s="2" t="s">
        <v>89</v>
      </c>
      <c r="AD35" s="24">
        <v>0.03</v>
      </c>
    </row>
    <row r="36" spans="2:31" s="5" customFormat="1" x14ac:dyDescent="0.25">
      <c r="B36" s="5" t="s">
        <v>82</v>
      </c>
      <c r="C36" s="6">
        <f t="shared" ref="C36:H36" si="54">C38-C52-C54</f>
        <v>6010</v>
      </c>
      <c r="D36" s="6">
        <f t="shared" si="54"/>
        <v>5638</v>
      </c>
      <c r="E36" s="6">
        <f t="shared" si="54"/>
        <v>5247</v>
      </c>
      <c r="F36" s="6">
        <f t="shared" si="54"/>
        <v>4492</v>
      </c>
      <c r="G36" s="6">
        <f t="shared" si="54"/>
        <v>5130</v>
      </c>
      <c r="H36" s="6">
        <f t="shared" si="54"/>
        <v>7123</v>
      </c>
      <c r="I36" s="6">
        <f t="shared" ref="I36:L36" si="55">I38-I52-I54</f>
        <v>7211</v>
      </c>
      <c r="J36" s="6">
        <f t="shared" si="55"/>
        <v>8776</v>
      </c>
      <c r="K36" s="6">
        <f t="shared" si="55"/>
        <v>10918</v>
      </c>
      <c r="L36" s="6">
        <f t="shared" si="55"/>
        <v>3376</v>
      </c>
      <c r="M36" s="6">
        <f>M38-M52-M54</f>
        <v>4588</v>
      </c>
      <c r="N36" s="6">
        <f>N38-N52-N54</f>
        <v>5247</v>
      </c>
      <c r="T36" s="7">
        <f>N36</f>
        <v>5247</v>
      </c>
      <c r="U36" s="7">
        <f>T36+U23</f>
        <v>13321.68479999999</v>
      </c>
      <c r="V36" s="7">
        <f t="shared" ref="V36:AB36" si="56">U36+V23</f>
        <v>22158.455006160024</v>
      </c>
      <c r="W36" s="7">
        <f t="shared" si="56"/>
        <v>31815.624408372089</v>
      </c>
      <c r="X36" s="7">
        <f t="shared" si="56"/>
        <v>42355.619946058425</v>
      </c>
      <c r="Y36" s="7">
        <f t="shared" si="56"/>
        <v>53845.259036449708</v>
      </c>
      <c r="Z36" s="7">
        <f t="shared" si="56"/>
        <v>66356.045067456784</v>
      </c>
      <c r="AA36" s="7">
        <f t="shared" si="56"/>
        <v>79964.482221232203</v>
      </c>
      <c r="AB36" s="7">
        <f t="shared" si="56"/>
        <v>94752.410868294101</v>
      </c>
      <c r="AC36" s="5" t="s">
        <v>90</v>
      </c>
      <c r="AD36" s="25">
        <v>6.5000000000000002E-2</v>
      </c>
    </row>
    <row r="37" spans="2:31" s="4" customFormat="1" x14ac:dyDescent="0.25">
      <c r="B37" s="22" t="s">
        <v>67</v>
      </c>
      <c r="O37" s="4" t="s">
        <v>99</v>
      </c>
      <c r="P37" s="9">
        <f>P13/P10</f>
        <v>0.88799779438794268</v>
      </c>
      <c r="Q37" s="9">
        <f>Q13/Q10</f>
        <v>0.88873846666527812</v>
      </c>
      <c r="R37" s="9">
        <f t="shared" ref="R37:AB37" si="57">R13/R10</f>
        <v>0.89517352848740628</v>
      </c>
      <c r="S37" s="9">
        <f t="shared" si="57"/>
        <v>0.89430819065247569</v>
      </c>
      <c r="T37" s="9">
        <f t="shared" si="57"/>
        <v>0.89076815222834249</v>
      </c>
      <c r="U37" s="9">
        <f t="shared" si="57"/>
        <v>0.89</v>
      </c>
      <c r="V37" s="9">
        <f t="shared" si="57"/>
        <v>0.89</v>
      </c>
      <c r="W37" s="9">
        <f t="shared" si="57"/>
        <v>0.89</v>
      </c>
      <c r="X37" s="9">
        <f t="shared" si="57"/>
        <v>0.89</v>
      </c>
      <c r="Y37" s="9">
        <f t="shared" si="57"/>
        <v>0.89</v>
      </c>
      <c r="Z37" s="9">
        <f t="shared" si="57"/>
        <v>0.89</v>
      </c>
      <c r="AA37" s="9">
        <f t="shared" si="57"/>
        <v>0.89</v>
      </c>
      <c r="AB37" s="9">
        <f t="shared" si="57"/>
        <v>0.89</v>
      </c>
      <c r="AC37" s="4" t="s">
        <v>91</v>
      </c>
      <c r="AD37" s="4">
        <f>NPV(AD36,T23:CM23)+N36</f>
        <v>291163.34757137106</v>
      </c>
    </row>
    <row r="38" spans="2:31" s="4" customFormat="1" x14ac:dyDescent="0.25">
      <c r="B38" s="15" t="s">
        <v>64</v>
      </c>
      <c r="C38" s="4">
        <f>12751+725</f>
        <v>13476</v>
      </c>
      <c r="D38" s="4">
        <f>11819+477</f>
        <v>12296</v>
      </c>
      <c r="E38" s="4">
        <f>11193+638</f>
        <v>11831</v>
      </c>
      <c r="F38" s="4">
        <f>10203+846</f>
        <v>11049</v>
      </c>
      <c r="G38" s="4">
        <f>10856+817</f>
        <v>11673</v>
      </c>
      <c r="H38" s="4">
        <f>12970+735</f>
        <v>13705</v>
      </c>
      <c r="I38" s="4">
        <f>12493+1215</f>
        <v>13708</v>
      </c>
      <c r="J38" s="4">
        <f>13700+1534</f>
        <v>15234</v>
      </c>
      <c r="K38" s="4">
        <f>17011+853</f>
        <v>17864</v>
      </c>
      <c r="L38" s="4">
        <f>9095+1226</f>
        <v>10321</v>
      </c>
      <c r="M38" s="4">
        <f>10404+1095</f>
        <v>11499</v>
      </c>
      <c r="N38" s="4">
        <f>9906+1238</f>
        <v>11144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4" t="s">
        <v>92</v>
      </c>
      <c r="AD38" s="9">
        <v>1.4999999999999999E-2</v>
      </c>
    </row>
    <row r="39" spans="2:31" s="4" customFormat="1" x14ac:dyDescent="0.25">
      <c r="B39" s="15" t="s">
        <v>71</v>
      </c>
      <c r="C39" s="4">
        <v>1932</v>
      </c>
      <c r="D39" s="4">
        <v>2232</v>
      </c>
      <c r="E39" s="4">
        <v>1991</v>
      </c>
      <c r="F39" s="4">
        <v>2241</v>
      </c>
      <c r="G39" s="4">
        <v>2312</v>
      </c>
      <c r="H39" s="4">
        <v>2714</v>
      </c>
      <c r="I39" s="4">
        <v>2502</v>
      </c>
      <c r="J39" s="4">
        <v>2285</v>
      </c>
      <c r="K39" s="4">
        <v>2542</v>
      </c>
      <c r="L39" s="4">
        <v>2779</v>
      </c>
      <c r="M39" s="4">
        <v>2583</v>
      </c>
      <c r="N39" s="4">
        <v>2721</v>
      </c>
    </row>
    <row r="40" spans="2:31" s="6" customFormat="1" x14ac:dyDescent="0.25">
      <c r="B40" s="22" t="s">
        <v>60</v>
      </c>
      <c r="C40" s="6">
        <v>16942</v>
      </c>
      <c r="D40" s="6">
        <v>16485</v>
      </c>
      <c r="E40" s="6">
        <v>17623</v>
      </c>
      <c r="F40" s="6">
        <v>17907</v>
      </c>
      <c r="G40" s="6">
        <v>18571</v>
      </c>
      <c r="H40" s="6">
        <v>16081</v>
      </c>
      <c r="I40" s="6">
        <v>16324</v>
      </c>
      <c r="J40" s="6">
        <v>16651</v>
      </c>
      <c r="K40" s="6">
        <v>18001</v>
      </c>
      <c r="L40" s="6">
        <v>17075</v>
      </c>
      <c r="M40" s="6">
        <v>17430</v>
      </c>
      <c r="N40" s="6">
        <v>18647</v>
      </c>
      <c r="AC40" s="6" t="s">
        <v>93</v>
      </c>
      <c r="AD40" s="6">
        <f>AD37/AB25</f>
        <v>654.65420052516322</v>
      </c>
      <c r="AE40" s="6" t="s">
        <v>100</v>
      </c>
    </row>
    <row r="41" spans="2:31" s="4" customFormat="1" x14ac:dyDescent="0.25">
      <c r="B41" s="15" t="s">
        <v>61</v>
      </c>
      <c r="C41" s="4">
        <v>1500</v>
      </c>
      <c r="D41" s="4">
        <v>1552</v>
      </c>
      <c r="E41" s="4">
        <v>1563</v>
      </c>
      <c r="F41" s="4">
        <v>1499</v>
      </c>
      <c r="G41" s="4">
        <v>1594</v>
      </c>
      <c r="H41" s="4">
        <v>1830</v>
      </c>
      <c r="I41" s="4">
        <v>1755</v>
      </c>
      <c r="J41" s="4">
        <v>1709</v>
      </c>
      <c r="K41" s="4">
        <v>1673</v>
      </c>
      <c r="L41" s="4">
        <v>1971</v>
      </c>
      <c r="M41" s="4">
        <v>1776</v>
      </c>
      <c r="N41" s="4">
        <v>1734</v>
      </c>
      <c r="AC41" s="4" t="s">
        <v>94</v>
      </c>
      <c r="AD41" s="27">
        <v>939.77</v>
      </c>
      <c r="AE41" s="26">
        <v>45607</v>
      </c>
    </row>
    <row r="42" spans="2:31" s="4" customFormat="1" x14ac:dyDescent="0.25">
      <c r="B42" s="15" t="s">
        <v>65</v>
      </c>
      <c r="C42" s="4">
        <v>23887</v>
      </c>
      <c r="D42" s="4">
        <v>24052</v>
      </c>
      <c r="E42" s="4">
        <v>24143</v>
      </c>
      <c r="F42" s="4">
        <v>24646</v>
      </c>
      <c r="G42" s="4">
        <v>25144</v>
      </c>
      <c r="H42" s="4">
        <v>25724</v>
      </c>
      <c r="I42" s="4">
        <v>25931</v>
      </c>
      <c r="J42" s="4">
        <v>26684</v>
      </c>
      <c r="K42" s="4">
        <v>27168</v>
      </c>
      <c r="L42" s="4">
        <v>27601</v>
      </c>
      <c r="M42" s="4">
        <v>28062</v>
      </c>
      <c r="N42" s="4">
        <v>29032</v>
      </c>
      <c r="AC42" s="4" t="s">
        <v>95</v>
      </c>
      <c r="AD42" s="28">
        <f>AD40/AD41-1</f>
        <v>-0.30338891374999921</v>
      </c>
    </row>
    <row r="43" spans="2:31" s="4" customFormat="1" x14ac:dyDescent="0.25">
      <c r="B43" s="15" t="s">
        <v>66</v>
      </c>
      <c r="C43" s="4">
        <v>2903</v>
      </c>
      <c r="D43" s="4">
        <v>2840</v>
      </c>
      <c r="E43" s="4">
        <v>2731</v>
      </c>
      <c r="F43" s="4">
        <v>2774</v>
      </c>
      <c r="G43" s="4">
        <v>2787</v>
      </c>
      <c r="H43" s="4">
        <v>2859</v>
      </c>
      <c r="I43" s="4">
        <v>2806</v>
      </c>
      <c r="J43" s="4">
        <v>2713</v>
      </c>
      <c r="K43" s="4">
        <v>2672</v>
      </c>
      <c r="L43" s="4">
        <v>2740</v>
      </c>
      <c r="M43" s="4">
        <v>2643</v>
      </c>
      <c r="N43" s="4">
        <v>2617</v>
      </c>
    </row>
    <row r="44" spans="2:31" s="4" customFormat="1" x14ac:dyDescent="0.25">
      <c r="B44" s="15" t="s">
        <v>87</v>
      </c>
      <c r="C44" s="4">
        <v>3509</v>
      </c>
      <c r="D44" s="4">
        <v>3621</v>
      </c>
      <c r="E44" s="4">
        <v>3970</v>
      </c>
      <c r="F44" s="4">
        <v>4050</v>
      </c>
      <c r="G44" s="4">
        <v>3946</v>
      </c>
      <c r="H44" s="4">
        <v>3935</v>
      </c>
      <c r="I44" s="4">
        <v>3726</v>
      </c>
      <c r="J44" s="4">
        <v>3718</v>
      </c>
      <c r="K44" s="4">
        <v>3803</v>
      </c>
      <c r="L44" s="4">
        <v>3836</v>
      </c>
      <c r="M44" s="4">
        <v>3918</v>
      </c>
      <c r="N44" s="4">
        <v>3936</v>
      </c>
    </row>
    <row r="45" spans="2:31" s="6" customFormat="1" x14ac:dyDescent="0.25">
      <c r="B45" s="22" t="s">
        <v>68</v>
      </c>
      <c r="C45" s="6">
        <f t="shared" ref="C45:L45" si="58">SUM(C38:C44)</f>
        <v>64149</v>
      </c>
      <c r="D45" s="6">
        <f t="shared" si="58"/>
        <v>63078</v>
      </c>
      <c r="E45" s="6">
        <f t="shared" si="58"/>
        <v>63852</v>
      </c>
      <c r="F45" s="6">
        <f t="shared" si="58"/>
        <v>64166</v>
      </c>
      <c r="G45" s="6">
        <f t="shared" si="58"/>
        <v>66027</v>
      </c>
      <c r="H45" s="6">
        <f t="shared" si="58"/>
        <v>66848</v>
      </c>
      <c r="I45" s="6">
        <f t="shared" si="58"/>
        <v>66752</v>
      </c>
      <c r="J45" s="6">
        <f t="shared" si="58"/>
        <v>68994</v>
      </c>
      <c r="K45" s="6">
        <f t="shared" si="58"/>
        <v>73723</v>
      </c>
      <c r="L45" s="6">
        <f t="shared" si="58"/>
        <v>66323</v>
      </c>
      <c r="M45" s="6">
        <f>SUM(M38:M44)</f>
        <v>67911</v>
      </c>
      <c r="N45" s="6">
        <f>SUM(N38:N44)</f>
        <v>69831</v>
      </c>
    </row>
    <row r="46" spans="2:31" s="4" customFormat="1" x14ac:dyDescent="0.25">
      <c r="B46" s="15"/>
    </row>
    <row r="47" spans="2:31" s="4" customFormat="1" x14ac:dyDescent="0.25">
      <c r="B47" s="22" t="s">
        <v>69</v>
      </c>
    </row>
    <row r="48" spans="2:31" s="4" customFormat="1" x14ac:dyDescent="0.25">
      <c r="B48" s="15" t="s">
        <v>70</v>
      </c>
      <c r="C48" s="4">
        <v>19561</v>
      </c>
      <c r="D48" s="4">
        <v>17089</v>
      </c>
      <c r="E48" s="4">
        <v>17651</v>
      </c>
      <c r="F48" s="4">
        <v>17848</v>
      </c>
      <c r="G48" s="4">
        <v>18348</v>
      </c>
      <c r="H48" s="4">
        <v>16407</v>
      </c>
      <c r="I48" s="4">
        <v>16853</v>
      </c>
      <c r="J48" s="4">
        <v>17483</v>
      </c>
      <c r="K48" s="4">
        <v>20357</v>
      </c>
      <c r="L48" s="4">
        <v>17494</v>
      </c>
      <c r="M48" s="4">
        <v>18844</v>
      </c>
      <c r="N48" s="4">
        <v>19421</v>
      </c>
    </row>
    <row r="49" spans="2:14" s="4" customFormat="1" x14ac:dyDescent="0.25">
      <c r="B49" s="15" t="s">
        <v>72</v>
      </c>
      <c r="C49" s="4">
        <v>3985</v>
      </c>
      <c r="D49" s="4">
        <v>4347</v>
      </c>
      <c r="E49" s="4">
        <v>4090</v>
      </c>
      <c r="F49" s="4">
        <v>4381</v>
      </c>
      <c r="G49" s="4">
        <v>4317</v>
      </c>
      <c r="H49" s="4">
        <v>4483</v>
      </c>
      <c r="I49" s="4">
        <v>4117</v>
      </c>
      <c r="J49" s="4">
        <v>4278</v>
      </c>
      <c r="K49" s="4">
        <v>4474</v>
      </c>
      <c r="L49" s="4">
        <v>4801</v>
      </c>
      <c r="M49" s="4">
        <v>4365</v>
      </c>
      <c r="N49" s="4">
        <v>4794</v>
      </c>
    </row>
    <row r="50" spans="2:14" s="4" customFormat="1" x14ac:dyDescent="0.25">
      <c r="B50" s="15" t="s">
        <v>73</v>
      </c>
      <c r="C50" s="4">
        <v>1726</v>
      </c>
      <c r="D50" s="4">
        <v>1798</v>
      </c>
      <c r="E50" s="4">
        <v>1828</v>
      </c>
      <c r="F50" s="4">
        <v>1911</v>
      </c>
      <c r="G50" s="4">
        <v>1959</v>
      </c>
      <c r="H50" s="4">
        <v>2016</v>
      </c>
      <c r="I50" s="4">
        <v>2076</v>
      </c>
      <c r="J50" s="4">
        <v>2150</v>
      </c>
      <c r="K50" s="4">
        <v>2207</v>
      </c>
      <c r="L50" s="4">
        <v>2268</v>
      </c>
      <c r="M50" s="4">
        <v>2339</v>
      </c>
      <c r="N50" s="4">
        <v>2435</v>
      </c>
    </row>
    <row r="51" spans="2:14" s="4" customFormat="1" x14ac:dyDescent="0.25">
      <c r="B51" s="15" t="s">
        <v>74</v>
      </c>
      <c r="C51" s="4">
        <v>2192</v>
      </c>
      <c r="D51" s="4">
        <v>2244</v>
      </c>
      <c r="E51" s="4">
        <v>2251</v>
      </c>
      <c r="F51" s="4">
        <v>2174</v>
      </c>
      <c r="G51" s="4">
        <v>2322</v>
      </c>
      <c r="H51" s="4">
        <v>2412</v>
      </c>
      <c r="I51" s="4">
        <v>2436</v>
      </c>
      <c r="J51" s="4">
        <v>2337</v>
      </c>
      <c r="K51" s="4">
        <v>2462</v>
      </c>
      <c r="L51" s="4">
        <v>2541</v>
      </c>
      <c r="M51" s="4">
        <v>2553</v>
      </c>
      <c r="N51" s="4">
        <v>2501</v>
      </c>
    </row>
    <row r="52" spans="2:14" s="4" customFormat="1" x14ac:dyDescent="0.25">
      <c r="B52" s="15" t="s">
        <v>88</v>
      </c>
      <c r="C52" s="4">
        <v>799</v>
      </c>
      <c r="D52" s="4">
        <v>0</v>
      </c>
      <c r="E52" s="4">
        <v>77</v>
      </c>
      <c r="F52" s="4">
        <v>73</v>
      </c>
      <c r="G52" s="4">
        <v>71</v>
      </c>
      <c r="H52" s="4">
        <v>76</v>
      </c>
      <c r="I52" s="4">
        <v>0</v>
      </c>
      <c r="J52" s="4">
        <v>1081</v>
      </c>
      <c r="K52" s="4">
        <v>1080</v>
      </c>
      <c r="L52" s="4">
        <v>1080</v>
      </c>
      <c r="M52" s="4">
        <v>1077</v>
      </c>
      <c r="N52" s="4">
        <v>103</v>
      </c>
    </row>
    <row r="53" spans="2:14" s="4" customFormat="1" x14ac:dyDescent="0.25">
      <c r="B53" s="15" t="s">
        <v>77</v>
      </c>
      <c r="C53" s="4">
        <v>5079</v>
      </c>
      <c r="D53" s="4">
        <v>6067</v>
      </c>
      <c r="E53" s="4">
        <v>5948</v>
      </c>
      <c r="F53" s="4">
        <v>5611</v>
      </c>
      <c r="G53" s="4">
        <v>6050</v>
      </c>
      <c r="H53" s="4">
        <v>7122</v>
      </c>
      <c r="I53" s="4">
        <v>6226</v>
      </c>
      <c r="J53" s="4">
        <v>6254</v>
      </c>
      <c r="K53" s="4">
        <v>6188</v>
      </c>
      <c r="L53" s="4">
        <v>6504</v>
      </c>
      <c r="M53" s="4">
        <v>6183</v>
      </c>
      <c r="N53" s="4">
        <v>6210</v>
      </c>
    </row>
    <row r="54" spans="2:14" s="4" customFormat="1" x14ac:dyDescent="0.25">
      <c r="B54" s="15" t="s">
        <v>75</v>
      </c>
      <c r="C54" s="4">
        <v>6667</v>
      </c>
      <c r="D54" s="4">
        <v>6658</v>
      </c>
      <c r="E54" s="4">
        <v>6507</v>
      </c>
      <c r="F54" s="4">
        <v>6484</v>
      </c>
      <c r="G54" s="4">
        <v>6472</v>
      </c>
      <c r="H54" s="4">
        <v>6506</v>
      </c>
      <c r="I54" s="4">
        <v>6497</v>
      </c>
      <c r="J54" s="4">
        <v>5377</v>
      </c>
      <c r="K54" s="4">
        <v>5866</v>
      </c>
      <c r="L54" s="4">
        <v>5865</v>
      </c>
      <c r="M54" s="4">
        <v>5834</v>
      </c>
      <c r="N54" s="4">
        <v>5794</v>
      </c>
    </row>
    <row r="55" spans="2:14" s="4" customFormat="1" x14ac:dyDescent="0.25">
      <c r="B55" s="15" t="s">
        <v>78</v>
      </c>
      <c r="C55" s="4">
        <v>2649</v>
      </c>
      <c r="D55" s="4">
        <v>2588</v>
      </c>
      <c r="E55" s="4">
        <v>2452</v>
      </c>
      <c r="F55" s="4">
        <v>2482</v>
      </c>
      <c r="G55" s="4">
        <v>2503</v>
      </c>
      <c r="H55" s="4">
        <v>2557</v>
      </c>
      <c r="I55" s="4">
        <v>2507</v>
      </c>
      <c r="J55" s="4">
        <v>2426</v>
      </c>
      <c r="K55" s="4">
        <v>2401</v>
      </c>
      <c r="L55" s="4">
        <v>2488</v>
      </c>
      <c r="M55" s="4">
        <v>2386</v>
      </c>
      <c r="N55" s="4">
        <v>2375</v>
      </c>
    </row>
    <row r="56" spans="2:14" s="4" customFormat="1" x14ac:dyDescent="0.25">
      <c r="B56" s="15" t="s">
        <v>79</v>
      </c>
      <c r="C56" s="4">
        <v>2491</v>
      </c>
      <c r="D56" s="4">
        <v>2311</v>
      </c>
      <c r="E56" s="4">
        <v>2535</v>
      </c>
      <c r="F56" s="4">
        <v>2555</v>
      </c>
      <c r="G56" s="4">
        <v>2509</v>
      </c>
      <c r="H56" s="4">
        <v>2470</v>
      </c>
      <c r="I56" s="4">
        <v>2467</v>
      </c>
      <c r="J56" s="4">
        <v>2550</v>
      </c>
      <c r="K56" s="4">
        <v>2541</v>
      </c>
      <c r="L56" s="4">
        <v>2522</v>
      </c>
      <c r="M56" s="4">
        <v>2559</v>
      </c>
      <c r="N56" s="4">
        <v>2576</v>
      </c>
    </row>
    <row r="57" spans="2:14" s="6" customFormat="1" x14ac:dyDescent="0.25">
      <c r="B57" s="22" t="s">
        <v>76</v>
      </c>
      <c r="C57" s="6">
        <f t="shared" ref="C57:H57" si="59">SUM(C48:C56)</f>
        <v>45149</v>
      </c>
      <c r="D57" s="6">
        <f t="shared" si="59"/>
        <v>43102</v>
      </c>
      <c r="E57" s="6">
        <f t="shared" si="59"/>
        <v>43339</v>
      </c>
      <c r="F57" s="6">
        <f t="shared" si="59"/>
        <v>43519</v>
      </c>
      <c r="G57" s="6">
        <f t="shared" si="59"/>
        <v>44551</v>
      </c>
      <c r="H57" s="6">
        <f t="shared" si="59"/>
        <v>44049</v>
      </c>
      <c r="I57" s="6">
        <f>SUM(I48:I56)</f>
        <v>43179</v>
      </c>
      <c r="J57" s="6">
        <f t="shared" ref="J57:L57" si="60">SUM(J48:J56)</f>
        <v>43936</v>
      </c>
      <c r="K57" s="6">
        <f t="shared" si="60"/>
        <v>47576</v>
      </c>
      <c r="L57" s="6">
        <f t="shared" si="60"/>
        <v>45563</v>
      </c>
      <c r="M57" s="6">
        <f>SUM(M48:M56)</f>
        <v>46140</v>
      </c>
      <c r="N57" s="6">
        <f>SUM(N48:N56)</f>
        <v>46209</v>
      </c>
    </row>
    <row r="58" spans="2:14" s="4" customFormat="1" x14ac:dyDescent="0.25">
      <c r="B58" s="15"/>
    </row>
    <row r="59" spans="2:14" s="6" customFormat="1" x14ac:dyDescent="0.25">
      <c r="B59" s="22" t="s">
        <v>80</v>
      </c>
      <c r="C59" s="6">
        <f t="shared" ref="C59:H59" si="61">C45-C57</f>
        <v>19000</v>
      </c>
      <c r="D59" s="6">
        <f t="shared" si="61"/>
        <v>19976</v>
      </c>
      <c r="E59" s="6">
        <f t="shared" si="61"/>
        <v>20513</v>
      </c>
      <c r="F59" s="6">
        <f t="shared" si="61"/>
        <v>20647</v>
      </c>
      <c r="G59" s="6">
        <f t="shared" si="61"/>
        <v>21476</v>
      </c>
      <c r="H59" s="6">
        <f t="shared" si="61"/>
        <v>22799</v>
      </c>
      <c r="I59" s="6">
        <f>I45-I57</f>
        <v>23573</v>
      </c>
      <c r="J59" s="6">
        <f t="shared" ref="J59:L59" si="62">J45-J57</f>
        <v>25058</v>
      </c>
      <c r="K59" s="6">
        <f t="shared" si="62"/>
        <v>26147</v>
      </c>
      <c r="L59" s="6">
        <f t="shared" si="62"/>
        <v>20760</v>
      </c>
      <c r="M59" s="6">
        <f>M45-M57</f>
        <v>21771</v>
      </c>
      <c r="N59" s="6">
        <f>N45-N57</f>
        <v>23622</v>
      </c>
    </row>
    <row r="60" spans="2:14" s="6" customFormat="1" x14ac:dyDescent="0.25">
      <c r="B60" s="22" t="s">
        <v>81</v>
      </c>
      <c r="C60" s="6">
        <f t="shared" ref="C60" si="63">+C57+C59</f>
        <v>64149</v>
      </c>
      <c r="D60" s="6">
        <f t="shared" ref="D60" si="64">+D57+D59</f>
        <v>63078</v>
      </c>
      <c r="E60" s="6">
        <f t="shared" ref="E60" si="65">+E57+E59</f>
        <v>63852</v>
      </c>
      <c r="F60" s="6">
        <f t="shared" ref="F60" si="66">+F57+F59</f>
        <v>64166</v>
      </c>
      <c r="G60" s="6">
        <f t="shared" ref="G60" si="67">+G57+G59</f>
        <v>66027</v>
      </c>
      <c r="H60" s="6">
        <f t="shared" ref="H60" si="68">+H57+H59</f>
        <v>66848</v>
      </c>
      <c r="I60" s="6">
        <f t="shared" ref="I60:L60" si="69">+I57+I59</f>
        <v>66752</v>
      </c>
      <c r="J60" s="6">
        <f t="shared" si="69"/>
        <v>68994</v>
      </c>
      <c r="K60" s="6">
        <f t="shared" si="69"/>
        <v>73723</v>
      </c>
      <c r="L60" s="6">
        <f t="shared" si="69"/>
        <v>66323</v>
      </c>
      <c r="M60" s="6">
        <f>+M57+M59</f>
        <v>67911</v>
      </c>
      <c r="N60" s="6">
        <f>+N57+N59</f>
        <v>69831</v>
      </c>
    </row>
  </sheetData>
  <hyperlinks>
    <hyperlink ref="A1" location="Main!A1" display="Main" xr:uid="{C15517D0-B047-4D68-AFF4-5061821EF9D0}"/>
  </hyperlinks>
  <pageMargins left="0.7" right="0.7" top="0.75" bottom="0.75" header="0.3" footer="0.3"/>
  <pageSetup orientation="portrait" horizontalDpi="300" verticalDpi="300" r:id="rId1"/>
  <ignoredErrors>
    <ignoredError sqref="R2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E49F-B6B7-457C-B985-C3273D231952}">
  <dimension ref="A1:N13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12" sqref="M12"/>
    </sheetView>
  </sheetViews>
  <sheetFormatPr defaultRowHeight="18" x14ac:dyDescent="0.25"/>
  <cols>
    <col min="1" max="1" width="7.7109375" style="2" bestFit="1" customWidth="1"/>
    <col min="2" max="2" width="28.5703125" style="2" customWidth="1"/>
    <col min="3" max="8" width="26.28515625" style="2" customWidth="1"/>
    <col min="9" max="17" width="15.7109375" style="2" customWidth="1"/>
    <col min="18" max="16384" width="9.140625" style="2"/>
  </cols>
  <sheetData>
    <row r="1" spans="1:14" x14ac:dyDescent="0.25">
      <c r="A1" s="1" t="s">
        <v>1</v>
      </c>
    </row>
    <row r="2" spans="1:14" x14ac:dyDescent="0.25">
      <c r="A2" s="1"/>
      <c r="B2" s="2" t="s">
        <v>23</v>
      </c>
      <c r="M2" s="3"/>
    </row>
    <row r="3" spans="1:14" x14ac:dyDescent="0.25">
      <c r="B3" s="2" t="s">
        <v>22</v>
      </c>
      <c r="C3" s="3">
        <v>44521</v>
      </c>
      <c r="D3" s="3">
        <v>44605</v>
      </c>
      <c r="E3" s="3">
        <v>44689</v>
      </c>
      <c r="F3" s="3">
        <v>44801</v>
      </c>
      <c r="G3" s="3">
        <v>44885</v>
      </c>
      <c r="H3" s="3">
        <v>44969</v>
      </c>
      <c r="I3" s="3">
        <v>45053</v>
      </c>
      <c r="J3" s="3">
        <v>45172</v>
      </c>
      <c r="K3" s="3">
        <v>45256</v>
      </c>
      <c r="L3" s="3">
        <v>45340</v>
      </c>
      <c r="M3" s="3">
        <v>45424</v>
      </c>
      <c r="N3" s="3">
        <v>45536</v>
      </c>
    </row>
    <row r="4" spans="1:14" x14ac:dyDescent="0.25">
      <c r="B4" s="2" t="s">
        <v>56</v>
      </c>
      <c r="C4" s="2" t="s">
        <v>49</v>
      </c>
      <c r="D4" s="2" t="s">
        <v>48</v>
      </c>
      <c r="E4" s="2" t="s">
        <v>47</v>
      </c>
      <c r="F4" s="2" t="s">
        <v>46</v>
      </c>
      <c r="G4" s="2" t="s">
        <v>45</v>
      </c>
      <c r="H4" s="2" t="s">
        <v>44</v>
      </c>
      <c r="I4" s="2" t="s">
        <v>43</v>
      </c>
      <c r="J4" s="2" t="s">
        <v>42</v>
      </c>
      <c r="K4" s="2" t="s">
        <v>41</v>
      </c>
      <c r="L4" s="2" t="s">
        <v>40</v>
      </c>
      <c r="M4" s="2" t="s">
        <v>39</v>
      </c>
      <c r="N4" s="2" t="s">
        <v>38</v>
      </c>
    </row>
    <row r="6" spans="1:14" x14ac:dyDescent="0.25">
      <c r="B6" s="19" t="s">
        <v>50</v>
      </c>
    </row>
    <row r="7" spans="1:14" x14ac:dyDescent="0.25">
      <c r="B7" s="2" t="s">
        <v>54</v>
      </c>
      <c r="C7" s="2">
        <v>571</v>
      </c>
      <c r="D7" s="2">
        <v>572</v>
      </c>
      <c r="E7" s="2">
        <v>573</v>
      </c>
      <c r="F7" s="2">
        <v>578</v>
      </c>
      <c r="G7" s="2">
        <v>582</v>
      </c>
      <c r="H7" s="2">
        <v>584</v>
      </c>
      <c r="I7" s="2">
        <v>586</v>
      </c>
      <c r="J7" s="2">
        <v>591</v>
      </c>
      <c r="K7" s="2">
        <v>599</v>
      </c>
      <c r="L7" s="2">
        <v>602</v>
      </c>
      <c r="M7" s="2">
        <v>604</v>
      </c>
      <c r="N7" s="2">
        <v>614</v>
      </c>
    </row>
    <row r="8" spans="1:14" x14ac:dyDescent="0.25">
      <c r="B8" s="2" t="s">
        <v>51</v>
      </c>
      <c r="C8" s="2">
        <v>105</v>
      </c>
      <c r="D8" s="2">
        <v>105</v>
      </c>
      <c r="E8" s="2">
        <v>105</v>
      </c>
      <c r="F8" s="2">
        <v>107</v>
      </c>
      <c r="G8" s="2">
        <v>107</v>
      </c>
      <c r="H8" s="2">
        <v>107</v>
      </c>
      <c r="I8" s="2">
        <v>107</v>
      </c>
      <c r="J8" s="2">
        <v>107</v>
      </c>
      <c r="K8" s="2">
        <v>108</v>
      </c>
      <c r="L8" s="2">
        <v>108</v>
      </c>
      <c r="M8" s="2">
        <v>108</v>
      </c>
      <c r="N8" s="2">
        <v>108</v>
      </c>
    </row>
    <row r="9" spans="1:14" x14ac:dyDescent="0.25">
      <c r="B9" s="2" t="s">
        <v>52</v>
      </c>
      <c r="C9" s="2">
        <v>147</v>
      </c>
      <c r="D9" s="2">
        <v>151</v>
      </c>
      <c r="E9" s="2">
        <v>151</v>
      </c>
      <c r="F9" s="2">
        <v>153</v>
      </c>
      <c r="G9" s="2">
        <v>156</v>
      </c>
      <c r="H9" s="2">
        <v>157</v>
      </c>
      <c r="I9" s="2">
        <v>159</v>
      </c>
      <c r="J9" s="2">
        <v>163</v>
      </c>
      <c r="K9" s="2">
        <v>163</v>
      </c>
      <c r="L9" s="2">
        <v>164</v>
      </c>
      <c r="M9" s="2">
        <v>164</v>
      </c>
      <c r="N9" s="2">
        <v>168</v>
      </c>
    </row>
    <row r="10" spans="1:14" x14ac:dyDescent="0.25">
      <c r="B10" s="5" t="s">
        <v>53</v>
      </c>
      <c r="C10" s="2">
        <f t="shared" ref="C10:M10" si="0">C7+C8+C9</f>
        <v>823</v>
      </c>
      <c r="D10" s="2">
        <f t="shared" si="0"/>
        <v>828</v>
      </c>
      <c r="E10" s="2">
        <f t="shared" si="0"/>
        <v>829</v>
      </c>
      <c r="F10" s="2">
        <f t="shared" si="0"/>
        <v>838</v>
      </c>
      <c r="G10" s="2">
        <f t="shared" si="0"/>
        <v>845</v>
      </c>
      <c r="H10" s="2">
        <f t="shared" si="0"/>
        <v>848</v>
      </c>
      <c r="I10" s="2">
        <f t="shared" si="0"/>
        <v>852</v>
      </c>
      <c r="J10" s="2">
        <f t="shared" si="0"/>
        <v>861</v>
      </c>
      <c r="K10" s="2">
        <f t="shared" si="0"/>
        <v>870</v>
      </c>
      <c r="L10" s="2">
        <f t="shared" si="0"/>
        <v>874</v>
      </c>
      <c r="M10" s="2">
        <f t="shared" si="0"/>
        <v>876</v>
      </c>
      <c r="N10" s="2">
        <f>N7+N8+N9</f>
        <v>890</v>
      </c>
    </row>
    <row r="11" spans="1:14" x14ac:dyDescent="0.25">
      <c r="B11" s="5" t="s">
        <v>55</v>
      </c>
      <c r="F11" s="2">
        <v>661</v>
      </c>
      <c r="J11" s="2">
        <v>677</v>
      </c>
      <c r="N11" s="2">
        <v>703</v>
      </c>
    </row>
    <row r="12" spans="1:14" x14ac:dyDescent="0.25">
      <c r="A12" s="2" t="s">
        <v>21</v>
      </c>
      <c r="B12" s="2" t="s">
        <v>63</v>
      </c>
      <c r="F12" s="10"/>
      <c r="G12" s="10">
        <f t="shared" ref="G12:M12" si="1">G10/C10-1</f>
        <v>2.6731470230862753E-2</v>
      </c>
      <c r="H12" s="10">
        <f t="shared" si="1"/>
        <v>2.4154589371980784E-2</v>
      </c>
      <c r="I12" s="10">
        <f t="shared" si="1"/>
        <v>2.7744270205066313E-2</v>
      </c>
      <c r="J12" s="10">
        <f t="shared" si="1"/>
        <v>2.7446300715990413E-2</v>
      </c>
      <c r="K12" s="10">
        <f t="shared" si="1"/>
        <v>2.9585798816567976E-2</v>
      </c>
      <c r="L12" s="10">
        <f t="shared" si="1"/>
        <v>3.0660377358490587E-2</v>
      </c>
      <c r="M12" s="10">
        <f t="shared" si="1"/>
        <v>2.8169014084507005E-2</v>
      </c>
      <c r="N12" s="10">
        <f>N10/J10-1</f>
        <v>3.3681765389082408E-2</v>
      </c>
    </row>
    <row r="13" spans="1:14" x14ac:dyDescent="0.25">
      <c r="A13" s="2" t="s">
        <v>62</v>
      </c>
      <c r="B13" s="2" t="s">
        <v>63</v>
      </c>
      <c r="G13" s="10">
        <f t="shared" ref="G13:M13" si="2">G10/F10-1</f>
        <v>8.3532219570405797E-3</v>
      </c>
      <c r="H13" s="10">
        <f t="shared" si="2"/>
        <v>3.5502958579882726E-3</v>
      </c>
      <c r="I13" s="10">
        <f t="shared" si="2"/>
        <v>4.7169811320755262E-3</v>
      </c>
      <c r="J13" s="10">
        <f t="shared" si="2"/>
        <v>1.0563380281690238E-2</v>
      </c>
      <c r="K13" s="10">
        <f t="shared" si="2"/>
        <v>1.0452961672473782E-2</v>
      </c>
      <c r="L13" s="10">
        <f t="shared" si="2"/>
        <v>4.5977011494253706E-3</v>
      </c>
      <c r="M13" s="10">
        <f t="shared" si="2"/>
        <v>2.2883295194509046E-3</v>
      </c>
      <c r="N13" s="10">
        <f>N10/M10-1</f>
        <v>1.5981735159817267E-2</v>
      </c>
    </row>
  </sheetData>
  <hyperlinks>
    <hyperlink ref="A1" location="Main!A1" display="Main" xr:uid="{FC73819D-3763-4825-9072-D0CE76F0CE40}"/>
  </hyperlink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FE53-974E-42F4-8081-0DB1D7471813}">
  <dimension ref="A1:N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6" sqref="G16"/>
    </sheetView>
  </sheetViews>
  <sheetFormatPr defaultRowHeight="18" x14ac:dyDescent="0.25"/>
  <cols>
    <col min="1" max="1" width="7.7109375" style="2" bestFit="1" customWidth="1"/>
    <col min="2" max="2" width="28.5703125" style="2" customWidth="1"/>
    <col min="3" max="8" width="26.28515625" style="2" customWidth="1"/>
    <col min="9" max="17" width="15.7109375" style="2" customWidth="1"/>
    <col min="18" max="16384" width="9.140625" style="2"/>
  </cols>
  <sheetData>
    <row r="1" spans="1:14" x14ac:dyDescent="0.25">
      <c r="A1" s="1" t="s">
        <v>1</v>
      </c>
    </row>
    <row r="2" spans="1:14" x14ac:dyDescent="0.25">
      <c r="A2" s="1"/>
      <c r="B2" s="2" t="s">
        <v>23</v>
      </c>
      <c r="M2" s="3"/>
    </row>
    <row r="3" spans="1:14" x14ac:dyDescent="0.25">
      <c r="B3" s="2" t="s">
        <v>22</v>
      </c>
      <c r="C3" s="3">
        <v>44521</v>
      </c>
      <c r="D3" s="3">
        <v>44605</v>
      </c>
      <c r="E3" s="3">
        <v>44689</v>
      </c>
      <c r="F3" s="3">
        <v>44801</v>
      </c>
      <c r="G3" s="3">
        <v>44885</v>
      </c>
      <c r="H3" s="3">
        <v>44969</v>
      </c>
      <c r="I3" s="3">
        <v>45053</v>
      </c>
      <c r="J3" s="3">
        <v>45172</v>
      </c>
      <c r="K3" s="3">
        <v>45256</v>
      </c>
      <c r="L3" s="3">
        <v>45340</v>
      </c>
      <c r="M3" s="3">
        <v>45424</v>
      </c>
      <c r="N3" s="3">
        <v>45536</v>
      </c>
    </row>
    <row r="4" spans="1:14" x14ac:dyDescent="0.25">
      <c r="B4" s="2" t="s">
        <v>56</v>
      </c>
      <c r="C4" s="2" t="s">
        <v>49</v>
      </c>
      <c r="D4" s="2" t="s">
        <v>48</v>
      </c>
      <c r="E4" s="2" t="s">
        <v>47</v>
      </c>
      <c r="F4" s="2" t="s">
        <v>46</v>
      </c>
      <c r="G4" s="2" t="s">
        <v>45</v>
      </c>
      <c r="H4" s="2" t="s">
        <v>44</v>
      </c>
      <c r="I4" s="2" t="s">
        <v>43</v>
      </c>
      <c r="J4" s="2" t="s">
        <v>42</v>
      </c>
      <c r="K4" s="2" t="s">
        <v>41</v>
      </c>
      <c r="L4" s="2" t="s">
        <v>40</v>
      </c>
      <c r="M4" s="2" t="s">
        <v>39</v>
      </c>
      <c r="N4" s="2" t="s">
        <v>38</v>
      </c>
    </row>
  </sheetData>
  <hyperlinks>
    <hyperlink ref="A1" location="Main!A1" display="Main" xr:uid="{8533BF4F-7CA3-402C-8D8A-05C150BA34A5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Warehouses</vt:lpstr>
      <vt:lpstr>Card Renewal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Munoz</dc:creator>
  <cp:lastModifiedBy>Adrian Munoz</cp:lastModifiedBy>
  <dcterms:created xsi:type="dcterms:W3CDTF">2015-06-05T18:17:20Z</dcterms:created>
  <dcterms:modified xsi:type="dcterms:W3CDTF">2024-11-11T16:44:48Z</dcterms:modified>
</cp:coreProperties>
</file>