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8_{2C0F92C3-3815-4F07-9FF7-295A27982016}" xr6:coauthVersionLast="33" xr6:coauthVersionMax="33" xr10:uidLastSave="{00000000-0000-0000-0000-000000000000}"/>
  <bookViews>
    <workbookView xWindow="0" yWindow="0" windowWidth="28800" windowHeight="12810" activeTab="9" xr2:uid="{2EE8FDF6-144F-41EE-A9E0-3DF0A4CBF5EF}"/>
  </bookViews>
  <sheets>
    <sheet name="128" sheetId="10" r:id="rId1"/>
    <sheet name="64" sheetId="9" r:id="rId2"/>
    <sheet name="64_32" sheetId="8" r:id="rId3"/>
    <sheet name="32_32" sheetId="7" r:id="rId4"/>
    <sheet name="16" sheetId="6" r:id="rId5"/>
    <sheet name="8" sheetId="5" r:id="rId6"/>
    <sheet name="4" sheetId="4" r:id="rId7"/>
    <sheet name="2" sheetId="3" r:id="rId8"/>
    <sheet name="1" sheetId="2" r:id="rId9"/>
    <sheet name="Tabelle1" sheetId="1" r:id="rId10"/>
  </sheets>
  <definedNames>
    <definedName name="ExterneDaten_1" localSheetId="8" hidden="1">'1'!$A$1:$K$11</definedName>
    <definedName name="ExterneDaten_2" localSheetId="7" hidden="1">'2'!$A$1:$K$11</definedName>
    <definedName name="ExterneDaten_3" localSheetId="6" hidden="1">'4'!$A$1:$K$11</definedName>
    <definedName name="ExterneDaten_4" localSheetId="5" hidden="1">'8'!$A$1:$K$11</definedName>
    <definedName name="ExterneDaten_5" localSheetId="4" hidden="1">'16'!$A$1:$K$11</definedName>
    <definedName name="ExterneDaten_6" localSheetId="3" hidden="1">'32_32'!$A$1:$K$11</definedName>
    <definedName name="ExterneDaten_7" localSheetId="2" hidden="1">'64_32'!$A$1:$K$11</definedName>
    <definedName name="ExterneDaten_8" localSheetId="1" hidden="1">'64'!$A$1:$K$11</definedName>
    <definedName name="ExterneDaten_9" localSheetId="0" hidden="1">'128'!$A$1:$K$11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B2" i="1"/>
  <c r="C2" i="1"/>
  <c r="A2" i="1"/>
  <c r="B12" i="10"/>
  <c r="C12" i="10"/>
  <c r="D12" i="10"/>
  <c r="E12" i="10"/>
  <c r="F12" i="10"/>
  <c r="G12" i="10"/>
  <c r="H12" i="10"/>
  <c r="I12" i="10"/>
  <c r="J12" i="10"/>
  <c r="K12" i="10"/>
  <c r="B12" i="9"/>
  <c r="C12" i="9"/>
  <c r="D12" i="9"/>
  <c r="E12" i="9"/>
  <c r="F12" i="9"/>
  <c r="G12" i="9"/>
  <c r="H12" i="9"/>
  <c r="I12" i="9"/>
  <c r="J12" i="9"/>
  <c r="K12" i="9"/>
  <c r="B12" i="8"/>
  <c r="C12" i="8"/>
  <c r="D12" i="8"/>
  <c r="E12" i="8"/>
  <c r="F12" i="8"/>
  <c r="G12" i="8"/>
  <c r="H12" i="8"/>
  <c r="I12" i="8"/>
  <c r="J12" i="8"/>
  <c r="K12" i="8"/>
  <c r="B12" i="7"/>
  <c r="C12" i="7"/>
  <c r="D12" i="7"/>
  <c r="E12" i="7"/>
  <c r="F12" i="7"/>
  <c r="G12" i="7"/>
  <c r="H12" i="7"/>
  <c r="I12" i="7"/>
  <c r="J12" i="7"/>
  <c r="K12" i="7"/>
  <c r="B12" i="6"/>
  <c r="C12" i="6"/>
  <c r="D12" i="6"/>
  <c r="E12" i="6"/>
  <c r="F12" i="6"/>
  <c r="G12" i="6"/>
  <c r="H12" i="6"/>
  <c r="I12" i="6"/>
  <c r="J12" i="6"/>
  <c r="K12" i="6"/>
  <c r="B12" i="5"/>
  <c r="C12" i="5"/>
  <c r="D12" i="5"/>
  <c r="E12" i="5"/>
  <c r="F12" i="5"/>
  <c r="G12" i="5"/>
  <c r="H12" i="5"/>
  <c r="I12" i="5"/>
  <c r="J12" i="5"/>
  <c r="K12" i="5"/>
  <c r="B12" i="4"/>
  <c r="C12" i="4"/>
  <c r="D12" i="4"/>
  <c r="E12" i="4"/>
  <c r="F12" i="4"/>
  <c r="G12" i="4"/>
  <c r="H12" i="4"/>
  <c r="I12" i="4"/>
  <c r="J12" i="4"/>
  <c r="K12" i="4"/>
  <c r="B12" i="3"/>
  <c r="C12" i="3"/>
  <c r="D12" i="3"/>
  <c r="E12" i="3"/>
  <c r="F12" i="3"/>
  <c r="G12" i="3"/>
  <c r="H12" i="3"/>
  <c r="I12" i="3"/>
  <c r="J12" i="3"/>
  <c r="K12" i="3"/>
  <c r="B12" i="2"/>
  <c r="C12" i="2"/>
  <c r="D12" i="2"/>
  <c r="E12" i="2"/>
  <c r="F12" i="2"/>
  <c r="G12" i="2"/>
  <c r="H12" i="2"/>
  <c r="I12" i="2"/>
  <c r="J12" i="2"/>
  <c r="K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76D21-B2D1-422B-8CBB-EA2B9B7C18F8}" keepAlive="1" name="Abfrage - _grav_128_20" description="Verbindung mit der Abfrage '_grav_128_20' in der Arbeitsmappe." type="5" refreshedVersion="6" background="1" saveData="1">
    <dbPr connection="Provider=Microsoft.Mashup.OleDb.1;Data Source=$Workbook$;Location=_grav_128_20;Extended Properties=&quot;&quot;" command="SELECT * FROM [_grav_128_20]"/>
  </connection>
  <connection id="2" xr16:uid="{7C825EAE-72DA-44DD-A2F5-92E59BD645FB}" keepAlive="1" name="Abfrage - _grav_32_1_20" description="Verbindung mit der Abfrage '_grav_32_1_20' in der Arbeitsmappe." type="5" refreshedVersion="6" background="1" saveData="1">
    <dbPr connection="Provider=Microsoft.Mashup.OleDb.1;Data Source=$Workbook$;Location=_grav_32_1_20;Extended Properties=&quot;&quot;" command="SELECT * FROM [_grav_32_1_20]"/>
  </connection>
  <connection id="3" xr16:uid="{923BD280-F647-4F4E-BCF1-11AB3638EE88}" keepAlive="1" name="Abfrage - _grav_32_16_20" description="Verbindung mit der Abfrage '_grav_32_16_20' in der Arbeitsmappe." type="5" refreshedVersion="6" background="1" saveData="1">
    <dbPr connection="Provider=Microsoft.Mashup.OleDb.1;Data Source=$Workbook$;Location=_grav_32_16_20;Extended Properties=&quot;&quot;" command="SELECT * FROM [_grav_32_16_20]"/>
  </connection>
  <connection id="4" xr16:uid="{E49D8C85-F39A-4DA5-9B45-C76E832046CE}" keepAlive="1" name="Abfrage - _grav_32_2_20" description="Verbindung mit der Abfrage '_grav_32_2_20' in der Arbeitsmappe." type="5" refreshedVersion="6" background="1" saveData="1">
    <dbPr connection="Provider=Microsoft.Mashup.OleDb.1;Data Source=$Workbook$;Location=_grav_32_2_20;Extended Properties=&quot;&quot;" command="SELECT * FROM [_grav_32_2_20]"/>
  </connection>
  <connection id="5" xr16:uid="{B16AC629-D13F-4ED4-9E1F-A528937DCD6A}" keepAlive="1" name="Abfrage - _grav_32_32_20" description="Verbindung mit der Abfrage '_grav_32_32_20' in der Arbeitsmappe." type="5" refreshedVersion="6" background="1" saveData="1">
    <dbPr connection="Provider=Microsoft.Mashup.OleDb.1;Data Source=$Workbook$;Location=_grav_32_32_20;Extended Properties=&quot;&quot;" command="SELECT * FROM [_grav_32_32_20]"/>
  </connection>
  <connection id="6" xr16:uid="{589E85EA-F63D-4663-AA88-1FE1C4DDF0F5}" keepAlive="1" name="Abfrage - _grav_32_4_20" description="Verbindung mit der Abfrage '_grav_32_4_20' in der Arbeitsmappe." type="5" refreshedVersion="6" background="1" saveData="1">
    <dbPr connection="Provider=Microsoft.Mashup.OleDb.1;Data Source=$Workbook$;Location=_grav_32_4_20;Extended Properties=&quot;&quot;" command="SELECT * FROM [_grav_32_4_20]"/>
  </connection>
  <connection id="7" xr16:uid="{F7C534D9-956A-477A-8031-1CFDF8C7E077}" keepAlive="1" name="Abfrage - _grav_32_8_20" description="Verbindung mit der Abfrage '_grav_32_8_20' in der Arbeitsmappe." type="5" refreshedVersion="6" background="1" saveData="1">
    <dbPr connection="Provider=Microsoft.Mashup.OleDb.1;Data Source=$Workbook$;Location=_grav_32_8_20;Extended Properties=&quot;&quot;" command="SELECT * FROM [_grav_32_8_20]"/>
  </connection>
  <connection id="8" xr16:uid="{5C137203-E98D-431C-A830-F3B015A05EE4}" keepAlive="1" name="Abfrage - _grav_64_32_20" description="Verbindung mit der Abfrage '_grav_64_32_20' in der Arbeitsmappe." type="5" refreshedVersion="6" background="1" saveData="1">
    <dbPr connection="Provider=Microsoft.Mashup.OleDb.1;Data Source=$Workbook$;Location=_grav_64_32_20;Extended Properties=&quot;&quot;" command="SELECT * FROM [_grav_64_32_20]"/>
  </connection>
  <connection id="9" xr16:uid="{77708E51-B065-4D3F-BF48-17600BA6D853}" keepAlive="1" name="Abfrage - _grav_64_64_20" description="Verbindung mit der Abfrage '_grav_64_64_20' in der Arbeitsmappe." type="5" refreshedVersion="6" background="1" saveData="1">
    <dbPr connection="Provider=Microsoft.Mashup.OleDb.1;Data Source=$Workbook$;Location=_grav_64_64_20;Extended Properties=&quot;&quot;" command="SELECT * FROM [_grav_64_64_20]"/>
  </connection>
</connections>
</file>

<file path=xl/sharedStrings.xml><?xml version="1.0" encoding="utf-8"?>
<sst xmlns="http://schemas.openxmlformats.org/spreadsheetml/2006/main" count="115" uniqueCount="19">
  <si>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</si>
  <si>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</si>
  <si>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</si>
  <si>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</si>
  <si>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</si>
  <si>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</si>
  <si>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</si>
  <si>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</si>
  <si>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</si>
  <si>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</si>
  <si>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</si>
  <si>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Ergebnis</t>
  </si>
  <si>
    <t>Zeit</t>
  </si>
  <si>
    <t>Arbeitszeit</t>
  </si>
  <si>
    <t>Prepzeit</t>
  </si>
  <si>
    <t>Commzeit</t>
  </si>
  <si>
    <t>Wachstum</t>
  </si>
  <si>
    <t>Zeit pro Element</t>
  </si>
  <si>
    <t># Prozesse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</si>
</sst>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1" xr16:uid="{73AC1892-CB72-4550-9D24-A5DDBB42889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9" xr16:uid="{4889D2F1-A37A-4DA2-B482-F9E329EF0242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604CDE8A-25A6-4520-AB19-A7B75FC8B201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5" xr16:uid="{3262F378-D73B-44C1-B600-399AAD25481E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3" xr16:uid="{BD1485FF-B863-4B08-B18E-51765EC7D90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7" xr16:uid="{609C2A85-AD91-422F-A94C-477D1C8C1B4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75EB0804-50EF-4DD7-89F9-FB10298CC3ED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7C3BECD1-8DFE-47F3-BBD5-3ADDB6B4CC20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7CC7B7D-0500-4A41-9C7B-06BC96BD5377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311C24-74FC-402A-BBF6-FEB15C1D055A}" name="_grav_128_20" displayName="_grav_128_20" ref="A1:K12" tableType="queryTable" totalsRowCount="1">
  <autoFilter ref="A1:K11" xr:uid="{A45C7031-6538-49F1-A740-951B38717E7C}"/>
  <tableColumns count="11">
    <tableColumn id="1" xr3:uid="{F578A7AD-5A12-4979-BE76-CB2F00CBA03E}" uniqueName="1" name="step" totalsRowLabel="Ergebnis" queryTableFieldId="1"/>
    <tableColumn id="2" xr3:uid="{9DCD7F48-A834-4F7B-9C85-96F471F5855D}" uniqueName="2" name="total_time" totalsRowFunction="average" queryTableFieldId="2"/>
    <tableColumn id="3" xr3:uid="{3A9A868B-2821-4750-B442-1167BA8371E7}" uniqueName="3" name="work_time_min" totalsRowFunction="average" queryTableFieldId="3"/>
    <tableColumn id="4" xr3:uid="{5602CBE1-E219-41E8-82E2-4E2A638A7399}" uniqueName="4" name="work_time_avg" totalsRowFunction="average" queryTableFieldId="4"/>
    <tableColumn id="5" xr3:uid="{C9CF2B30-0AEE-40E6-B36E-974F931E5064}" uniqueName="5" name="work_time_max" totalsRowFunction="average" queryTableFieldId="5"/>
    <tableColumn id="6" xr3:uid="{2EBC354B-E2E3-44EE-8010-FED0CF3F514B}" uniqueName="6" name="prep_time_min" totalsRowFunction="average" queryTableFieldId="6"/>
    <tableColumn id="7" xr3:uid="{6D50364E-3FF0-46C3-8206-370757A2F167}" uniqueName="7" name="prep_time_avg" totalsRowFunction="average" queryTableFieldId="7"/>
    <tableColumn id="8" xr3:uid="{3C3A7E5C-71B6-43BF-9D9E-0E9E08C903E3}" uniqueName="8" name="prep_time_max" totalsRowFunction="average" queryTableFieldId="8"/>
    <tableColumn id="9" xr3:uid="{C515B32B-B444-4FEA-83F2-A6C9EED5DC28}" uniqueName="9" name="comm_time_min" totalsRowFunction="average" queryTableFieldId="9"/>
    <tableColumn id="10" xr3:uid="{59B18B26-A9F6-463A-AF95-6FBA9AE20C58}" uniqueName="10" name="comm_time_avg" totalsRowFunction="average" queryTableFieldId="10"/>
    <tableColumn id="11" xr3:uid="{E80E5D23-288D-4456-B592-11EAE01D850F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A47758-58A1-47C4-9DA7-BA0162AC14FA}" name="_grav_64_64_20" displayName="_grav_64_64_20" ref="A1:K12" tableType="queryTable" totalsRowCount="1">
  <autoFilter ref="A1:K11" xr:uid="{4622EBCF-5183-4368-B9D1-557AB0A946F7}"/>
  <tableColumns count="11">
    <tableColumn id="1" xr3:uid="{A6A1AD86-70F2-4492-A533-DCCBB8CC55F3}" uniqueName="1" name="step" totalsRowLabel="Ergebnis" queryTableFieldId="1"/>
    <tableColumn id="2" xr3:uid="{E16ABE1A-F690-4A2C-9F24-C1DEC106CEF4}" uniqueName="2" name="total_time" totalsRowFunction="average" queryTableFieldId="2"/>
    <tableColumn id="3" xr3:uid="{FCF78EA1-11E2-4B41-BEDA-121B86471B72}" uniqueName="3" name="work_time_min" totalsRowFunction="average" queryTableFieldId="3"/>
    <tableColumn id="4" xr3:uid="{6FE0BD93-9673-48AE-8113-76EAE05253F2}" uniqueName="4" name="work_time_avg" totalsRowFunction="average" queryTableFieldId="4"/>
    <tableColumn id="5" xr3:uid="{B458B906-5A06-4081-BAD0-24305399FE5C}" uniqueName="5" name="work_time_max" totalsRowFunction="average" queryTableFieldId="5"/>
    <tableColumn id="6" xr3:uid="{759EBC91-F22B-44B4-8014-21E0DE6B0B1C}" uniqueName="6" name="prep_time_min" totalsRowFunction="average" queryTableFieldId="6"/>
    <tableColumn id="7" xr3:uid="{70E6583D-90FE-45EC-8370-ECCCB66BE94D}" uniqueName="7" name="prep_time_avg" totalsRowFunction="average" queryTableFieldId="7"/>
    <tableColumn id="8" xr3:uid="{034DBAA1-7884-4D3A-826D-B45762ADB298}" uniqueName="8" name="prep_time_max" totalsRowFunction="average" queryTableFieldId="8"/>
    <tableColumn id="9" xr3:uid="{F200AC0B-CB15-49D7-9105-47C1C75C348B}" uniqueName="9" name="comm_time_min" totalsRowFunction="average" queryTableFieldId="9"/>
    <tableColumn id="10" xr3:uid="{4FDC5ECA-A631-4789-A9C2-2F02FF9C0F7C}" uniqueName="10" name="comm_time_avg" totalsRowFunction="average" queryTableFieldId="10"/>
    <tableColumn id="11" xr3:uid="{89C67902-339C-4B4F-B940-2FF5D02D9E08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8C2CC-189C-4C7C-847A-7A5EB81EBB05}" name="_grav_64_32_20" displayName="_grav_64_32_20" ref="A1:K12" tableType="queryTable" totalsRowCount="1">
  <autoFilter ref="A1:K11" xr:uid="{A7B0B0F0-69A9-4D68-93A0-CFFF61B7EBF4}"/>
  <tableColumns count="11">
    <tableColumn id="1" xr3:uid="{83EF97E3-C1A9-4BC7-AAF1-240A9599C229}" uniqueName="1" name="step" totalsRowLabel="Ergebnis" queryTableFieldId="1"/>
    <tableColumn id="2" xr3:uid="{A1C2EDDB-B7E8-404B-8E12-83221DC6FD11}" uniqueName="2" name="total_time" totalsRowFunction="average" queryTableFieldId="2"/>
    <tableColumn id="3" xr3:uid="{72243883-7D8E-4E25-866D-AC3D41BBA55B}" uniqueName="3" name="work_time_min" totalsRowFunction="average" queryTableFieldId="3"/>
    <tableColumn id="4" xr3:uid="{256B1AE9-DCDE-4101-8A6A-157DBDC64A3F}" uniqueName="4" name="work_time_avg" totalsRowFunction="average" queryTableFieldId="4"/>
    <tableColumn id="5" xr3:uid="{0A1C8BE6-2ABC-4B9F-9FB5-BFE57D456497}" uniqueName="5" name="work_time_max" totalsRowFunction="average" queryTableFieldId="5"/>
    <tableColumn id="6" xr3:uid="{59EB4025-9D8C-42DC-B53D-64F912722F90}" uniqueName="6" name="prep_time_min" totalsRowFunction="average" queryTableFieldId="6"/>
    <tableColumn id="7" xr3:uid="{ED757813-4650-4420-B98E-E31F3B313BA3}" uniqueName="7" name="prep_time_avg" totalsRowFunction="average" queryTableFieldId="7"/>
    <tableColumn id="8" xr3:uid="{270852EB-4D64-49A7-898A-D52BC757476B}" uniqueName="8" name="prep_time_max" totalsRowFunction="average" queryTableFieldId="8"/>
    <tableColumn id="9" xr3:uid="{5086D1AB-EA93-4366-B546-76FF6798FB81}" uniqueName="9" name="comm_time_min" totalsRowFunction="average" queryTableFieldId="9"/>
    <tableColumn id="10" xr3:uid="{510AD688-632F-4648-A924-A233EC236B49}" uniqueName="10" name="comm_time_avg" totalsRowFunction="average" queryTableFieldId="10"/>
    <tableColumn id="11" xr3:uid="{5BFF29A9-1DAA-488C-9135-A5C655E01DF1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AFD557-7914-4CDD-A213-2D61DB5CCCE9}" name="_grav_32_32_20" displayName="_grav_32_32_20" ref="A1:K12" tableType="queryTable" totalsRowCount="1">
  <autoFilter ref="A1:K11" xr:uid="{FDB48E55-61AD-4C20-BF3C-02BB1DA65ADB}"/>
  <tableColumns count="11">
    <tableColumn id="1" xr3:uid="{16EBF4C2-6B21-4D62-9435-D47AED63E6BE}" uniqueName="1" name="step" totalsRowLabel="Ergebnis" queryTableFieldId="1"/>
    <tableColumn id="2" xr3:uid="{D6A8F446-E554-4C3E-BF6A-860220213F56}" uniqueName="2" name="total_time" totalsRowFunction="average" queryTableFieldId="2"/>
    <tableColumn id="3" xr3:uid="{73E2C5C5-B91B-41C1-BB5A-ADF1F3FC4686}" uniqueName="3" name="work_time_min" totalsRowFunction="average" queryTableFieldId="3"/>
    <tableColumn id="4" xr3:uid="{D11E7734-DDB1-4C29-9EB7-F9863A1356B1}" uniqueName="4" name="work_time_avg" totalsRowFunction="average" queryTableFieldId="4"/>
    <tableColumn id="5" xr3:uid="{3FC76589-7D5A-4984-8401-25693B2FC65E}" uniqueName="5" name="work_time_max" totalsRowFunction="average" queryTableFieldId="5"/>
    <tableColumn id="6" xr3:uid="{3C0634C8-9D0A-4B54-B872-EEAAA3E96001}" uniqueName="6" name="prep_time_min" totalsRowFunction="average" queryTableFieldId="6"/>
    <tableColumn id="7" xr3:uid="{D2BBE56E-9BC8-4218-ADF0-654C36C52E93}" uniqueName="7" name="prep_time_avg" totalsRowFunction="average" queryTableFieldId="7"/>
    <tableColumn id="8" xr3:uid="{826FDC9D-C112-400D-986B-39B5BBD86B51}" uniqueName="8" name="prep_time_max" totalsRowFunction="average" queryTableFieldId="8"/>
    <tableColumn id="9" xr3:uid="{E7C96056-692A-4B70-B3AA-40B96614FCD8}" uniqueName="9" name="comm_time_min" totalsRowFunction="average" queryTableFieldId="9"/>
    <tableColumn id="10" xr3:uid="{41EFC11C-1E29-4F7A-8C20-D9F9D415818F}" uniqueName="10" name="comm_time_avg" totalsRowFunction="average" queryTableFieldId="10"/>
    <tableColumn id="11" xr3:uid="{8502370E-970A-4632-AC7F-2738DC0FE625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451911-5A96-4505-B354-1BFB4CA2B0BD}" name="_grav_32_16_20" displayName="_grav_32_16_20" ref="A1:K12" tableType="queryTable" totalsRowCount="1">
  <autoFilter ref="A1:K11" xr:uid="{E7B6FFF6-99CA-4CDB-8535-3578D5E2DFC7}"/>
  <tableColumns count="11">
    <tableColumn id="1" xr3:uid="{497E63D3-0DD2-49DB-AF3E-DC95C8151017}" uniqueName="1" name="step" totalsRowLabel="Ergebnis" queryTableFieldId="1"/>
    <tableColumn id="2" xr3:uid="{F3F12A79-1561-4C0A-8004-C68B57F14CB3}" uniqueName="2" name="total_time" totalsRowFunction="average" queryTableFieldId="2"/>
    <tableColumn id="3" xr3:uid="{9791EF08-6E07-4D7E-A70A-56F8EEA114FE}" uniqueName="3" name="work_time_min" totalsRowFunction="average" queryTableFieldId="3"/>
    <tableColumn id="4" xr3:uid="{25D997BD-0D7C-41F2-8000-0A7B1C731E18}" uniqueName="4" name="work_time_avg" totalsRowFunction="average" queryTableFieldId="4"/>
    <tableColumn id="5" xr3:uid="{64005464-8C73-4A4E-86DA-FD377FB90857}" uniqueName="5" name="work_time_max" totalsRowFunction="average" queryTableFieldId="5"/>
    <tableColumn id="6" xr3:uid="{EF3FF992-F979-40A3-A0B0-907168380171}" uniqueName="6" name="prep_time_min" totalsRowFunction="average" queryTableFieldId="6"/>
    <tableColumn id="7" xr3:uid="{9CAADB9E-7254-44A1-8B6F-16BC8659D58A}" uniqueName="7" name="prep_time_avg" totalsRowFunction="average" queryTableFieldId="7"/>
    <tableColumn id="8" xr3:uid="{5F7F9CEE-4376-4768-9074-898C3314279B}" uniqueName="8" name="prep_time_max" totalsRowFunction="average" queryTableFieldId="8"/>
    <tableColumn id="9" xr3:uid="{5715944A-0164-4222-9CB5-25734678B2A2}" uniqueName="9" name="comm_time_min" totalsRowFunction="average" queryTableFieldId="9"/>
    <tableColumn id="10" xr3:uid="{33308AD4-C23F-41BB-A850-C02B4D4A3613}" uniqueName="10" name="comm_time_avg" totalsRowFunction="average" queryTableFieldId="10"/>
    <tableColumn id="11" xr3:uid="{F2B9B824-FDFA-4DB1-A5A0-C45EE4C3BCA2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21CD4D-829C-49CA-A98A-3DA4277C5773}" name="_grav_32_8_20" displayName="_grav_32_8_20" ref="A1:K12" tableType="queryTable" totalsRowCount="1">
  <autoFilter ref="A1:K11" xr:uid="{70556EBD-7C9A-478F-9D4C-82493F64343D}"/>
  <tableColumns count="11">
    <tableColumn id="1" xr3:uid="{D2B1C015-E6F8-4BB7-8223-2B5497F5A5E1}" uniqueName="1" name="step" totalsRowLabel="Ergebnis" queryTableFieldId="1"/>
    <tableColumn id="2" xr3:uid="{70F24C7C-0731-451B-9855-A53882360137}" uniqueName="2" name="total_time" totalsRowFunction="average" queryTableFieldId="2"/>
    <tableColumn id="3" xr3:uid="{5366D1EE-C6C8-4630-B269-EB7DEFB140F5}" uniqueName="3" name="work_time_min" totalsRowFunction="average" queryTableFieldId="3"/>
    <tableColumn id="4" xr3:uid="{B7FE92A7-B5AD-41FC-954F-F59F2226D49A}" uniqueName="4" name="work_time_avg" totalsRowFunction="average" queryTableFieldId="4"/>
    <tableColumn id="5" xr3:uid="{A65B3B67-8E46-4C3B-9DF4-ACA4C3D7F1F3}" uniqueName="5" name="work_time_max" totalsRowFunction="average" queryTableFieldId="5"/>
    <tableColumn id="6" xr3:uid="{EC7D8B95-1836-4BC9-9195-F9CA4A582B96}" uniqueName="6" name="prep_time_min" totalsRowFunction="average" queryTableFieldId="6"/>
    <tableColumn id="7" xr3:uid="{0331A470-20DF-4295-A642-98A7FABF838E}" uniqueName="7" name="prep_time_avg" totalsRowFunction="average" queryTableFieldId="7"/>
    <tableColumn id="8" xr3:uid="{87749838-EE5A-4D42-BFD9-726C5CECF661}" uniqueName="8" name="prep_time_max" totalsRowFunction="average" queryTableFieldId="8"/>
    <tableColumn id="9" xr3:uid="{12BC308A-1047-4CCC-9DEA-54AB505B8813}" uniqueName="9" name="comm_time_min" totalsRowFunction="average" queryTableFieldId="9"/>
    <tableColumn id="10" xr3:uid="{2F645811-30F1-4FBE-AA21-9B49CBDB4150}" uniqueName="10" name="comm_time_avg" totalsRowFunction="average" queryTableFieldId="10"/>
    <tableColumn id="11" xr3:uid="{792B5C09-6A2F-4B81-8417-63B52B27CC8E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6E20B2-DA96-4C7C-B6B5-F98BE53451BA}" name="_grav_32_4_20" displayName="_grav_32_4_20" ref="A1:K12" tableType="queryTable" totalsRowCount="1">
  <autoFilter ref="A1:K11" xr:uid="{9986F5E6-6E65-4DB9-A343-206A97495B6D}"/>
  <tableColumns count="11">
    <tableColumn id="1" xr3:uid="{2D6E91E4-B699-4C20-89C2-45F873F19CDA}" uniqueName="1" name="step" totalsRowLabel="Ergebnis" queryTableFieldId="1"/>
    <tableColumn id="2" xr3:uid="{4AC4F09F-44E0-4BB3-80BB-CCBE630FF759}" uniqueName="2" name="total_time" totalsRowFunction="average" queryTableFieldId="2"/>
    <tableColumn id="3" xr3:uid="{371D348C-F1A7-456F-A7BC-E43466226A11}" uniqueName="3" name="work_time_min" totalsRowFunction="average" queryTableFieldId="3"/>
    <tableColumn id="4" xr3:uid="{4FB531C7-7E28-447C-9CB8-D3D94CDAFF03}" uniqueName="4" name="work_time_avg" totalsRowFunction="average" queryTableFieldId="4"/>
    <tableColumn id="5" xr3:uid="{0ACA608B-C9F4-489B-BC3F-BA99A9BCBA4A}" uniqueName="5" name="work_time_max" totalsRowFunction="average" queryTableFieldId="5"/>
    <tableColumn id="6" xr3:uid="{44D236C1-DD60-48EA-9419-0475FA94ED7E}" uniqueName="6" name="prep_time_min" totalsRowFunction="average" queryTableFieldId="6"/>
    <tableColumn id="7" xr3:uid="{21E328B4-1BA2-4950-A7C4-ED24A2E60ECC}" uniqueName="7" name="prep_time_avg" totalsRowFunction="average" queryTableFieldId="7"/>
    <tableColumn id="8" xr3:uid="{54DB30C6-37CE-448D-B89A-7CB3D1613498}" uniqueName="8" name="prep_time_max" totalsRowFunction="average" queryTableFieldId="8"/>
    <tableColumn id="9" xr3:uid="{1DAE424F-9518-4A13-B918-8E991C499E4C}" uniqueName="9" name="comm_time_min" totalsRowFunction="average" queryTableFieldId="9"/>
    <tableColumn id="10" xr3:uid="{C694FC96-D913-4A65-8442-65A2E40EF72B}" uniqueName="10" name="comm_time_avg" totalsRowFunction="average" queryTableFieldId="10"/>
    <tableColumn id="11" xr3:uid="{79AC443B-5A5A-4202-9C03-9EADB557CB74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CADE6-4DE1-4D07-A6C8-105139321D3F}" name="_grav_32_2_20" displayName="_grav_32_2_20" ref="A1:K12" tableType="queryTable" totalsRowCount="1">
  <autoFilter ref="A1:K11" xr:uid="{2873FDA6-7C0B-4997-B16E-5568498F5536}"/>
  <tableColumns count="11">
    <tableColumn id="1" xr3:uid="{84065BDF-4803-4C30-9770-8953FD32FB90}" uniqueName="1" name="step" totalsRowLabel="Ergebnis" queryTableFieldId="1"/>
    <tableColumn id="2" xr3:uid="{C4ECD00E-24A8-4654-B137-6DFFEA7BD801}" uniqueName="2" name="total_time" totalsRowFunction="average" queryTableFieldId="2"/>
    <tableColumn id="3" xr3:uid="{CD7C8D7B-DB06-402B-9518-C539D8EA101D}" uniqueName="3" name="work_time_min" totalsRowFunction="average" queryTableFieldId="3"/>
    <tableColumn id="4" xr3:uid="{940AB9BA-C11C-4413-9EDC-BD2E8ED559E2}" uniqueName="4" name="work_time_avg" totalsRowFunction="average" queryTableFieldId="4"/>
    <tableColumn id="5" xr3:uid="{A425E408-B0A8-456E-886B-BE25CEA20522}" uniqueName="5" name="work_time_max" totalsRowFunction="average" queryTableFieldId="5"/>
    <tableColumn id="6" xr3:uid="{0393611B-235F-482C-8DE3-4BB62F567CEC}" uniqueName="6" name="prep_time_min" totalsRowFunction="average" queryTableFieldId="6"/>
    <tableColumn id="7" xr3:uid="{B36D9817-A217-499E-9866-673213DC6EF9}" uniqueName="7" name="prep_time_avg" totalsRowFunction="average" queryTableFieldId="7"/>
    <tableColumn id="8" xr3:uid="{A3BCC20B-BE81-4547-B49C-5FC5BD7A54C2}" uniqueName="8" name="prep_time_max" totalsRowFunction="average" queryTableFieldId="8"/>
    <tableColumn id="9" xr3:uid="{06C7A64B-F54A-43FC-9A3F-4BEA6C261152}" uniqueName="9" name="comm_time_min" totalsRowFunction="average" queryTableFieldId="9"/>
    <tableColumn id="10" xr3:uid="{550DBC80-0B92-47F1-B3D0-1B97D4526583}" uniqueName="10" name="comm_time_avg" totalsRowFunction="average" queryTableFieldId="10"/>
    <tableColumn id="11" xr3:uid="{F936D9CC-BEAF-4ED8-8E70-67E2E88A36FF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AB80-BB5A-48A3-99D5-24E8C1A4B218}" name="_grav_32_1_20" displayName="_grav_32_1_20" ref="A1:K12" tableType="queryTable" totalsRowCount="1">
  <autoFilter ref="A1:K11" xr:uid="{A917D146-A3F5-40BA-84D6-12F2F11F1ECA}"/>
  <tableColumns count="11">
    <tableColumn id="1" xr3:uid="{44B2F4B9-91E5-4B35-8222-53634DACF777}" uniqueName="1" name="step" totalsRowLabel="Ergebnis" queryTableFieldId="1"/>
    <tableColumn id="2" xr3:uid="{A798A092-767F-4460-A440-79668ED38999}" uniqueName="2" name="total_time" totalsRowFunction="average" queryTableFieldId="2"/>
    <tableColumn id="3" xr3:uid="{5EEB3D29-1BBC-402A-A85B-E0E7F8C35925}" uniqueName="3" name="work_time_min" totalsRowFunction="average" queryTableFieldId="3"/>
    <tableColumn id="4" xr3:uid="{21757828-97EE-44EF-AFB9-DE705101BED3}" uniqueName="4" name="work_time_avg" totalsRowFunction="average" queryTableFieldId="4"/>
    <tableColumn id="5" xr3:uid="{13DAA40C-A303-401C-98D7-F81229E1E325}" uniqueName="5" name="work_time_max" totalsRowFunction="average" queryTableFieldId="5"/>
    <tableColumn id="6" xr3:uid="{BA38BB3E-1309-4C57-96A3-417DD2754AC1}" uniqueName="6" name="prep_time_min" totalsRowFunction="average" queryTableFieldId="6"/>
    <tableColumn id="7" xr3:uid="{FC15CF1F-667F-4914-BEE2-7BCE2D63B2B3}" uniqueName="7" name="prep_time_avg" totalsRowFunction="average" queryTableFieldId="7"/>
    <tableColumn id="8" xr3:uid="{ACC37CEB-3678-477B-AA91-F44C71FD4285}" uniqueName="8" name="prep_time_max" totalsRowFunction="average" queryTableFieldId="8"/>
    <tableColumn id="9" xr3:uid="{76120532-09A5-46B0-8FD2-47314816D86E}" uniqueName="9" name="comm_time_min" totalsRowFunction="average" queryTableFieldId="9"/>
    <tableColumn id="10" xr3:uid="{0DC0BDE2-6A71-42D1-B361-A7B928E6B6CD}" uniqueName="10" name="comm_time_avg" totalsRowFunction="average" queryTableFieldId="10"/>
    <tableColumn id="11" xr3:uid="{BD849497-E21F-4056-B8EA-1B2893CAD881}" uniqueName="11" name="comm_time_max" totalsRowFunction="averag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ED1D-31C9-435E-B117-1D62A7982197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80.5</v>
      </c>
      <c r="C2">
        <v>38.6</v>
      </c>
      <c r="D2">
        <v>48.6</v>
      </c>
      <c r="E2">
        <v>90.9</v>
      </c>
      <c r="F2">
        <v>0.70499999999999996</v>
      </c>
      <c r="G2">
        <v>22.8</v>
      </c>
      <c r="H2">
        <v>38</v>
      </c>
      <c r="I2">
        <v>5.32</v>
      </c>
      <c r="J2">
        <v>16.2</v>
      </c>
      <c r="K2">
        <v>17.7</v>
      </c>
    </row>
    <row r="3" spans="1:11" x14ac:dyDescent="0.25">
      <c r="A3">
        <v>2</v>
      </c>
      <c r="B3">
        <v>37.9</v>
      </c>
      <c r="C3">
        <v>38.6</v>
      </c>
      <c r="D3">
        <v>47.7</v>
      </c>
      <c r="E3">
        <v>90.9</v>
      </c>
      <c r="F3">
        <v>0.153</v>
      </c>
      <c r="G3">
        <v>34.9</v>
      </c>
      <c r="H3">
        <v>52</v>
      </c>
      <c r="I3">
        <v>1.77E-2</v>
      </c>
      <c r="J3">
        <v>2.64E-2</v>
      </c>
      <c r="K3">
        <v>3.2399999999999998E-2</v>
      </c>
    </row>
    <row r="4" spans="1:11" x14ac:dyDescent="0.25">
      <c r="A4">
        <v>3</v>
      </c>
      <c r="B4">
        <v>38</v>
      </c>
      <c r="C4">
        <v>38.6</v>
      </c>
      <c r="D4">
        <v>47.7</v>
      </c>
      <c r="E4">
        <v>91</v>
      </c>
      <c r="F4">
        <v>0.11700000000000001</v>
      </c>
      <c r="G4">
        <v>36</v>
      </c>
      <c r="H4">
        <v>52.2</v>
      </c>
      <c r="I4">
        <v>2.29E-2</v>
      </c>
      <c r="J4">
        <v>3.5700000000000003E-2</v>
      </c>
      <c r="K4">
        <v>4.0300000000000002E-2</v>
      </c>
    </row>
    <row r="5" spans="1:11" x14ac:dyDescent="0.25">
      <c r="A5">
        <v>4</v>
      </c>
      <c r="B5">
        <v>38.299999999999997</v>
      </c>
      <c r="C5">
        <v>38.6</v>
      </c>
      <c r="D5">
        <v>47.7</v>
      </c>
      <c r="E5">
        <v>90.9</v>
      </c>
      <c r="F5">
        <v>0.154</v>
      </c>
      <c r="G5">
        <v>36.1</v>
      </c>
      <c r="H5">
        <v>52.3</v>
      </c>
      <c r="I5">
        <v>0.29099999999999998</v>
      </c>
      <c r="J5">
        <v>0.30199999999999999</v>
      </c>
      <c r="K5">
        <v>0.30599999999999999</v>
      </c>
    </row>
    <row r="6" spans="1:11" x14ac:dyDescent="0.25">
      <c r="A6">
        <v>5</v>
      </c>
      <c r="B6">
        <v>38</v>
      </c>
      <c r="C6">
        <v>38.6</v>
      </c>
      <c r="D6">
        <v>47.7</v>
      </c>
      <c r="E6">
        <v>90.9</v>
      </c>
      <c r="F6">
        <v>0.159</v>
      </c>
      <c r="G6">
        <v>36</v>
      </c>
      <c r="H6">
        <v>52.2</v>
      </c>
      <c r="I6">
        <v>4.7699999999999999E-2</v>
      </c>
      <c r="J6">
        <v>5.91E-2</v>
      </c>
      <c r="K6">
        <v>6.3E-2</v>
      </c>
    </row>
    <row r="7" spans="1:11" x14ac:dyDescent="0.25">
      <c r="A7">
        <v>6</v>
      </c>
      <c r="B7">
        <v>38</v>
      </c>
      <c r="C7">
        <v>38.6</v>
      </c>
      <c r="D7">
        <v>47.7</v>
      </c>
      <c r="E7">
        <v>90.9</v>
      </c>
      <c r="F7">
        <v>0.157</v>
      </c>
      <c r="G7">
        <v>36</v>
      </c>
      <c r="H7">
        <v>52.2</v>
      </c>
      <c r="I7">
        <v>6.6500000000000004E-2</v>
      </c>
      <c r="J7">
        <v>7.7399999999999997E-2</v>
      </c>
      <c r="K7">
        <v>8.1299999999999997E-2</v>
      </c>
    </row>
    <row r="8" spans="1:11" x14ac:dyDescent="0.25">
      <c r="A8">
        <v>7</v>
      </c>
      <c r="B8">
        <v>38</v>
      </c>
      <c r="C8">
        <v>38.6</v>
      </c>
      <c r="D8">
        <v>47.7</v>
      </c>
      <c r="E8">
        <v>90.9</v>
      </c>
      <c r="F8">
        <v>0.152</v>
      </c>
      <c r="G8">
        <v>36</v>
      </c>
      <c r="H8">
        <v>52.3</v>
      </c>
      <c r="I8">
        <v>1.41E-2</v>
      </c>
      <c r="J8">
        <v>2.4899999999999999E-2</v>
      </c>
      <c r="K8">
        <v>2.86E-2</v>
      </c>
    </row>
    <row r="9" spans="1:11" x14ac:dyDescent="0.25">
      <c r="A9">
        <v>8</v>
      </c>
      <c r="B9">
        <v>38.1</v>
      </c>
      <c r="C9">
        <v>38.700000000000003</v>
      </c>
      <c r="D9">
        <v>48.2</v>
      </c>
      <c r="E9">
        <v>93.4</v>
      </c>
      <c r="F9">
        <v>0.151</v>
      </c>
      <c r="G9">
        <v>36.1</v>
      </c>
      <c r="H9">
        <v>52.2</v>
      </c>
      <c r="I9">
        <v>3.9899999999999998E-2</v>
      </c>
      <c r="J9">
        <v>6.0100000000000001E-2</v>
      </c>
      <c r="K9">
        <v>6.4500000000000002E-2</v>
      </c>
    </row>
    <row r="10" spans="1:11" x14ac:dyDescent="0.25">
      <c r="A10">
        <v>9</v>
      </c>
      <c r="B10">
        <v>38</v>
      </c>
      <c r="C10">
        <v>38.6</v>
      </c>
      <c r="D10">
        <v>47.7</v>
      </c>
      <c r="E10">
        <v>90.9</v>
      </c>
      <c r="F10">
        <v>0.153</v>
      </c>
      <c r="G10">
        <v>37.700000000000003</v>
      </c>
      <c r="H10">
        <v>54.5</v>
      </c>
      <c r="I10">
        <v>4.1000000000000002E-2</v>
      </c>
      <c r="J10">
        <v>5.2900000000000003E-2</v>
      </c>
      <c r="K10">
        <v>5.67E-2</v>
      </c>
    </row>
    <row r="11" spans="1:11" x14ac:dyDescent="0.25">
      <c r="A11">
        <v>10</v>
      </c>
      <c r="B11">
        <v>37.9</v>
      </c>
      <c r="C11">
        <v>38.6</v>
      </c>
      <c r="D11">
        <v>47.8</v>
      </c>
      <c r="E11">
        <v>91.6</v>
      </c>
      <c r="F11">
        <v>0.153</v>
      </c>
      <c r="G11">
        <v>36</v>
      </c>
      <c r="H11">
        <v>52.2</v>
      </c>
      <c r="I11">
        <v>1.2999999999999999E-2</v>
      </c>
      <c r="J11">
        <v>2.4E-2</v>
      </c>
      <c r="K11">
        <v>2.8199999999999999E-2</v>
      </c>
    </row>
    <row r="12" spans="1:11" x14ac:dyDescent="0.25">
      <c r="A12" t="s">
        <v>11</v>
      </c>
      <c r="B12">
        <f>SUBTOTAL(101,_grav_128_20[total_time])</f>
        <v>42.269999999999996</v>
      </c>
      <c r="C12">
        <f>SUBTOTAL(101,_grav_128_20[work_time_min])</f>
        <v>38.61</v>
      </c>
      <c r="D12">
        <f>SUBTOTAL(101,_grav_128_20[work_time_avg])</f>
        <v>47.849999999999994</v>
      </c>
      <c r="E12">
        <f>SUBTOTAL(101,_grav_128_20[work_time_max])</f>
        <v>91.22999999999999</v>
      </c>
      <c r="F12">
        <f>SUBTOTAL(101,_grav_128_20[prep_time_min])</f>
        <v>0.20539999999999997</v>
      </c>
      <c r="G12">
        <f>SUBTOTAL(101,_grav_128_20[prep_time_avg])</f>
        <v>34.760000000000005</v>
      </c>
      <c r="H12">
        <f>SUBTOTAL(101,_grav_128_20[prep_time_max])</f>
        <v>51.01</v>
      </c>
      <c r="I12">
        <f>SUBTOTAL(101,_grav_128_20[comm_time_min])</f>
        <v>0.58738000000000012</v>
      </c>
      <c r="J12">
        <f>SUBTOTAL(101,_grav_128_20[comm_time_avg])</f>
        <v>1.6862499999999998</v>
      </c>
      <c r="K12">
        <f>SUBTOTAL(101,_grav_128_20[comm_time_max])</f>
        <v>1.8400999999999992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DAF5-0518-4FB1-AEF8-5C76B045AFFA}">
  <dimension ref="A1:H10"/>
  <sheetViews>
    <sheetView tabSelected="1" workbookViewId="0">
      <selection activeCell="A2" sqref="A2:E10"/>
    </sheetView>
  </sheetViews>
  <sheetFormatPr baseColWidth="10" defaultRowHeight="15" x14ac:dyDescent="0.25"/>
  <cols>
    <col min="4" max="5" width="12" bestFit="1" customWidth="1"/>
  </cols>
  <sheetData>
    <row r="1" spans="1:8" x14ac:dyDescent="0.25">
      <c r="A1" t="s">
        <v>18</v>
      </c>
      <c r="B1" t="s">
        <v>12</v>
      </c>
      <c r="C1" t="s">
        <v>13</v>
      </c>
      <c r="D1" t="s">
        <v>14</v>
      </c>
      <c r="E1" t="s">
        <v>15</v>
      </c>
      <c r="G1" t="s">
        <v>16</v>
      </c>
      <c r="H1" t="s">
        <v>17</v>
      </c>
    </row>
    <row r="2" spans="1:8" x14ac:dyDescent="0.25">
      <c r="A2">
        <f>POWER(2,M2)</f>
        <v>1</v>
      </c>
      <c r="B2">
        <f>_grav_32_1_20[[#Totals],[total_time]]</f>
        <v>46.540000000000006</v>
      </c>
      <c r="C2">
        <f>_grav_32_1_20[[#Totals],[work_time_avg]]</f>
        <v>47.249999999999993</v>
      </c>
      <c r="D2">
        <f>_grav_32_1_20[[#Totals],[prep_time_avg]]</f>
        <v>1.8765000000000001E-5</v>
      </c>
      <c r="E2">
        <f>_grav_32_1_20[[#Totals],[comm_time_avg]]</f>
        <v>2.6250000000000003E-6</v>
      </c>
    </row>
    <row r="3" spans="1:8" x14ac:dyDescent="0.25">
      <c r="A3">
        <v>2</v>
      </c>
      <c r="B3">
        <f>_grav_32_2_20[[#Totals],[total_time]]</f>
        <v>27.729999999999997</v>
      </c>
      <c r="C3">
        <f>_grav_32_2_20[[#Totals],[work_time_avg]]</f>
        <v>46.250000000000007</v>
      </c>
      <c r="D3">
        <f>_grav_32_2_20[[#Totals],[prep_time_avg]]</f>
        <v>3.6820000000000006E-2</v>
      </c>
      <c r="E3">
        <f>_grav_32_2_20[[#Totals],[comm_time_avg]]</f>
        <v>1.3089999999999998E-3</v>
      </c>
      <c r="G3">
        <f>B3/B2</f>
        <v>0.59583154275891692</v>
      </c>
    </row>
    <row r="4" spans="1:8" x14ac:dyDescent="0.25">
      <c r="A4">
        <v>4</v>
      </c>
      <c r="B4">
        <f>_grav_32_4_20[[#Totals],[total_time]]</f>
        <v>36.940000000000005</v>
      </c>
      <c r="C4">
        <f>_grav_32_4_20[[#Totals],[work_time_avg]]</f>
        <v>67.47999999999999</v>
      </c>
      <c r="D4">
        <f>_grav_32_4_20[[#Totals],[prep_time_avg]]</f>
        <v>5.3469999999999997E-2</v>
      </c>
      <c r="E4">
        <f>_grav_32_4_20[[#Totals],[comm_time_avg]]</f>
        <v>2.624E-3</v>
      </c>
      <c r="G4">
        <f t="shared" ref="G4:G10" si="0">B4/B3</f>
        <v>1.3321312657771369</v>
      </c>
    </row>
    <row r="5" spans="1:8" x14ac:dyDescent="0.25">
      <c r="A5">
        <v>8</v>
      </c>
      <c r="B5">
        <f>_grav_32_8_20[[#Totals],[total_time]]</f>
        <v>51.939999999999984</v>
      </c>
      <c r="C5">
        <f>_grav_32_8_20[[#Totals],[work_time_avg]]</f>
        <v>74.810000000000016</v>
      </c>
      <c r="D5">
        <f>_grav_32_8_20[[#Totals],[prep_time_avg]]</f>
        <v>30.07423</v>
      </c>
      <c r="E5">
        <f>_grav_32_8_20[[#Totals],[comm_time_avg]]</f>
        <v>5.012E-3</v>
      </c>
      <c r="G5">
        <f t="shared" si="0"/>
        <v>1.406063887384948</v>
      </c>
    </row>
    <row r="6" spans="1:8" x14ac:dyDescent="0.25">
      <c r="A6">
        <v>16</v>
      </c>
      <c r="B6">
        <f>_grav_32_16_20[[#Totals],[total_time]]</f>
        <v>31.29</v>
      </c>
      <c r="C6">
        <f>_grav_32_16_20[[#Totals],[work_time_avg]]</f>
        <v>37.269999999999996</v>
      </c>
      <c r="D6">
        <f>_grav_32_16_20[[#Totals],[prep_time_avg]]</f>
        <v>28.034600000000001</v>
      </c>
      <c r="E6">
        <f>_grav_32_16_20[[#Totals],[comm_time_avg]]</f>
        <v>5.7990000000000003E-3</v>
      </c>
      <c r="G6">
        <f t="shared" si="0"/>
        <v>0.60242587601078179</v>
      </c>
    </row>
    <row r="7" spans="1:8" x14ac:dyDescent="0.25">
      <c r="A7">
        <v>32</v>
      </c>
      <c r="B7">
        <f>_grav_32_32_20[[#Totals],[total_time]]</f>
        <v>49.419999999999995</v>
      </c>
      <c r="C7">
        <f>_grav_32_32_20[[#Totals],[work_time_avg]]</f>
        <v>73.88000000000001</v>
      </c>
      <c r="D7">
        <f>_grav_32_32_20[[#Totals],[prep_time_avg]]</f>
        <v>41.212000000000003</v>
      </c>
      <c r="E7">
        <f>_grav_32_32_20[[#Totals],[comm_time_avg]]</f>
        <v>8.8719999999999997E-3</v>
      </c>
      <c r="G7">
        <f t="shared" si="0"/>
        <v>1.5794183445190155</v>
      </c>
    </row>
    <row r="8" spans="1:8" x14ac:dyDescent="0.25">
      <c r="A8">
        <v>32</v>
      </c>
      <c r="B8">
        <f>_grav_64_32_20[[#Totals],[total_time]]</f>
        <v>40.82</v>
      </c>
      <c r="C8">
        <f>_grav_64_32_20[[#Totals],[work_time_avg]]</f>
        <v>60.980000000000004</v>
      </c>
      <c r="D8">
        <f>_grav_64_32_20[[#Totals],[prep_time_avg]]</f>
        <v>33.7074</v>
      </c>
      <c r="E8">
        <f>_grav_64_32_20[[#Totals],[comm_time_avg]]</f>
        <v>8.2000000000000024E-3</v>
      </c>
      <c r="G8">
        <f t="shared" si="0"/>
        <v>0.82598138405503851</v>
      </c>
    </row>
    <row r="9" spans="1:8" x14ac:dyDescent="0.25">
      <c r="A9">
        <v>64</v>
      </c>
      <c r="B9">
        <f>_grav_64_64_20[[#Totals],[total_time]]</f>
        <v>64.960000000000008</v>
      </c>
      <c r="C9">
        <f>_grav_64_64_20[[#Totals],[work_time_avg]]</f>
        <v>92.649999999999991</v>
      </c>
      <c r="D9">
        <f>_grav_64_64_20[[#Totals],[prep_time_avg]]</f>
        <v>64.603300000000004</v>
      </c>
      <c r="E9">
        <f>_grav_64_64_20[[#Totals],[comm_time_avg]]</f>
        <v>1.336E-2</v>
      </c>
      <c r="G9">
        <f t="shared" si="0"/>
        <v>1.591376776090152</v>
      </c>
    </row>
    <row r="10" spans="1:8" x14ac:dyDescent="0.25">
      <c r="A10">
        <v>128</v>
      </c>
      <c r="B10">
        <f>_grav_128_20[[#Totals],[total_time]]</f>
        <v>42.269999999999996</v>
      </c>
      <c r="C10">
        <f>_grav_128_20[[#Totals],[work_time_avg]]</f>
        <v>47.849999999999994</v>
      </c>
      <c r="D10">
        <f>_grav_128_20[[#Totals],[prep_time_avg]]</f>
        <v>34.760000000000005</v>
      </c>
      <c r="E10">
        <f>_grav_128_20[[#Totals],[comm_time_avg]]</f>
        <v>1.6862499999999998</v>
      </c>
      <c r="G10">
        <f t="shared" si="0"/>
        <v>0.65070812807881762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C4B1-BAB0-4FF8-8EFC-B07A66374B52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65.099999999999994</v>
      </c>
      <c r="C2">
        <v>65.5</v>
      </c>
      <c r="D2">
        <v>92.6</v>
      </c>
      <c r="E2">
        <v>186</v>
      </c>
      <c r="F2">
        <v>7.9100000000000004E-2</v>
      </c>
      <c r="G2">
        <v>0.23300000000000001</v>
      </c>
      <c r="H2">
        <v>0.30099999999999999</v>
      </c>
      <c r="I2">
        <v>1.41E-2</v>
      </c>
      <c r="J2">
        <v>1.66E-2</v>
      </c>
      <c r="K2">
        <v>1.8599999999999998E-2</v>
      </c>
    </row>
    <row r="3" spans="1:11" x14ac:dyDescent="0.25">
      <c r="A3">
        <v>2</v>
      </c>
      <c r="B3">
        <v>64.900000000000006</v>
      </c>
      <c r="C3">
        <v>65.400000000000006</v>
      </c>
      <c r="D3">
        <v>92.5</v>
      </c>
      <c r="E3">
        <v>187</v>
      </c>
      <c r="F3">
        <v>8.9399999999999993E-2</v>
      </c>
      <c r="G3">
        <v>71.2</v>
      </c>
      <c r="H3">
        <v>120</v>
      </c>
      <c r="I3">
        <v>1.0500000000000001E-2</v>
      </c>
      <c r="J3">
        <v>1.3100000000000001E-2</v>
      </c>
      <c r="K3">
        <v>1.54E-2</v>
      </c>
    </row>
    <row r="4" spans="1:11" x14ac:dyDescent="0.25">
      <c r="A4">
        <v>3</v>
      </c>
      <c r="B4">
        <v>64.900000000000006</v>
      </c>
      <c r="C4">
        <v>65.400000000000006</v>
      </c>
      <c r="D4">
        <v>92.5</v>
      </c>
      <c r="E4">
        <v>187</v>
      </c>
      <c r="F4">
        <v>8.5199999999999998E-2</v>
      </c>
      <c r="G4">
        <v>72.2</v>
      </c>
      <c r="H4">
        <v>121</v>
      </c>
      <c r="I4">
        <v>1.01E-2</v>
      </c>
      <c r="J4">
        <v>1.2500000000000001E-2</v>
      </c>
      <c r="K4">
        <v>1.49E-2</v>
      </c>
    </row>
    <row r="5" spans="1:11" x14ac:dyDescent="0.25">
      <c r="A5">
        <v>4</v>
      </c>
      <c r="B5">
        <v>64.900000000000006</v>
      </c>
      <c r="C5">
        <v>65.400000000000006</v>
      </c>
      <c r="D5">
        <v>92.4</v>
      </c>
      <c r="E5">
        <v>186</v>
      </c>
      <c r="F5">
        <v>8.6800000000000002E-2</v>
      </c>
      <c r="G5">
        <v>72.099999999999994</v>
      </c>
      <c r="H5">
        <v>121</v>
      </c>
      <c r="I5">
        <v>1.01E-2</v>
      </c>
      <c r="J5">
        <v>1.26E-2</v>
      </c>
      <c r="K5">
        <v>1.49E-2</v>
      </c>
    </row>
    <row r="6" spans="1:11" x14ac:dyDescent="0.25">
      <c r="A6">
        <v>5</v>
      </c>
      <c r="B6">
        <v>64.900000000000006</v>
      </c>
      <c r="C6">
        <v>65.400000000000006</v>
      </c>
      <c r="D6">
        <v>92.4</v>
      </c>
      <c r="E6">
        <v>186</v>
      </c>
      <c r="F6">
        <v>8.77E-2</v>
      </c>
      <c r="G6">
        <v>71.099999999999994</v>
      </c>
      <c r="H6">
        <v>120</v>
      </c>
      <c r="I6">
        <v>1.03E-2</v>
      </c>
      <c r="J6">
        <v>1.26E-2</v>
      </c>
      <c r="K6">
        <v>1.5100000000000001E-2</v>
      </c>
    </row>
    <row r="7" spans="1:11" x14ac:dyDescent="0.25">
      <c r="A7">
        <v>6</v>
      </c>
      <c r="B7">
        <v>64.900000000000006</v>
      </c>
      <c r="C7">
        <v>65.400000000000006</v>
      </c>
      <c r="D7">
        <v>92.4</v>
      </c>
      <c r="E7">
        <v>186</v>
      </c>
      <c r="F7">
        <v>0.09</v>
      </c>
      <c r="G7">
        <v>71.099999999999994</v>
      </c>
      <c r="H7">
        <v>120</v>
      </c>
      <c r="I7">
        <v>1.04E-2</v>
      </c>
      <c r="J7">
        <v>1.61E-2</v>
      </c>
      <c r="K7">
        <v>1.8499999999999999E-2</v>
      </c>
    </row>
    <row r="8" spans="1:11" x14ac:dyDescent="0.25">
      <c r="A8">
        <v>7</v>
      </c>
      <c r="B8">
        <v>64.900000000000006</v>
      </c>
      <c r="C8">
        <v>65.400000000000006</v>
      </c>
      <c r="D8">
        <v>92.4</v>
      </c>
      <c r="E8">
        <v>186</v>
      </c>
      <c r="F8">
        <v>8.9099999999999999E-2</v>
      </c>
      <c r="G8">
        <v>71.099999999999994</v>
      </c>
      <c r="H8">
        <v>120</v>
      </c>
      <c r="I8">
        <v>0.01</v>
      </c>
      <c r="J8">
        <v>1.24E-2</v>
      </c>
      <c r="K8">
        <v>1.49E-2</v>
      </c>
    </row>
    <row r="9" spans="1:11" x14ac:dyDescent="0.25">
      <c r="A9">
        <v>8</v>
      </c>
      <c r="B9">
        <v>65.2</v>
      </c>
      <c r="C9">
        <v>65.7</v>
      </c>
      <c r="D9">
        <v>94</v>
      </c>
      <c r="E9">
        <v>192</v>
      </c>
      <c r="F9">
        <v>8.2600000000000007E-2</v>
      </c>
      <c r="G9">
        <v>71.099999999999994</v>
      </c>
      <c r="H9">
        <v>120</v>
      </c>
      <c r="I9">
        <v>1.03E-2</v>
      </c>
      <c r="J9">
        <v>1.2800000000000001E-2</v>
      </c>
      <c r="K9">
        <v>1.5299999999999999E-2</v>
      </c>
    </row>
    <row r="10" spans="1:11" x14ac:dyDescent="0.25">
      <c r="A10">
        <v>9</v>
      </c>
      <c r="B10">
        <v>64.900000000000006</v>
      </c>
      <c r="C10">
        <v>65.400000000000006</v>
      </c>
      <c r="D10">
        <v>92.4</v>
      </c>
      <c r="E10">
        <v>186</v>
      </c>
      <c r="F10">
        <v>8.9599999999999999E-2</v>
      </c>
      <c r="G10">
        <v>74.8</v>
      </c>
      <c r="H10">
        <v>126</v>
      </c>
      <c r="I10">
        <v>9.9900000000000006E-3</v>
      </c>
      <c r="J10">
        <v>1.24E-2</v>
      </c>
      <c r="K10">
        <v>1.49E-2</v>
      </c>
    </row>
    <row r="11" spans="1:11" x14ac:dyDescent="0.25">
      <c r="A11">
        <v>10</v>
      </c>
      <c r="B11">
        <v>65</v>
      </c>
      <c r="C11">
        <v>65.5</v>
      </c>
      <c r="D11">
        <v>92.9</v>
      </c>
      <c r="E11">
        <v>188</v>
      </c>
      <c r="F11">
        <v>9.0499999999999997E-2</v>
      </c>
      <c r="G11">
        <v>71.099999999999994</v>
      </c>
      <c r="H11">
        <v>120</v>
      </c>
      <c r="I11">
        <v>1.01E-2</v>
      </c>
      <c r="J11">
        <v>1.2500000000000001E-2</v>
      </c>
      <c r="K11">
        <v>1.4999999999999999E-2</v>
      </c>
    </row>
    <row r="12" spans="1:11" x14ac:dyDescent="0.25">
      <c r="A12" t="s">
        <v>11</v>
      </c>
      <c r="B12">
        <f>SUBTOTAL(101,_grav_64_64_20[total_time])</f>
        <v>64.960000000000008</v>
      </c>
      <c r="C12">
        <f>SUBTOTAL(101,_grav_64_64_20[work_time_min])</f>
        <v>65.45</v>
      </c>
      <c r="D12">
        <f>SUBTOTAL(101,_grav_64_64_20[work_time_avg])</f>
        <v>92.649999999999991</v>
      </c>
      <c r="E12">
        <f>SUBTOTAL(101,_grav_64_64_20[work_time_max])</f>
        <v>187</v>
      </c>
      <c r="F12">
        <f>SUBTOTAL(101,_grav_64_64_20[prep_time_min])</f>
        <v>8.6999999999999994E-2</v>
      </c>
      <c r="G12">
        <f>SUBTOTAL(101,_grav_64_64_20[prep_time_avg])</f>
        <v>64.603300000000004</v>
      </c>
      <c r="H12">
        <f>SUBTOTAL(101,_grav_64_64_20[prep_time_max])</f>
        <v>108.83009999999999</v>
      </c>
      <c r="I12">
        <f>SUBTOTAL(101,_grav_64_64_20[comm_time_min])</f>
        <v>1.0588999999999999E-2</v>
      </c>
      <c r="J12">
        <f>SUBTOTAL(101,_grav_64_64_20[comm_time_avg])</f>
        <v>1.336E-2</v>
      </c>
      <c r="K12">
        <f>SUBTOTAL(101,_grav_64_64_20[comm_time_max])</f>
        <v>1.5749999999999997E-2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7CC6-03C3-4173-AC1D-CCD3E3006E6D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40.9</v>
      </c>
      <c r="C2">
        <v>41.4</v>
      </c>
      <c r="D2">
        <v>60.9</v>
      </c>
      <c r="E2">
        <v>111</v>
      </c>
      <c r="F2">
        <v>6.7500000000000004E-2</v>
      </c>
      <c r="G2">
        <v>0.17399999999999999</v>
      </c>
      <c r="H2">
        <v>0.21099999999999999</v>
      </c>
      <c r="I2">
        <v>8.7600000000000004E-3</v>
      </c>
      <c r="J2">
        <v>1.06E-2</v>
      </c>
      <c r="K2">
        <v>1.1900000000000001E-2</v>
      </c>
    </row>
    <row r="3" spans="1:11" x14ac:dyDescent="0.25">
      <c r="A3">
        <v>2</v>
      </c>
      <c r="B3">
        <v>40.799999999999997</v>
      </c>
      <c r="C3">
        <v>41.3</v>
      </c>
      <c r="D3">
        <v>60.8</v>
      </c>
      <c r="E3">
        <v>111</v>
      </c>
      <c r="F3">
        <v>7.9399999999999998E-2</v>
      </c>
      <c r="G3">
        <v>37.200000000000003</v>
      </c>
      <c r="H3">
        <v>69.3</v>
      </c>
      <c r="I3">
        <v>6.1900000000000002E-3</v>
      </c>
      <c r="J3">
        <v>7.7499999999999999E-3</v>
      </c>
      <c r="K3">
        <v>9.2499999999999995E-3</v>
      </c>
    </row>
    <row r="4" spans="1:11" x14ac:dyDescent="0.25">
      <c r="A4">
        <v>3</v>
      </c>
      <c r="B4">
        <v>40.799999999999997</v>
      </c>
      <c r="C4">
        <v>41.3</v>
      </c>
      <c r="D4">
        <v>60.8</v>
      </c>
      <c r="E4">
        <v>111</v>
      </c>
      <c r="F4">
        <v>0.08</v>
      </c>
      <c r="G4">
        <v>37.200000000000003</v>
      </c>
      <c r="H4">
        <v>69.3</v>
      </c>
      <c r="I4">
        <v>6.3899999999999998E-3</v>
      </c>
      <c r="J4">
        <v>7.9600000000000001E-3</v>
      </c>
      <c r="K4">
        <v>9.4500000000000001E-3</v>
      </c>
    </row>
    <row r="5" spans="1:11" x14ac:dyDescent="0.25">
      <c r="A5">
        <v>4</v>
      </c>
      <c r="B5">
        <v>40.799999999999997</v>
      </c>
      <c r="C5">
        <v>41.3</v>
      </c>
      <c r="D5">
        <v>60.8</v>
      </c>
      <c r="E5">
        <v>111</v>
      </c>
      <c r="F5">
        <v>8.2600000000000007E-2</v>
      </c>
      <c r="G5">
        <v>37.200000000000003</v>
      </c>
      <c r="H5">
        <v>69.3</v>
      </c>
      <c r="I5">
        <v>6.8100000000000001E-3</v>
      </c>
      <c r="J5">
        <v>8.5100000000000002E-3</v>
      </c>
      <c r="K5">
        <v>9.9100000000000004E-3</v>
      </c>
    </row>
    <row r="6" spans="1:11" x14ac:dyDescent="0.25">
      <c r="A6">
        <v>5</v>
      </c>
      <c r="B6">
        <v>40.799999999999997</v>
      </c>
      <c r="C6">
        <v>41.3</v>
      </c>
      <c r="D6">
        <v>60.8</v>
      </c>
      <c r="E6">
        <v>111</v>
      </c>
      <c r="F6">
        <v>7.9000000000000001E-2</v>
      </c>
      <c r="G6">
        <v>37.200000000000003</v>
      </c>
      <c r="H6">
        <v>69.3</v>
      </c>
      <c r="I6">
        <v>6.2500000000000003E-3</v>
      </c>
      <c r="J6">
        <v>7.8300000000000002E-3</v>
      </c>
      <c r="K6">
        <v>9.3600000000000003E-3</v>
      </c>
    </row>
    <row r="7" spans="1:11" x14ac:dyDescent="0.25">
      <c r="A7">
        <v>6</v>
      </c>
      <c r="B7">
        <v>40.799999999999997</v>
      </c>
      <c r="C7">
        <v>41.3</v>
      </c>
      <c r="D7">
        <v>60.8</v>
      </c>
      <c r="E7">
        <v>111</v>
      </c>
      <c r="F7">
        <v>7.9500000000000001E-2</v>
      </c>
      <c r="G7">
        <v>37.200000000000003</v>
      </c>
      <c r="H7">
        <v>69.3</v>
      </c>
      <c r="I7">
        <v>6.1900000000000002E-3</v>
      </c>
      <c r="J7">
        <v>7.8300000000000002E-3</v>
      </c>
      <c r="K7">
        <v>9.2700000000000005E-3</v>
      </c>
    </row>
    <row r="8" spans="1:11" x14ac:dyDescent="0.25">
      <c r="A8">
        <v>7</v>
      </c>
      <c r="B8">
        <v>40.799999999999997</v>
      </c>
      <c r="C8">
        <v>41.3</v>
      </c>
      <c r="D8">
        <v>60.9</v>
      </c>
      <c r="E8">
        <v>111</v>
      </c>
      <c r="F8">
        <v>8.0399999999999999E-2</v>
      </c>
      <c r="G8">
        <v>37.200000000000003</v>
      </c>
      <c r="H8">
        <v>69.3</v>
      </c>
      <c r="I8">
        <v>6.1999999999999998E-3</v>
      </c>
      <c r="J8">
        <v>7.9000000000000008E-3</v>
      </c>
      <c r="K8">
        <v>9.41E-3</v>
      </c>
    </row>
    <row r="9" spans="1:11" x14ac:dyDescent="0.25">
      <c r="A9">
        <v>8</v>
      </c>
      <c r="B9">
        <v>41</v>
      </c>
      <c r="C9">
        <v>41.5</v>
      </c>
      <c r="D9">
        <v>62</v>
      </c>
      <c r="E9">
        <v>115</v>
      </c>
      <c r="F9">
        <v>7.4999999999999997E-2</v>
      </c>
      <c r="G9">
        <v>37.200000000000003</v>
      </c>
      <c r="H9">
        <v>69.3</v>
      </c>
      <c r="I9">
        <v>6.0299999999999998E-3</v>
      </c>
      <c r="J9">
        <v>7.7600000000000004E-3</v>
      </c>
      <c r="K9">
        <v>9.0900000000000009E-3</v>
      </c>
    </row>
    <row r="10" spans="1:11" x14ac:dyDescent="0.25">
      <c r="A10">
        <v>9</v>
      </c>
      <c r="B10">
        <v>40.700000000000003</v>
      </c>
      <c r="C10">
        <v>41.3</v>
      </c>
      <c r="D10">
        <v>60.8</v>
      </c>
      <c r="E10">
        <v>111</v>
      </c>
      <c r="F10">
        <v>7.9600000000000004E-2</v>
      </c>
      <c r="G10">
        <v>39.299999999999997</v>
      </c>
      <c r="H10">
        <v>73</v>
      </c>
      <c r="I10">
        <v>6.1500000000000001E-3</v>
      </c>
      <c r="J10">
        <v>7.8499999999999993E-3</v>
      </c>
      <c r="K10">
        <v>9.2300000000000004E-3</v>
      </c>
    </row>
    <row r="11" spans="1:11" x14ac:dyDescent="0.25">
      <c r="A11">
        <v>10</v>
      </c>
      <c r="B11">
        <v>40.799999999999997</v>
      </c>
      <c r="C11">
        <v>41.4</v>
      </c>
      <c r="D11">
        <v>61.2</v>
      </c>
      <c r="E11">
        <v>112</v>
      </c>
      <c r="F11">
        <v>7.9200000000000007E-2</v>
      </c>
      <c r="G11">
        <v>37.200000000000003</v>
      </c>
      <c r="H11">
        <v>69.3</v>
      </c>
      <c r="I11">
        <v>6.3299999999999997E-3</v>
      </c>
      <c r="J11">
        <v>8.0099999999999998E-3</v>
      </c>
      <c r="K11">
        <v>9.6500000000000006E-3</v>
      </c>
    </row>
    <row r="12" spans="1:11" x14ac:dyDescent="0.25">
      <c r="A12" t="s">
        <v>11</v>
      </c>
      <c r="B12">
        <f>SUBTOTAL(101,_grav_64_32_20[total_time])</f>
        <v>40.82</v>
      </c>
      <c r="C12">
        <f>SUBTOTAL(101,_grav_64_32_20[work_time_min])</f>
        <v>41.339999999999996</v>
      </c>
      <c r="D12">
        <f>SUBTOTAL(101,_grav_64_32_20[work_time_avg])</f>
        <v>60.980000000000004</v>
      </c>
      <c r="E12">
        <f>SUBTOTAL(101,_grav_64_32_20[work_time_max])</f>
        <v>111.5</v>
      </c>
      <c r="F12">
        <f>SUBTOTAL(101,_grav_64_32_20[prep_time_min])</f>
        <v>7.8219999999999998E-2</v>
      </c>
      <c r="G12">
        <f>SUBTOTAL(101,_grav_64_32_20[prep_time_avg])</f>
        <v>33.7074</v>
      </c>
      <c r="H12">
        <f>SUBTOTAL(101,_grav_64_32_20[prep_time_max])</f>
        <v>62.761099999999999</v>
      </c>
      <c r="I12">
        <f>SUBTOTAL(101,_grav_64_32_20[comm_time_min])</f>
        <v>6.5299999999999993E-3</v>
      </c>
      <c r="J12">
        <f>SUBTOTAL(101,_grav_64_32_20[comm_time_avg])</f>
        <v>8.2000000000000024E-3</v>
      </c>
      <c r="K12">
        <f>SUBTOTAL(101,_grav_64_32_20[comm_time_max])</f>
        <v>9.6520000000000009E-3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AF0A-20AA-4144-9E43-7BC63C875E66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49.4</v>
      </c>
      <c r="C2">
        <v>50</v>
      </c>
      <c r="D2">
        <v>73.7</v>
      </c>
      <c r="E2">
        <v>135</v>
      </c>
      <c r="F2">
        <v>9.8599999999999993E-2</v>
      </c>
      <c r="G2">
        <v>0.12</v>
      </c>
      <c r="H2">
        <v>0.13200000000000001</v>
      </c>
      <c r="I2">
        <v>8.7399999999999995E-3</v>
      </c>
      <c r="J2">
        <v>1.0999999999999999E-2</v>
      </c>
      <c r="K2">
        <v>1.2500000000000001E-2</v>
      </c>
    </row>
    <row r="3" spans="1:11" x14ac:dyDescent="0.25">
      <c r="A3">
        <v>2</v>
      </c>
      <c r="B3">
        <v>49.4</v>
      </c>
      <c r="C3">
        <v>50</v>
      </c>
      <c r="D3">
        <v>73.7</v>
      </c>
      <c r="E3">
        <v>135</v>
      </c>
      <c r="F3">
        <v>8.5500000000000007E-2</v>
      </c>
      <c r="G3">
        <v>45.5</v>
      </c>
      <c r="H3">
        <v>84.4</v>
      </c>
      <c r="I3">
        <v>6.7499999999999999E-3</v>
      </c>
      <c r="J3">
        <v>8.5100000000000002E-3</v>
      </c>
      <c r="K3">
        <v>1.06E-2</v>
      </c>
    </row>
    <row r="4" spans="1:11" x14ac:dyDescent="0.25">
      <c r="A4">
        <v>3</v>
      </c>
      <c r="B4">
        <v>49.4</v>
      </c>
      <c r="C4">
        <v>50</v>
      </c>
      <c r="D4">
        <v>73.7</v>
      </c>
      <c r="E4">
        <v>135</v>
      </c>
      <c r="F4">
        <v>8.8700000000000001E-2</v>
      </c>
      <c r="G4">
        <v>45.5</v>
      </c>
      <c r="H4">
        <v>84.3</v>
      </c>
      <c r="I4">
        <v>7.5399999999999998E-3</v>
      </c>
      <c r="J4">
        <v>9.4299999999999991E-3</v>
      </c>
      <c r="K4">
        <v>1.18E-2</v>
      </c>
    </row>
    <row r="5" spans="1:11" x14ac:dyDescent="0.25">
      <c r="A5">
        <v>4</v>
      </c>
      <c r="B5">
        <v>49.4</v>
      </c>
      <c r="C5">
        <v>50</v>
      </c>
      <c r="D5">
        <v>73.7</v>
      </c>
      <c r="E5">
        <v>135</v>
      </c>
      <c r="F5">
        <v>8.5500000000000007E-2</v>
      </c>
      <c r="G5">
        <v>45.5</v>
      </c>
      <c r="H5">
        <v>84.3</v>
      </c>
      <c r="I5">
        <v>7.0099999999999997E-3</v>
      </c>
      <c r="J5">
        <v>8.8800000000000007E-3</v>
      </c>
      <c r="K5">
        <v>1.0800000000000001E-2</v>
      </c>
    </row>
    <row r="6" spans="1:11" x14ac:dyDescent="0.25">
      <c r="A6">
        <v>5</v>
      </c>
      <c r="B6">
        <v>49.4</v>
      </c>
      <c r="C6">
        <v>50</v>
      </c>
      <c r="D6">
        <v>73.7</v>
      </c>
      <c r="E6">
        <v>135</v>
      </c>
      <c r="F6">
        <v>8.6300000000000002E-2</v>
      </c>
      <c r="G6">
        <v>45.5</v>
      </c>
      <c r="H6">
        <v>84.3</v>
      </c>
      <c r="I6">
        <v>6.7000000000000002E-3</v>
      </c>
      <c r="J6">
        <v>8.5100000000000002E-3</v>
      </c>
      <c r="K6">
        <v>1.0500000000000001E-2</v>
      </c>
    </row>
    <row r="7" spans="1:11" x14ac:dyDescent="0.25">
      <c r="A7">
        <v>6</v>
      </c>
      <c r="B7">
        <v>49.4</v>
      </c>
      <c r="C7">
        <v>50</v>
      </c>
      <c r="D7">
        <v>73.7</v>
      </c>
      <c r="E7">
        <v>135</v>
      </c>
      <c r="F7">
        <v>8.6099999999999996E-2</v>
      </c>
      <c r="G7">
        <v>45.5</v>
      </c>
      <c r="H7">
        <v>84.3</v>
      </c>
      <c r="I7">
        <v>6.7099999999999998E-3</v>
      </c>
      <c r="J7">
        <v>8.5100000000000002E-3</v>
      </c>
      <c r="K7">
        <v>1.04E-2</v>
      </c>
    </row>
    <row r="8" spans="1:11" x14ac:dyDescent="0.25">
      <c r="A8">
        <v>7</v>
      </c>
      <c r="B8">
        <v>49.4</v>
      </c>
      <c r="C8">
        <v>50</v>
      </c>
      <c r="D8">
        <v>73.7</v>
      </c>
      <c r="E8">
        <v>135</v>
      </c>
      <c r="F8">
        <v>8.6400000000000005E-2</v>
      </c>
      <c r="G8">
        <v>45.5</v>
      </c>
      <c r="H8">
        <v>84.3</v>
      </c>
      <c r="I8">
        <v>6.6100000000000004E-3</v>
      </c>
      <c r="J8">
        <v>8.4399999999999996E-3</v>
      </c>
      <c r="K8">
        <v>1.04E-2</v>
      </c>
    </row>
    <row r="9" spans="1:11" x14ac:dyDescent="0.25">
      <c r="A9">
        <v>8</v>
      </c>
      <c r="B9">
        <v>49.6</v>
      </c>
      <c r="C9">
        <v>50.2</v>
      </c>
      <c r="D9">
        <v>75.099999999999994</v>
      </c>
      <c r="E9">
        <v>139</v>
      </c>
      <c r="F9">
        <v>8.4099999999999994E-2</v>
      </c>
      <c r="G9">
        <v>45.5</v>
      </c>
      <c r="H9">
        <v>84.3</v>
      </c>
      <c r="I9">
        <v>6.7200000000000003E-3</v>
      </c>
      <c r="J9">
        <v>8.5199999999999998E-3</v>
      </c>
      <c r="K9">
        <v>1.04E-2</v>
      </c>
    </row>
    <row r="10" spans="1:11" x14ac:dyDescent="0.25">
      <c r="A10">
        <v>9</v>
      </c>
      <c r="B10">
        <v>49.4</v>
      </c>
      <c r="C10">
        <v>50</v>
      </c>
      <c r="D10">
        <v>73.7</v>
      </c>
      <c r="E10">
        <v>135</v>
      </c>
      <c r="F10">
        <v>9.4299999999999995E-2</v>
      </c>
      <c r="G10">
        <v>48</v>
      </c>
      <c r="H10">
        <v>88.8</v>
      </c>
      <c r="I10">
        <v>6.6600000000000001E-3</v>
      </c>
      <c r="J10">
        <v>8.4600000000000005E-3</v>
      </c>
      <c r="K10">
        <v>1.0999999999999999E-2</v>
      </c>
    </row>
    <row r="11" spans="1:11" x14ac:dyDescent="0.25">
      <c r="A11">
        <v>10</v>
      </c>
      <c r="B11">
        <v>49.4</v>
      </c>
      <c r="C11">
        <v>50</v>
      </c>
      <c r="D11">
        <v>74.099999999999994</v>
      </c>
      <c r="E11">
        <v>136</v>
      </c>
      <c r="F11">
        <v>8.6599999999999996E-2</v>
      </c>
      <c r="G11">
        <v>45.5</v>
      </c>
      <c r="H11">
        <v>84.3</v>
      </c>
      <c r="I11">
        <v>6.6499999999999997E-3</v>
      </c>
      <c r="J11">
        <v>8.4600000000000005E-3</v>
      </c>
      <c r="K11">
        <v>1.11E-2</v>
      </c>
    </row>
    <row r="12" spans="1:11" x14ac:dyDescent="0.25">
      <c r="A12" t="s">
        <v>11</v>
      </c>
      <c r="B12">
        <f>SUBTOTAL(101,_grav_32_32_20[total_time])</f>
        <v>49.419999999999995</v>
      </c>
      <c r="C12">
        <f>SUBTOTAL(101,_grav_32_32_20[work_time_min])</f>
        <v>50.019999999999996</v>
      </c>
      <c r="D12">
        <f>SUBTOTAL(101,_grav_32_32_20[work_time_avg])</f>
        <v>73.88000000000001</v>
      </c>
      <c r="E12">
        <f>SUBTOTAL(101,_grav_32_32_20[work_time_max])</f>
        <v>135.5</v>
      </c>
      <c r="F12">
        <f>SUBTOTAL(101,_grav_32_32_20[prep_time_min])</f>
        <v>8.8209999999999983E-2</v>
      </c>
      <c r="G12">
        <f>SUBTOTAL(101,_grav_32_32_20[prep_time_avg])</f>
        <v>41.212000000000003</v>
      </c>
      <c r="H12">
        <f>SUBTOTAL(101,_grav_32_32_20[prep_time_max])</f>
        <v>76.343199999999996</v>
      </c>
      <c r="I12">
        <f>SUBTOTAL(101,_grav_32_32_20[comm_time_min])</f>
        <v>7.0089999999999996E-3</v>
      </c>
      <c r="J12">
        <f>SUBTOTAL(101,_grav_32_32_20[comm_time_avg])</f>
        <v>8.8719999999999997E-3</v>
      </c>
      <c r="K12">
        <f>SUBTOTAL(101,_grav_32_32_20[comm_time_max])</f>
        <v>1.095E-2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70F6-FC55-4C2A-BF11-1D7E7F477034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31.3</v>
      </c>
      <c r="C2">
        <v>31.7</v>
      </c>
      <c r="D2">
        <v>37.200000000000003</v>
      </c>
      <c r="E2">
        <v>73.400000000000006</v>
      </c>
      <c r="F2">
        <v>0.105</v>
      </c>
      <c r="G2">
        <v>0.14599999999999999</v>
      </c>
      <c r="H2">
        <v>0.158</v>
      </c>
      <c r="I2">
        <v>6.4200000000000004E-3</v>
      </c>
      <c r="J2">
        <v>7.0899999999999999E-3</v>
      </c>
      <c r="K2">
        <v>7.7799999999999996E-3</v>
      </c>
    </row>
    <row r="3" spans="1:11" x14ac:dyDescent="0.25">
      <c r="A3">
        <v>2</v>
      </c>
      <c r="B3">
        <v>31.2</v>
      </c>
      <c r="C3">
        <v>31.6</v>
      </c>
      <c r="D3">
        <v>37.200000000000003</v>
      </c>
      <c r="E3">
        <v>73.3</v>
      </c>
      <c r="F3">
        <v>9.8699999999999996E-2</v>
      </c>
      <c r="G3">
        <v>31</v>
      </c>
      <c r="H3">
        <v>41.6</v>
      </c>
      <c r="I3">
        <v>4.5100000000000001E-3</v>
      </c>
      <c r="J3">
        <v>5.3400000000000001E-3</v>
      </c>
      <c r="K3">
        <v>6.5700000000000003E-3</v>
      </c>
    </row>
    <row r="4" spans="1:11" x14ac:dyDescent="0.25">
      <c r="A4">
        <v>3</v>
      </c>
      <c r="B4">
        <v>31.2</v>
      </c>
      <c r="C4">
        <v>31.6</v>
      </c>
      <c r="D4">
        <v>37.200000000000003</v>
      </c>
      <c r="E4">
        <v>73.3</v>
      </c>
      <c r="F4">
        <v>0.104</v>
      </c>
      <c r="G4">
        <v>30.9</v>
      </c>
      <c r="H4">
        <v>41.5</v>
      </c>
      <c r="I4">
        <v>5.5599999999999998E-3</v>
      </c>
      <c r="J4">
        <v>6.5799999999999999E-3</v>
      </c>
      <c r="K4">
        <v>7.43E-3</v>
      </c>
    </row>
    <row r="5" spans="1:11" x14ac:dyDescent="0.25">
      <c r="A5">
        <v>4</v>
      </c>
      <c r="B5">
        <v>31.3</v>
      </c>
      <c r="C5">
        <v>31.6</v>
      </c>
      <c r="D5">
        <v>37.200000000000003</v>
      </c>
      <c r="E5">
        <v>73.3</v>
      </c>
      <c r="F5">
        <v>0.1</v>
      </c>
      <c r="G5">
        <v>30.9</v>
      </c>
      <c r="H5">
        <v>41.5</v>
      </c>
      <c r="I5">
        <v>4.4400000000000004E-3</v>
      </c>
      <c r="J5">
        <v>5.4799999999999996E-3</v>
      </c>
      <c r="K5">
        <v>6.5599999999999999E-3</v>
      </c>
    </row>
    <row r="6" spans="1:11" x14ac:dyDescent="0.25">
      <c r="A6">
        <v>5</v>
      </c>
      <c r="B6">
        <v>31.2</v>
      </c>
      <c r="C6">
        <v>31.6</v>
      </c>
      <c r="D6">
        <v>37.200000000000003</v>
      </c>
      <c r="E6">
        <v>73.3</v>
      </c>
      <c r="F6">
        <v>9.9900000000000003E-2</v>
      </c>
      <c r="G6">
        <v>30.9</v>
      </c>
      <c r="H6">
        <v>41.6</v>
      </c>
      <c r="I6">
        <v>3.9199999999999999E-3</v>
      </c>
      <c r="J6">
        <v>4.9199999999999999E-3</v>
      </c>
      <c r="K6">
        <v>5.9199999999999999E-3</v>
      </c>
    </row>
    <row r="7" spans="1:11" x14ac:dyDescent="0.25">
      <c r="A7">
        <v>6</v>
      </c>
      <c r="B7">
        <v>31.5</v>
      </c>
      <c r="C7">
        <v>31.6</v>
      </c>
      <c r="D7">
        <v>37.299999999999997</v>
      </c>
      <c r="E7">
        <v>73.599999999999994</v>
      </c>
      <c r="F7">
        <v>9.8500000000000004E-2</v>
      </c>
      <c r="G7">
        <v>30.9</v>
      </c>
      <c r="H7">
        <v>41.5</v>
      </c>
      <c r="I7">
        <v>4.6600000000000001E-3</v>
      </c>
      <c r="J7">
        <v>5.4900000000000001E-3</v>
      </c>
      <c r="K7">
        <v>6.6800000000000002E-3</v>
      </c>
    </row>
    <row r="8" spans="1:11" x14ac:dyDescent="0.25">
      <c r="A8">
        <v>7</v>
      </c>
      <c r="B8">
        <v>31.2</v>
      </c>
      <c r="C8">
        <v>31.6</v>
      </c>
      <c r="D8">
        <v>37.200000000000003</v>
      </c>
      <c r="E8">
        <v>73.3</v>
      </c>
      <c r="F8">
        <v>0.104</v>
      </c>
      <c r="G8">
        <v>31.1</v>
      </c>
      <c r="H8">
        <v>41.8</v>
      </c>
      <c r="I8">
        <v>5.4599999999999996E-3</v>
      </c>
      <c r="J8">
        <v>6.4700000000000001E-3</v>
      </c>
      <c r="K8">
        <v>7.4000000000000003E-3</v>
      </c>
    </row>
    <row r="9" spans="1:11" x14ac:dyDescent="0.25">
      <c r="A9">
        <v>8</v>
      </c>
      <c r="B9">
        <v>31.4</v>
      </c>
      <c r="C9">
        <v>31.7</v>
      </c>
      <c r="D9">
        <v>37.6</v>
      </c>
      <c r="E9">
        <v>75.7</v>
      </c>
      <c r="F9">
        <v>0.104</v>
      </c>
      <c r="G9">
        <v>30.9</v>
      </c>
      <c r="H9">
        <v>41.5</v>
      </c>
      <c r="I9">
        <v>4.3899999999999998E-3</v>
      </c>
      <c r="J9">
        <v>5.5700000000000003E-3</v>
      </c>
      <c r="K9">
        <v>6.6899999999999998E-3</v>
      </c>
    </row>
    <row r="10" spans="1:11" x14ac:dyDescent="0.25">
      <c r="A10">
        <v>9</v>
      </c>
      <c r="B10">
        <v>31.2</v>
      </c>
      <c r="C10">
        <v>31.6</v>
      </c>
      <c r="D10">
        <v>37.200000000000003</v>
      </c>
      <c r="E10">
        <v>73.3</v>
      </c>
      <c r="F10">
        <v>9.7799999999999998E-2</v>
      </c>
      <c r="G10">
        <v>32.700000000000003</v>
      </c>
      <c r="H10">
        <v>43.8</v>
      </c>
      <c r="I10">
        <v>4.3099999999999996E-3</v>
      </c>
      <c r="J10">
        <v>5.5599999999999998E-3</v>
      </c>
      <c r="K10">
        <v>6.3899999999999998E-3</v>
      </c>
    </row>
    <row r="11" spans="1:11" x14ac:dyDescent="0.25">
      <c r="A11">
        <v>10</v>
      </c>
      <c r="B11">
        <v>31.4</v>
      </c>
      <c r="C11">
        <v>31.7</v>
      </c>
      <c r="D11">
        <v>37.4</v>
      </c>
      <c r="E11">
        <v>74.3</v>
      </c>
      <c r="F11">
        <v>0.105</v>
      </c>
      <c r="G11">
        <v>30.9</v>
      </c>
      <c r="H11">
        <v>41.5</v>
      </c>
      <c r="I11">
        <v>4.45E-3</v>
      </c>
      <c r="J11">
        <v>5.4900000000000001E-3</v>
      </c>
      <c r="K11">
        <v>6.5399999999999998E-3</v>
      </c>
    </row>
    <row r="12" spans="1:11" x14ac:dyDescent="0.25">
      <c r="A12" t="s">
        <v>11</v>
      </c>
      <c r="B12">
        <f>SUBTOTAL(101,_grav_32_16_20[total_time])</f>
        <v>31.29</v>
      </c>
      <c r="C12">
        <f>SUBTOTAL(101,_grav_32_16_20[work_time_min])</f>
        <v>31.629999999999995</v>
      </c>
      <c r="D12">
        <f>SUBTOTAL(101,_grav_32_16_20[work_time_avg])</f>
        <v>37.269999999999996</v>
      </c>
      <c r="E12">
        <f>SUBTOTAL(101,_grav_32_16_20[work_time_max])</f>
        <v>73.679999999999993</v>
      </c>
      <c r="F12">
        <f>SUBTOTAL(101,_grav_32_16_20[prep_time_min])</f>
        <v>0.10168999999999999</v>
      </c>
      <c r="G12">
        <f>SUBTOTAL(101,_grav_32_16_20[prep_time_avg])</f>
        <v>28.034600000000001</v>
      </c>
      <c r="H12">
        <f>SUBTOTAL(101,_grav_32_16_20[prep_time_max])</f>
        <v>37.645800000000001</v>
      </c>
      <c r="I12">
        <f>SUBTOTAL(101,_grav_32_16_20[comm_time_min])</f>
        <v>4.8120000000000003E-3</v>
      </c>
      <c r="J12">
        <f>SUBTOTAL(101,_grav_32_16_20[comm_time_avg])</f>
        <v>5.7990000000000003E-3</v>
      </c>
      <c r="K12">
        <f>SUBTOTAL(101,_grav_32_16_20[comm_time_max])</f>
        <v>6.7959999999999991E-3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9FA1-896E-429C-802F-CF4080074766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51.9</v>
      </c>
      <c r="C2">
        <v>52.4</v>
      </c>
      <c r="D2">
        <v>74.599999999999994</v>
      </c>
      <c r="E2">
        <v>141</v>
      </c>
      <c r="F2">
        <v>4.0300000000000002E-2</v>
      </c>
      <c r="G2">
        <v>4.2299999999999997E-2</v>
      </c>
      <c r="H2">
        <v>4.3900000000000002E-2</v>
      </c>
      <c r="I2">
        <v>5.5900000000000004E-3</v>
      </c>
      <c r="J2">
        <v>5.64E-3</v>
      </c>
      <c r="K2">
        <v>5.6800000000000002E-3</v>
      </c>
    </row>
    <row r="3" spans="1:11" x14ac:dyDescent="0.25">
      <c r="A3">
        <v>2</v>
      </c>
      <c r="B3">
        <v>51.9</v>
      </c>
      <c r="C3">
        <v>52.4</v>
      </c>
      <c r="D3">
        <v>74.599999999999994</v>
      </c>
      <c r="E3">
        <v>141</v>
      </c>
      <c r="F3">
        <v>3.7600000000000001E-2</v>
      </c>
      <c r="G3">
        <v>33.200000000000003</v>
      </c>
      <c r="H3">
        <v>88.3</v>
      </c>
      <c r="I3">
        <v>4.0099999999999997E-3</v>
      </c>
      <c r="J3">
        <v>4.7600000000000003E-3</v>
      </c>
      <c r="K3">
        <v>5.0699999999999999E-3</v>
      </c>
    </row>
    <row r="4" spans="1:11" x14ac:dyDescent="0.25">
      <c r="A4">
        <v>3</v>
      </c>
      <c r="B4">
        <v>51.9</v>
      </c>
      <c r="C4">
        <v>52.4</v>
      </c>
      <c r="D4">
        <v>74.599999999999994</v>
      </c>
      <c r="E4">
        <v>141</v>
      </c>
      <c r="F4">
        <v>3.7900000000000003E-2</v>
      </c>
      <c r="G4">
        <v>33.200000000000003</v>
      </c>
      <c r="H4">
        <v>88.4</v>
      </c>
      <c r="I4">
        <v>3.9100000000000003E-3</v>
      </c>
      <c r="J4">
        <v>4.7299999999999998E-3</v>
      </c>
      <c r="K4">
        <v>5.5799999999999999E-3</v>
      </c>
    </row>
    <row r="5" spans="1:11" x14ac:dyDescent="0.25">
      <c r="A5">
        <v>4</v>
      </c>
      <c r="B5">
        <v>51.9</v>
      </c>
      <c r="C5">
        <v>52.4</v>
      </c>
      <c r="D5">
        <v>74.599999999999994</v>
      </c>
      <c r="E5">
        <v>141</v>
      </c>
      <c r="F5">
        <v>3.7699999999999997E-2</v>
      </c>
      <c r="G5">
        <v>33.200000000000003</v>
      </c>
      <c r="H5">
        <v>88.3</v>
      </c>
      <c r="I5">
        <v>4.1799999999999997E-3</v>
      </c>
      <c r="J5">
        <v>5.0000000000000001E-3</v>
      </c>
      <c r="K5">
        <v>5.7600000000000004E-3</v>
      </c>
    </row>
    <row r="6" spans="1:11" x14ac:dyDescent="0.25">
      <c r="A6">
        <v>5</v>
      </c>
      <c r="B6">
        <v>51.9</v>
      </c>
      <c r="C6">
        <v>52.4</v>
      </c>
      <c r="D6">
        <v>74.599999999999994</v>
      </c>
      <c r="E6">
        <v>141</v>
      </c>
      <c r="F6">
        <v>3.8100000000000002E-2</v>
      </c>
      <c r="G6">
        <v>33.200000000000003</v>
      </c>
      <c r="H6">
        <v>88.4</v>
      </c>
      <c r="I6">
        <v>3.8800000000000002E-3</v>
      </c>
      <c r="J6">
        <v>4.79E-3</v>
      </c>
      <c r="K6">
        <v>5.6100000000000004E-3</v>
      </c>
    </row>
    <row r="7" spans="1:11" x14ac:dyDescent="0.25">
      <c r="A7">
        <v>6</v>
      </c>
      <c r="B7">
        <v>51.9</v>
      </c>
      <c r="C7">
        <v>52.4</v>
      </c>
      <c r="D7">
        <v>74.599999999999994</v>
      </c>
      <c r="E7">
        <v>141</v>
      </c>
      <c r="F7">
        <v>3.7600000000000001E-2</v>
      </c>
      <c r="G7">
        <v>33.200000000000003</v>
      </c>
      <c r="H7">
        <v>88.3</v>
      </c>
      <c r="I7">
        <v>3.8700000000000002E-3</v>
      </c>
      <c r="J7">
        <v>4.7699999999999999E-3</v>
      </c>
      <c r="K7">
        <v>5.4999999999999997E-3</v>
      </c>
    </row>
    <row r="8" spans="1:11" x14ac:dyDescent="0.25">
      <c r="A8">
        <v>7</v>
      </c>
      <c r="B8">
        <v>51.9</v>
      </c>
      <c r="C8">
        <v>52.4</v>
      </c>
      <c r="D8">
        <v>74.599999999999994</v>
      </c>
      <c r="E8">
        <v>141</v>
      </c>
      <c r="F8">
        <v>3.7699999999999997E-2</v>
      </c>
      <c r="G8">
        <v>33.200000000000003</v>
      </c>
      <c r="H8">
        <v>88.3</v>
      </c>
      <c r="I8">
        <v>3.9399999999999999E-3</v>
      </c>
      <c r="J8">
        <v>5.0299999999999997E-3</v>
      </c>
      <c r="K8">
        <v>5.5799999999999999E-3</v>
      </c>
    </row>
    <row r="9" spans="1:11" x14ac:dyDescent="0.25">
      <c r="A9">
        <v>8</v>
      </c>
      <c r="B9">
        <v>52.2</v>
      </c>
      <c r="C9">
        <v>52.7</v>
      </c>
      <c r="D9">
        <v>76.2</v>
      </c>
      <c r="E9">
        <v>146</v>
      </c>
      <c r="F9">
        <v>3.8899999999999997E-2</v>
      </c>
      <c r="G9">
        <v>33.200000000000003</v>
      </c>
      <c r="H9">
        <v>88.3</v>
      </c>
      <c r="I9">
        <v>3.98E-3</v>
      </c>
      <c r="J9">
        <v>5.0800000000000003E-3</v>
      </c>
      <c r="K9">
        <v>5.6100000000000004E-3</v>
      </c>
    </row>
    <row r="10" spans="1:11" x14ac:dyDescent="0.25">
      <c r="A10">
        <v>9</v>
      </c>
      <c r="B10">
        <v>51.9</v>
      </c>
      <c r="C10">
        <v>52.4</v>
      </c>
      <c r="D10">
        <v>74.599999999999994</v>
      </c>
      <c r="E10">
        <v>141</v>
      </c>
      <c r="F10">
        <v>3.7699999999999997E-2</v>
      </c>
      <c r="G10">
        <v>35.1</v>
      </c>
      <c r="H10">
        <v>93.5</v>
      </c>
      <c r="I10">
        <v>4.0899999999999999E-3</v>
      </c>
      <c r="J10">
        <v>5.2700000000000004E-3</v>
      </c>
      <c r="K10">
        <v>5.8700000000000002E-3</v>
      </c>
    </row>
    <row r="11" spans="1:11" x14ac:dyDescent="0.25">
      <c r="A11">
        <v>10</v>
      </c>
      <c r="B11">
        <v>52</v>
      </c>
      <c r="C11">
        <v>52.4</v>
      </c>
      <c r="D11">
        <v>75.099999999999994</v>
      </c>
      <c r="E11">
        <v>143</v>
      </c>
      <c r="F11">
        <v>3.7600000000000001E-2</v>
      </c>
      <c r="G11">
        <v>33.200000000000003</v>
      </c>
      <c r="H11">
        <v>88.3</v>
      </c>
      <c r="I11">
        <v>3.8800000000000002E-3</v>
      </c>
      <c r="J11">
        <v>5.0499999999999998E-3</v>
      </c>
      <c r="K11">
        <v>5.5799999999999999E-3</v>
      </c>
    </row>
    <row r="12" spans="1:11" x14ac:dyDescent="0.25">
      <c r="A12" t="s">
        <v>11</v>
      </c>
      <c r="B12">
        <f>SUBTOTAL(101,_grav_32_8_20[total_time])</f>
        <v>51.939999999999984</v>
      </c>
      <c r="C12">
        <f>SUBTOTAL(101,_grav_32_8_20[work_time_min])</f>
        <v>52.429999999999993</v>
      </c>
      <c r="D12">
        <f>SUBTOTAL(101,_grav_32_8_20[work_time_avg])</f>
        <v>74.810000000000016</v>
      </c>
      <c r="E12">
        <f>SUBTOTAL(101,_grav_32_8_20[work_time_max])</f>
        <v>141.69999999999999</v>
      </c>
      <c r="F12">
        <f>SUBTOTAL(101,_grav_32_8_20[prep_time_min])</f>
        <v>3.8109999999999998E-2</v>
      </c>
      <c r="G12">
        <f>SUBTOTAL(101,_grav_32_8_20[prep_time_avg])</f>
        <v>30.07423</v>
      </c>
      <c r="H12">
        <f>SUBTOTAL(101,_grav_32_8_20[prep_time_max])</f>
        <v>80.014389999999992</v>
      </c>
      <c r="I12">
        <f>SUBTOTAL(101,_grav_32_8_20[comm_time_min])</f>
        <v>4.1329999999999995E-3</v>
      </c>
      <c r="J12">
        <f>SUBTOTAL(101,_grav_32_8_20[comm_time_avg])</f>
        <v>5.012E-3</v>
      </c>
      <c r="K12">
        <f>SUBTOTAL(101,_grav_32_8_20[comm_time_max])</f>
        <v>5.5840000000000004E-3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F8E0-E746-47C3-8F04-69695B722FFD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37</v>
      </c>
      <c r="C2">
        <v>37.6</v>
      </c>
      <c r="D2">
        <v>67.3</v>
      </c>
      <c r="E2">
        <v>96.9</v>
      </c>
      <c r="F2">
        <v>3.4099999999999998E-2</v>
      </c>
      <c r="G2">
        <v>5.9900000000000002E-2</v>
      </c>
      <c r="H2">
        <v>8.7800000000000003E-2</v>
      </c>
      <c r="I2">
        <v>3.3300000000000001E-3</v>
      </c>
      <c r="J2">
        <v>3.3700000000000002E-3</v>
      </c>
      <c r="K2">
        <v>3.3999999999999998E-3</v>
      </c>
    </row>
    <row r="3" spans="1:11" x14ac:dyDescent="0.25">
      <c r="A3">
        <v>2</v>
      </c>
      <c r="B3">
        <v>36.9</v>
      </c>
      <c r="C3">
        <v>37.6</v>
      </c>
      <c r="D3">
        <v>67.2</v>
      </c>
      <c r="E3">
        <v>96.9</v>
      </c>
      <c r="F3">
        <v>3.2399999999999998E-2</v>
      </c>
      <c r="G3">
        <v>4.99E-2</v>
      </c>
      <c r="H3">
        <v>8.5999999999999993E-2</v>
      </c>
      <c r="I3">
        <v>2.7200000000000002E-3</v>
      </c>
      <c r="J3">
        <v>2.7399999999999998E-3</v>
      </c>
      <c r="K3">
        <v>2.7799999999999999E-3</v>
      </c>
    </row>
    <row r="4" spans="1:11" x14ac:dyDescent="0.25">
      <c r="A4">
        <v>3</v>
      </c>
      <c r="B4">
        <v>36.9</v>
      </c>
      <c r="C4">
        <v>37.6</v>
      </c>
      <c r="D4">
        <v>67.2</v>
      </c>
      <c r="E4">
        <v>96.8</v>
      </c>
      <c r="F4">
        <v>3.2399999999999998E-2</v>
      </c>
      <c r="G4">
        <v>5.2699999999999997E-2</v>
      </c>
      <c r="H4">
        <v>9.9299999999999999E-2</v>
      </c>
      <c r="I4">
        <v>2.7499999999999998E-3</v>
      </c>
      <c r="J4">
        <v>2.8999999999999998E-3</v>
      </c>
      <c r="K4">
        <v>3.2399999999999998E-3</v>
      </c>
    </row>
    <row r="5" spans="1:11" x14ac:dyDescent="0.25">
      <c r="A5">
        <v>4</v>
      </c>
      <c r="B5">
        <v>36.9</v>
      </c>
      <c r="C5">
        <v>37.6</v>
      </c>
      <c r="D5">
        <v>67.2</v>
      </c>
      <c r="E5">
        <v>96.8</v>
      </c>
      <c r="F5">
        <v>3.2399999999999998E-2</v>
      </c>
      <c r="G5">
        <v>5.28E-2</v>
      </c>
      <c r="H5">
        <v>0.105</v>
      </c>
      <c r="I5">
        <v>2.64E-3</v>
      </c>
      <c r="J5">
        <v>2.7699999999999999E-3</v>
      </c>
      <c r="K5">
        <v>3.0400000000000002E-3</v>
      </c>
    </row>
    <row r="6" spans="1:11" x14ac:dyDescent="0.25">
      <c r="A6">
        <v>5</v>
      </c>
      <c r="B6">
        <v>36.9</v>
      </c>
      <c r="C6">
        <v>37.6</v>
      </c>
      <c r="D6">
        <v>67.2</v>
      </c>
      <c r="E6">
        <v>96.8</v>
      </c>
      <c r="F6">
        <v>3.2500000000000001E-2</v>
      </c>
      <c r="G6">
        <v>5.1900000000000002E-2</v>
      </c>
      <c r="H6">
        <v>9.4700000000000006E-2</v>
      </c>
      <c r="I6">
        <v>2.4099999999999998E-3</v>
      </c>
      <c r="J6">
        <v>2.66E-3</v>
      </c>
      <c r="K6">
        <v>2.9199999999999999E-3</v>
      </c>
    </row>
    <row r="7" spans="1:11" x14ac:dyDescent="0.25">
      <c r="A7">
        <v>6</v>
      </c>
      <c r="B7">
        <v>36.9</v>
      </c>
      <c r="C7">
        <v>37.6</v>
      </c>
      <c r="D7">
        <v>67.2</v>
      </c>
      <c r="E7">
        <v>96.8</v>
      </c>
      <c r="F7">
        <v>3.2300000000000002E-2</v>
      </c>
      <c r="G7">
        <v>5.0999999999999997E-2</v>
      </c>
      <c r="H7">
        <v>9.4600000000000004E-2</v>
      </c>
      <c r="I7">
        <v>2.33E-3</v>
      </c>
      <c r="J7">
        <v>2.66E-3</v>
      </c>
      <c r="K7">
        <v>2.8600000000000001E-3</v>
      </c>
    </row>
    <row r="8" spans="1:11" x14ac:dyDescent="0.25">
      <c r="A8">
        <v>7</v>
      </c>
      <c r="B8">
        <v>36.9</v>
      </c>
      <c r="C8">
        <v>37.6</v>
      </c>
      <c r="D8">
        <v>67.2</v>
      </c>
      <c r="E8">
        <v>96.8</v>
      </c>
      <c r="F8">
        <v>3.1300000000000001E-2</v>
      </c>
      <c r="G8">
        <v>4.6699999999999998E-2</v>
      </c>
      <c r="H8">
        <v>9.2200000000000004E-2</v>
      </c>
      <c r="I8">
        <v>2.3900000000000002E-3</v>
      </c>
      <c r="J8">
        <v>2.7000000000000001E-3</v>
      </c>
      <c r="K8">
        <v>2.8300000000000001E-3</v>
      </c>
    </row>
    <row r="9" spans="1:11" x14ac:dyDescent="0.25">
      <c r="A9">
        <v>8</v>
      </c>
      <c r="B9">
        <v>37.1</v>
      </c>
      <c r="C9">
        <v>37.799999999999997</v>
      </c>
      <c r="D9">
        <v>69.2</v>
      </c>
      <c r="E9">
        <v>101</v>
      </c>
      <c r="F9">
        <v>2.9600000000000001E-2</v>
      </c>
      <c r="G9">
        <v>4.5600000000000002E-2</v>
      </c>
      <c r="H9">
        <v>0.09</v>
      </c>
      <c r="I9">
        <v>1.9300000000000001E-3</v>
      </c>
      <c r="J9">
        <v>1.97E-3</v>
      </c>
      <c r="K9">
        <v>2.0100000000000001E-3</v>
      </c>
    </row>
    <row r="10" spans="1:11" x14ac:dyDescent="0.25">
      <c r="A10">
        <v>9</v>
      </c>
      <c r="B10">
        <v>36.9</v>
      </c>
      <c r="C10">
        <v>37.6</v>
      </c>
      <c r="D10">
        <v>67.2</v>
      </c>
      <c r="E10">
        <v>96.8</v>
      </c>
      <c r="F10">
        <v>3.0099999999999998E-2</v>
      </c>
      <c r="G10">
        <v>7.4399999999999994E-2</v>
      </c>
      <c r="H10">
        <v>0.20499999999999999</v>
      </c>
      <c r="I10">
        <v>2.2000000000000001E-3</v>
      </c>
      <c r="J10">
        <v>2.2399999999999998E-3</v>
      </c>
      <c r="K10">
        <v>2.2699999999999999E-3</v>
      </c>
    </row>
    <row r="11" spans="1:11" x14ac:dyDescent="0.25">
      <c r="A11">
        <v>10</v>
      </c>
      <c r="B11">
        <v>37</v>
      </c>
      <c r="C11">
        <v>37.700000000000003</v>
      </c>
      <c r="D11">
        <v>67.900000000000006</v>
      </c>
      <c r="E11">
        <v>98.2</v>
      </c>
      <c r="F11">
        <v>2.98E-2</v>
      </c>
      <c r="G11">
        <v>4.9799999999999997E-2</v>
      </c>
      <c r="H11">
        <v>0.106</v>
      </c>
      <c r="I11">
        <v>2.2000000000000001E-3</v>
      </c>
      <c r="J11">
        <v>2.2300000000000002E-3</v>
      </c>
      <c r="K11">
        <v>2.2699999999999999E-3</v>
      </c>
    </row>
    <row r="12" spans="1:11" x14ac:dyDescent="0.25">
      <c r="A12" t="s">
        <v>11</v>
      </c>
      <c r="B12">
        <f>SUBTOTAL(101,_grav_32_4_20[total_time])</f>
        <v>36.940000000000005</v>
      </c>
      <c r="C12">
        <f>SUBTOTAL(101,_grav_32_4_20[work_time_min])</f>
        <v>37.630000000000003</v>
      </c>
      <c r="D12">
        <f>SUBTOTAL(101,_grav_32_4_20[work_time_avg])</f>
        <v>67.47999999999999</v>
      </c>
      <c r="E12">
        <f>SUBTOTAL(101,_grav_32_4_20[work_time_max])</f>
        <v>97.38</v>
      </c>
      <c r="F12">
        <f>SUBTOTAL(101,_grav_32_4_20[prep_time_min])</f>
        <v>3.1690000000000003E-2</v>
      </c>
      <c r="G12">
        <f>SUBTOTAL(101,_grav_32_4_20[prep_time_avg])</f>
        <v>5.3469999999999997E-2</v>
      </c>
      <c r="H12">
        <f>SUBTOTAL(101,_grav_32_4_20[prep_time_max])</f>
        <v>0.10606</v>
      </c>
      <c r="I12">
        <f>SUBTOTAL(101,_grav_32_4_20[comm_time_min])</f>
        <v>2.49E-3</v>
      </c>
      <c r="J12">
        <f>SUBTOTAL(101,_grav_32_4_20[comm_time_avg])</f>
        <v>2.624E-3</v>
      </c>
      <c r="K12">
        <f>SUBTOTAL(101,_grav_32_4_20[comm_time_max])</f>
        <v>2.7620000000000001E-3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6626-1A48-4AAA-81E1-5E191B3F8014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27.7</v>
      </c>
      <c r="C2">
        <v>28.4</v>
      </c>
      <c r="D2">
        <v>46.1</v>
      </c>
      <c r="E2">
        <v>63.8</v>
      </c>
      <c r="F2">
        <v>3.5999999999999997E-2</v>
      </c>
      <c r="G2">
        <v>4.6699999999999998E-2</v>
      </c>
      <c r="H2">
        <v>5.74E-2</v>
      </c>
      <c r="I2">
        <v>1.9599999999999999E-3</v>
      </c>
      <c r="J2">
        <v>1.99E-3</v>
      </c>
      <c r="K2">
        <v>2.0100000000000001E-3</v>
      </c>
    </row>
    <row r="3" spans="1:11" x14ac:dyDescent="0.25">
      <c r="A3">
        <v>2</v>
      </c>
      <c r="B3">
        <v>27.7</v>
      </c>
      <c r="C3">
        <v>28.4</v>
      </c>
      <c r="D3">
        <v>46.1</v>
      </c>
      <c r="E3">
        <v>63.8</v>
      </c>
      <c r="F3">
        <v>3.5999999999999997E-2</v>
      </c>
      <c r="G3">
        <v>3.95E-2</v>
      </c>
      <c r="H3">
        <v>4.2999999999999997E-2</v>
      </c>
      <c r="I3">
        <v>1.4300000000000001E-3</v>
      </c>
      <c r="J3">
        <v>1.4400000000000001E-3</v>
      </c>
      <c r="K3">
        <v>1.4499999999999999E-3</v>
      </c>
    </row>
    <row r="4" spans="1:11" x14ac:dyDescent="0.25">
      <c r="A4">
        <v>3</v>
      </c>
      <c r="B4">
        <v>27.7</v>
      </c>
      <c r="C4">
        <v>28.4</v>
      </c>
      <c r="D4">
        <v>46.1</v>
      </c>
      <c r="E4">
        <v>63.8</v>
      </c>
      <c r="F4">
        <v>3.5700000000000003E-2</v>
      </c>
      <c r="G4">
        <v>3.8699999999999998E-2</v>
      </c>
      <c r="H4">
        <v>4.1799999999999997E-2</v>
      </c>
      <c r="I4">
        <v>1.3699999999999999E-3</v>
      </c>
      <c r="J4">
        <v>1.5200000000000001E-3</v>
      </c>
      <c r="K4">
        <v>1.67E-3</v>
      </c>
    </row>
    <row r="5" spans="1:11" x14ac:dyDescent="0.25">
      <c r="A5">
        <v>4</v>
      </c>
      <c r="B5">
        <v>27.7</v>
      </c>
      <c r="C5">
        <v>28.4</v>
      </c>
      <c r="D5">
        <v>46.1</v>
      </c>
      <c r="E5">
        <v>63.8</v>
      </c>
      <c r="F5">
        <v>3.4000000000000002E-2</v>
      </c>
      <c r="G5">
        <v>3.44E-2</v>
      </c>
      <c r="H5">
        <v>3.4799999999999998E-2</v>
      </c>
      <c r="I5">
        <v>1.15E-3</v>
      </c>
      <c r="J5">
        <v>1.1999999999999999E-3</v>
      </c>
      <c r="K5">
        <v>1.2600000000000001E-3</v>
      </c>
    </row>
    <row r="6" spans="1:11" x14ac:dyDescent="0.25">
      <c r="A6">
        <v>5</v>
      </c>
      <c r="B6">
        <v>27.7</v>
      </c>
      <c r="C6">
        <v>28.4</v>
      </c>
      <c r="D6">
        <v>46.1</v>
      </c>
      <c r="E6">
        <v>63.8</v>
      </c>
      <c r="F6">
        <v>3.4099999999999998E-2</v>
      </c>
      <c r="G6">
        <v>3.4599999999999999E-2</v>
      </c>
      <c r="H6">
        <v>3.5099999999999999E-2</v>
      </c>
      <c r="I6">
        <v>1.15E-3</v>
      </c>
      <c r="J6">
        <v>1.15E-3</v>
      </c>
      <c r="K6">
        <v>1.16E-3</v>
      </c>
    </row>
    <row r="7" spans="1:11" x14ac:dyDescent="0.25">
      <c r="A7">
        <v>6</v>
      </c>
      <c r="B7">
        <v>27.7</v>
      </c>
      <c r="C7">
        <v>28.4</v>
      </c>
      <c r="D7">
        <v>46.1</v>
      </c>
      <c r="E7">
        <v>63.8</v>
      </c>
      <c r="F7">
        <v>3.4299999999999997E-2</v>
      </c>
      <c r="G7">
        <v>3.5099999999999999E-2</v>
      </c>
      <c r="H7">
        <v>3.5900000000000001E-2</v>
      </c>
      <c r="I7">
        <v>1.14E-3</v>
      </c>
      <c r="J7">
        <v>1.15E-3</v>
      </c>
      <c r="K7">
        <v>1.16E-3</v>
      </c>
    </row>
    <row r="8" spans="1:11" x14ac:dyDescent="0.25">
      <c r="A8">
        <v>7</v>
      </c>
      <c r="B8">
        <v>27.7</v>
      </c>
      <c r="C8">
        <v>28.4</v>
      </c>
      <c r="D8">
        <v>46.1</v>
      </c>
      <c r="E8">
        <v>63.8</v>
      </c>
      <c r="F8">
        <v>3.4200000000000001E-2</v>
      </c>
      <c r="G8">
        <v>3.4700000000000002E-2</v>
      </c>
      <c r="H8">
        <v>3.5200000000000002E-2</v>
      </c>
      <c r="I8">
        <v>1.15E-3</v>
      </c>
      <c r="J8">
        <v>1.15E-3</v>
      </c>
      <c r="K8">
        <v>1.15E-3</v>
      </c>
    </row>
    <row r="9" spans="1:11" x14ac:dyDescent="0.25">
      <c r="A9">
        <v>8</v>
      </c>
      <c r="B9">
        <v>27.9</v>
      </c>
      <c r="C9">
        <v>28.5</v>
      </c>
      <c r="D9">
        <v>47.2</v>
      </c>
      <c r="E9">
        <v>65.900000000000006</v>
      </c>
      <c r="F9">
        <v>3.44E-2</v>
      </c>
      <c r="G9">
        <v>3.4500000000000003E-2</v>
      </c>
      <c r="H9">
        <v>3.4599999999999999E-2</v>
      </c>
      <c r="I9">
        <v>1.15E-3</v>
      </c>
      <c r="J9">
        <v>1.17E-3</v>
      </c>
      <c r="K9">
        <v>1.1800000000000001E-3</v>
      </c>
    </row>
    <row r="10" spans="1:11" x14ac:dyDescent="0.25">
      <c r="A10">
        <v>9</v>
      </c>
      <c r="B10">
        <v>27.7</v>
      </c>
      <c r="C10">
        <v>28.4</v>
      </c>
      <c r="D10">
        <v>46.1</v>
      </c>
      <c r="E10">
        <v>63.8</v>
      </c>
      <c r="F10">
        <v>3.4200000000000001E-2</v>
      </c>
      <c r="G10">
        <v>3.5099999999999999E-2</v>
      </c>
      <c r="H10">
        <v>3.5999999999999997E-2</v>
      </c>
      <c r="I10">
        <v>1.16E-3</v>
      </c>
      <c r="J10">
        <v>1.17E-3</v>
      </c>
      <c r="K10">
        <v>1.1800000000000001E-3</v>
      </c>
    </row>
    <row r="11" spans="1:11" x14ac:dyDescent="0.25">
      <c r="A11">
        <v>10</v>
      </c>
      <c r="B11">
        <v>27.8</v>
      </c>
      <c r="C11">
        <v>28.4</v>
      </c>
      <c r="D11">
        <v>46.5</v>
      </c>
      <c r="E11">
        <v>64.7</v>
      </c>
      <c r="F11">
        <v>3.4299999999999997E-2</v>
      </c>
      <c r="G11">
        <v>3.49E-2</v>
      </c>
      <c r="H11">
        <v>3.56E-2</v>
      </c>
      <c r="I11">
        <v>1.14E-3</v>
      </c>
      <c r="J11">
        <v>1.15E-3</v>
      </c>
      <c r="K11">
        <v>1.15E-3</v>
      </c>
    </row>
    <row r="12" spans="1:11" x14ac:dyDescent="0.25">
      <c r="A12" t="s">
        <v>11</v>
      </c>
      <c r="B12">
        <f>SUBTOTAL(101,_grav_32_2_20[total_time])</f>
        <v>27.729999999999997</v>
      </c>
      <c r="C12">
        <f>SUBTOTAL(101,_grav_32_2_20[work_time_min])</f>
        <v>28.410000000000004</v>
      </c>
      <c r="D12">
        <f>SUBTOTAL(101,_grav_32_2_20[work_time_avg])</f>
        <v>46.250000000000007</v>
      </c>
      <c r="E12">
        <f>SUBTOTAL(101,_grav_32_2_20[work_time_max])</f>
        <v>64.099999999999994</v>
      </c>
      <c r="F12">
        <f>SUBTOTAL(101,_grav_32_2_20[prep_time_min])</f>
        <v>3.4720000000000001E-2</v>
      </c>
      <c r="G12">
        <f>SUBTOTAL(101,_grav_32_2_20[prep_time_avg])</f>
        <v>3.6820000000000006E-2</v>
      </c>
      <c r="H12">
        <f>SUBTOTAL(101,_grav_32_2_20[prep_time_max])</f>
        <v>3.8940000000000002E-2</v>
      </c>
      <c r="I12">
        <f>SUBTOTAL(101,_grav_32_2_20[comm_time_min])</f>
        <v>1.2799999999999999E-3</v>
      </c>
      <c r="J12">
        <f>SUBTOTAL(101,_grav_32_2_20[comm_time_avg])</f>
        <v>1.3089999999999998E-3</v>
      </c>
      <c r="K12">
        <f>SUBTOTAL(101,_grav_32_2_20[comm_time_max])</f>
        <v>1.3370000000000001E-3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50F3-1BE5-4177-8AA4-847D1C2C5357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46.5</v>
      </c>
      <c r="C2">
        <v>47.3</v>
      </c>
      <c r="D2">
        <v>47.3</v>
      </c>
      <c r="E2">
        <v>47.3</v>
      </c>
      <c r="F2">
        <v>6.7899999999999997E-5</v>
      </c>
      <c r="G2">
        <v>6.7899999999999997E-5</v>
      </c>
      <c r="H2">
        <v>6.7899999999999997E-5</v>
      </c>
      <c r="I2">
        <v>7.8699999999999992E-6</v>
      </c>
      <c r="J2">
        <v>7.8699999999999992E-6</v>
      </c>
      <c r="K2">
        <v>7.8699999999999992E-6</v>
      </c>
    </row>
    <row r="3" spans="1:11" x14ac:dyDescent="0.25">
      <c r="A3">
        <v>2</v>
      </c>
      <c r="B3">
        <v>46.5</v>
      </c>
      <c r="C3">
        <v>47.2</v>
      </c>
      <c r="D3">
        <v>47.2</v>
      </c>
      <c r="E3">
        <v>47.2</v>
      </c>
      <c r="F3">
        <v>1.4100000000000001E-5</v>
      </c>
      <c r="G3">
        <v>1.4100000000000001E-5</v>
      </c>
      <c r="H3">
        <v>1.4100000000000001E-5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46.5</v>
      </c>
      <c r="C4">
        <v>47.2</v>
      </c>
      <c r="D4">
        <v>47.2</v>
      </c>
      <c r="E4">
        <v>47.2</v>
      </c>
      <c r="F4">
        <v>1.5E-5</v>
      </c>
      <c r="G4">
        <v>1.5E-5</v>
      </c>
      <c r="H4">
        <v>1.5E-5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46.5</v>
      </c>
      <c r="C5">
        <v>47.2</v>
      </c>
      <c r="D5">
        <v>47.2</v>
      </c>
      <c r="E5">
        <v>47.2</v>
      </c>
      <c r="F5">
        <v>1.5299999999999999E-5</v>
      </c>
      <c r="G5">
        <v>1.5299999999999999E-5</v>
      </c>
      <c r="H5">
        <v>1.5299999999999999E-5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46.5</v>
      </c>
      <c r="C6">
        <v>47.2</v>
      </c>
      <c r="D6">
        <v>47.2</v>
      </c>
      <c r="E6">
        <v>47.2</v>
      </c>
      <c r="F6">
        <v>1.22E-5</v>
      </c>
      <c r="G6">
        <v>1.22E-5</v>
      </c>
      <c r="H6">
        <v>1.22E-5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46.5</v>
      </c>
      <c r="C7">
        <v>47.2</v>
      </c>
      <c r="D7">
        <v>47.2</v>
      </c>
      <c r="E7">
        <v>47.2</v>
      </c>
      <c r="F7">
        <v>7.1500000000000002E-6</v>
      </c>
      <c r="G7">
        <v>7.1500000000000002E-6</v>
      </c>
      <c r="H7">
        <v>7.1500000000000002E-6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46.5</v>
      </c>
      <c r="C8">
        <v>47.2</v>
      </c>
      <c r="D8">
        <v>47.2</v>
      </c>
      <c r="E8">
        <v>47.2</v>
      </c>
      <c r="F8">
        <v>1.5E-5</v>
      </c>
      <c r="G8">
        <v>1.5E-5</v>
      </c>
      <c r="H8">
        <v>1.5E-5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46.8</v>
      </c>
      <c r="C9">
        <v>47.5</v>
      </c>
      <c r="D9">
        <v>47.5</v>
      </c>
      <c r="E9">
        <v>47.5</v>
      </c>
      <c r="F9">
        <v>1.5E-5</v>
      </c>
      <c r="G9">
        <v>1.5E-5</v>
      </c>
      <c r="H9">
        <v>1.5E-5</v>
      </c>
      <c r="I9">
        <v>1.9099999999999999E-6</v>
      </c>
      <c r="J9">
        <v>1.9099999999999999E-6</v>
      </c>
      <c r="K9">
        <v>1.9099999999999999E-6</v>
      </c>
    </row>
    <row r="10" spans="1:11" x14ac:dyDescent="0.25">
      <c r="A10">
        <v>9</v>
      </c>
      <c r="B10">
        <v>46.5</v>
      </c>
      <c r="C10">
        <v>47.2</v>
      </c>
      <c r="D10">
        <v>47.2</v>
      </c>
      <c r="E10">
        <v>47.2</v>
      </c>
      <c r="F10">
        <v>1.4100000000000001E-5</v>
      </c>
      <c r="G10">
        <v>1.4100000000000001E-5</v>
      </c>
      <c r="H10">
        <v>1.4100000000000001E-5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46.6</v>
      </c>
      <c r="C11">
        <v>47.3</v>
      </c>
      <c r="D11">
        <v>47.3</v>
      </c>
      <c r="E11">
        <v>47.3</v>
      </c>
      <c r="F11">
        <v>1.19E-5</v>
      </c>
      <c r="G11">
        <v>1.19E-5</v>
      </c>
      <c r="H11">
        <v>1.19E-5</v>
      </c>
      <c r="I11">
        <v>3.1E-6</v>
      </c>
      <c r="J11">
        <v>3.1E-6</v>
      </c>
      <c r="K11">
        <v>3.1E-6</v>
      </c>
    </row>
    <row r="12" spans="1:11" x14ac:dyDescent="0.25">
      <c r="A12" t="s">
        <v>11</v>
      </c>
      <c r="B12">
        <f>SUBTOTAL(101,_grav_32_1_20[total_time])</f>
        <v>46.540000000000006</v>
      </c>
      <c r="C12">
        <f>SUBTOTAL(101,_grav_32_1_20[work_time_min])</f>
        <v>47.249999999999993</v>
      </c>
      <c r="D12">
        <f>SUBTOTAL(101,_grav_32_1_20[work_time_avg])</f>
        <v>47.249999999999993</v>
      </c>
      <c r="E12">
        <f>SUBTOTAL(101,_grav_32_1_20[work_time_max])</f>
        <v>47.249999999999993</v>
      </c>
      <c r="F12">
        <f>SUBTOTAL(101,_grav_32_1_20[prep_time_min])</f>
        <v>1.8765000000000001E-5</v>
      </c>
      <c r="G12">
        <f>SUBTOTAL(101,_grav_32_1_20[prep_time_avg])</f>
        <v>1.8765000000000001E-5</v>
      </c>
      <c r="H12">
        <f>SUBTOTAL(101,_grav_32_1_20[prep_time_max])</f>
        <v>1.8765000000000001E-5</v>
      </c>
      <c r="I12">
        <f>SUBTOTAL(101,_grav_32_1_20[comm_time_min])</f>
        <v>2.6250000000000003E-6</v>
      </c>
      <c r="J12">
        <f>SUBTOTAL(101,_grav_32_1_20[comm_time_avg])</f>
        <v>2.6250000000000003E-6</v>
      </c>
      <c r="K12">
        <f>SUBTOTAL(101,_grav_32_1_20[comm_time_max])</f>
        <v>2.6250000000000003E-6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o V L I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K F S y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s h M M U x i + / M B A A B S G w A A E w A c A E Z v c m 1 1 b G F z L 1 N l Y 3 R p b 2 4 x L m 0 g o h g A K K A U A A A A A A A A A A A A A A A A A A A A A A A A A A A A 7 Z f P T t t A E M b v k f I O K 3 N J J G N h J 1 i o y I c q h t J D K 6 q E E 6 6 s j T O Y F f s n 2 l 2 n R R F v 0 2 f o C / B i H W J Q 0 m J y r C 2 x v n g 9 3 8 7 4 G 1 s / r c Z A Y Z m S Z F r f w 9 N + r 9 8 z t 1 T D g u S l p q t 8 F O V h H h 2 R h H C w / R 7 B 6 1 s F n A N G J m Y V p K q o B E g 7 O G c c g o m S F h / M w E s / Z C n F d Z a q u 8 0 G y P I z V o I E 8 h R n q F x J l n 2 h x o K m e g 7 M Z h p M x a 3 J w s P o O L 7 U q o i O s r 9 c B I V Z e U P / O g X O B M P E x D v 1 f D J R v B L S J G H o k z N Z q A W T Z R J G x 5 G P X p W F q b 3 n k G y X w V c l 4 f v Q r 9 s 5 8 C 4 e f 9 + C J i U Y W 9 1 Y I B d A F 6 A 9 7 H B G 5 7 g d r Q j M r c N m U P f v k + v n + E f O p w X l V J v E 6 m q 3 8 C d 4 / C U x B 5 2 S 2 f 1 y W 3 G m q T Q 3 S o v a O m p g B m 8 a 8 d d r D z / T E l v 9 L G 0 8 D p 7 2 P / h k 7 V l l K c 8 t E 4 C a x S i R l Z i D 3 o g / l L 7 b a L l g c q 9 O V + X + f P q z Q V 9 q W O 6 r v 9 W b 6 + / k N 9 Y v l B D 7 6 m / 1 5 v o 7 + a / q P w z 7 P S b f + k + N G E S d w C B y G D g M 2 s R g 3 A k M x g 4 D h 0 G b G J x 0 A o M T h 0 H L G P z z 7 n d G Q R h 3 A o O N D c e B O w 5 a A 2 H U j e l g 5 M a D t k F 4 x w d C P O 4 E B y 8 2 H A e O g 7 Y 4 i D s w J r / Y c B w 4 D l r h I I w 6 M C X X J h w D b j j 4 L x D 8 A V B L A Q I t A B Q A A g A I A K F S y E w P H i x Q q A A A A P g A A A A S A A A A A A A A A A A A A A A A A A A A A A B D b 2 5 m a W c v U G F j a 2 F n Z S 5 4 b W x Q S w E C L Q A U A A I A C A C h U s h M D 8 r p q 6 Q A A A D p A A A A E w A A A A A A A A A A A A A A A A D 0 A A A A W 0 N v b n R l b n R f V H l w Z X N d L n h t b F B L A Q I t A B Q A A g A I A K F S y E w x T G L 7 8 w E A A F I b A A A T A A A A A A A A A A A A A A A A A O U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7 A A A A A A A A P n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V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O D o y M D o w N i 4 4 M T A z M D Q 0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M y X z F f M j A v R 2 X D p G 5 k Z X J 0 Z X I g V H l w L n t z d G V w L D B 9 J n F 1 b 3 Q 7 L C Z x d W 9 0 O 1 N l Y 3 R p b 2 4 x L 1 9 n c m F 2 X z M y X z F f M j A v R 2 X D p G 5 k Z X J 0 Z X I g V H l w L n t 0 b 3 R h b F 9 0 a W 1 l L D F 9 J n F 1 b 3 Q 7 L C Z x d W 9 0 O 1 N l Y 3 R p b 2 4 x L 1 9 n c m F 2 X z M y X z F f M j A v R 2 X D p G 5 k Z X J 0 Z X I g V H l w L n t 3 b 3 J r X 3 R p b W V f b W l u L D J 9 J n F 1 b 3 Q 7 L C Z x d W 9 0 O 1 N l Y 3 R p b 2 4 x L 1 9 n c m F 2 X z M y X z F f M j A v R 2 X D p G 5 k Z X J 0 Z X I g V H l w L n t 3 b 3 J r X 3 R p b W V f Y X Z n L D N 9 J n F 1 b 3 Q 7 L C Z x d W 9 0 O 1 N l Y 3 R p b 2 4 x L 1 9 n c m F 2 X z M y X z F f M j A v R 2 X D p G 5 k Z X J 0 Z X I g V H l w L n t 3 b 3 J r X 3 R p b W V f b W F 4 L D R 9 J n F 1 b 3 Q 7 L C Z x d W 9 0 O 1 N l Y 3 R p b 2 4 x L 1 9 n c m F 2 X z M y X z F f M j A v R 2 X D p G 5 k Z X J 0 Z X I g V H l w L n t w c m V w X 3 R p b W V f b W l u L D V 9 J n F 1 b 3 Q 7 L C Z x d W 9 0 O 1 N l Y 3 R p b 2 4 x L 1 9 n c m F 2 X z M y X z F f M j A v R 2 X D p G 5 k Z X J 0 Z X I g V H l w L n t w c m V w X 3 R p b W V f Y X Z n L D Z 9 J n F 1 b 3 Q 7 L C Z x d W 9 0 O 1 N l Y 3 R p b 2 4 x L 1 9 n c m F 2 X z M y X z F f M j A v R 2 X D p G 5 k Z X J 0 Z X I g V H l w L n t w c m V w X 3 R p b W V f b W F 4 L D d 9 J n F 1 b 3 Q 7 L C Z x d W 9 0 O 1 N l Y 3 R p b 2 4 x L 1 9 n c m F 2 X z M y X z F f M j A v R 2 X D p G 5 k Z X J 0 Z X I g V H l w L n t j b 2 1 t X 3 R p b W V f b W l u L D h 9 J n F 1 b 3 Q 7 L C Z x d W 9 0 O 1 N l Y 3 R p b 2 4 x L 1 9 n c m F 2 X z M y X z F f M j A v R 2 X D p G 5 k Z X J 0 Z X I g V H l w L n t j b 2 1 t X 3 R p b W V f Y X Z n L D l 9 J n F 1 b 3 Q 7 L C Z x d W 9 0 O 1 N l Y 3 R p b 2 4 x L 1 9 n c m F 2 X z M y X z F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V 8 y M C 9 H Z c O k b m R l c n R l c i B U e X A u e 3 N 0 Z X A s M H 0 m c X V v d D s s J n F 1 b 3 Q 7 U 2 V j d G l v b j E v X 2 d y Y X Z f M z J f M V 8 y M C 9 H Z c O k b m R l c n R l c i B U e X A u e 3 R v d G F s X 3 R p b W U s M X 0 m c X V v d D s s J n F 1 b 3 Q 7 U 2 V j d G l v b j E v X 2 d y Y X Z f M z J f M V 8 y M C 9 H Z c O k b m R l c n R l c i B U e X A u e 3 d v c m t f d G l t Z V 9 t a W 4 s M n 0 m c X V v d D s s J n F 1 b 3 Q 7 U 2 V j d G l v b j E v X 2 d y Y X Z f M z J f M V 8 y M C 9 H Z c O k b m R l c n R l c i B U e X A u e 3 d v c m t f d G l t Z V 9 h d m c s M 3 0 m c X V v d D s s J n F 1 b 3 Q 7 U 2 V j d G l v b j E v X 2 d y Y X Z f M z J f M V 8 y M C 9 H Z c O k b m R l c n R l c i B U e X A u e 3 d v c m t f d G l t Z V 9 t Y X g s N H 0 m c X V v d D s s J n F 1 b 3 Q 7 U 2 V j d G l v b j E v X 2 d y Y X Z f M z J f M V 8 y M C 9 H Z c O k b m R l c n R l c i B U e X A u e 3 B y Z X B f d G l t Z V 9 t a W 4 s N X 0 m c X V v d D s s J n F 1 b 3 Q 7 U 2 V j d G l v b j E v X 2 d y Y X Z f M z J f M V 8 y M C 9 H Z c O k b m R l c n R l c i B U e X A u e 3 B y Z X B f d G l t Z V 9 h d m c s N n 0 m c X V v d D s s J n F 1 b 3 Q 7 U 2 V j d G l v b j E v X 2 d y Y X Z f M z J f M V 8 y M C 9 H Z c O k b m R l c n R l c i B U e X A u e 3 B y Z X B f d G l t Z V 9 t Y X g s N 3 0 m c X V v d D s s J n F 1 b 3 Q 7 U 2 V j d G l v b j E v X 2 d y Y X Z f M z J f M V 8 y M C 9 H Z c O k b m R l c n R l c i B U e X A u e 2 N v b W 1 f d G l t Z V 9 t a W 4 s O H 0 m c X V v d D s s J n F 1 b 3 Q 7 U 2 V j d G l v b j E v X 2 d y Y X Z f M z J f M V 8 y M C 9 H Z c O k b m R l c n R l c i B U e X A u e 2 N v b W 1 f d G l t Z V 9 h d m c s O X 0 m c X V v d D s s J n F 1 b 3 Q 7 U 2 V j d G l v b j E v X 2 d y Y X Z f M z J f M V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F f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M V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l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O D o y M D o x N C 4 z M j c 0 N D A 1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M y X z J f M j A v R 2 X D p G 5 k Z X J 0 Z X I g V H l w L n t z d G V w L D B 9 J n F 1 b 3 Q 7 L C Z x d W 9 0 O 1 N l Y 3 R p b 2 4 x L 1 9 n c m F 2 X z M y X z J f M j A v R 2 X D p G 5 k Z X J 0 Z X I g V H l w L n t 0 b 3 R h b F 9 0 a W 1 l L D F 9 J n F 1 b 3 Q 7 L C Z x d W 9 0 O 1 N l Y 3 R p b 2 4 x L 1 9 n c m F 2 X z M y X z J f M j A v R 2 X D p G 5 k Z X J 0 Z X I g V H l w L n t 3 b 3 J r X 3 R p b W V f b W l u L D J 9 J n F 1 b 3 Q 7 L C Z x d W 9 0 O 1 N l Y 3 R p b 2 4 x L 1 9 n c m F 2 X z M y X z J f M j A v R 2 X D p G 5 k Z X J 0 Z X I g V H l w L n t 3 b 3 J r X 3 R p b W V f Y X Z n L D N 9 J n F 1 b 3 Q 7 L C Z x d W 9 0 O 1 N l Y 3 R p b 2 4 x L 1 9 n c m F 2 X z M y X z J f M j A v R 2 X D p G 5 k Z X J 0 Z X I g V H l w L n t 3 b 3 J r X 3 R p b W V f b W F 4 L D R 9 J n F 1 b 3 Q 7 L C Z x d W 9 0 O 1 N l Y 3 R p b 2 4 x L 1 9 n c m F 2 X z M y X z J f M j A v R 2 X D p G 5 k Z X J 0 Z X I g V H l w L n t w c m V w X 3 R p b W V f b W l u L D V 9 J n F 1 b 3 Q 7 L C Z x d W 9 0 O 1 N l Y 3 R p b 2 4 x L 1 9 n c m F 2 X z M y X z J f M j A v R 2 X D p G 5 k Z X J 0 Z X I g V H l w L n t w c m V w X 3 R p b W V f Y X Z n L D Z 9 J n F 1 b 3 Q 7 L C Z x d W 9 0 O 1 N l Y 3 R p b 2 4 x L 1 9 n c m F 2 X z M y X z J f M j A v R 2 X D p G 5 k Z X J 0 Z X I g V H l w L n t w c m V w X 3 R p b W V f b W F 4 L D d 9 J n F 1 b 3 Q 7 L C Z x d W 9 0 O 1 N l Y 3 R p b 2 4 x L 1 9 n c m F 2 X z M y X z J f M j A v R 2 X D p G 5 k Z X J 0 Z X I g V H l w L n t j b 2 1 t X 3 R p b W V f b W l u L D h 9 J n F 1 b 3 Q 7 L C Z x d W 9 0 O 1 N l Y 3 R p b 2 4 x L 1 9 n c m F 2 X z M y X z J f M j A v R 2 X D p G 5 k Z X J 0 Z X I g V H l w L n t j b 2 1 t X 3 R p b W V f Y X Z n L D l 9 J n F 1 b 3 Q 7 L C Z x d W 9 0 O 1 N l Y 3 R p b 2 4 x L 1 9 n c m F 2 X z M y X z J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l 8 y M C 9 H Z c O k b m R l c n R l c i B U e X A u e 3 N 0 Z X A s M H 0 m c X V v d D s s J n F 1 b 3 Q 7 U 2 V j d G l v b j E v X 2 d y Y X Z f M z J f M l 8 y M C 9 H Z c O k b m R l c n R l c i B U e X A u e 3 R v d G F s X 3 R p b W U s M X 0 m c X V v d D s s J n F 1 b 3 Q 7 U 2 V j d G l v b j E v X 2 d y Y X Z f M z J f M l 8 y M C 9 H Z c O k b m R l c n R l c i B U e X A u e 3 d v c m t f d G l t Z V 9 t a W 4 s M n 0 m c X V v d D s s J n F 1 b 3 Q 7 U 2 V j d G l v b j E v X 2 d y Y X Z f M z J f M l 8 y M C 9 H Z c O k b m R l c n R l c i B U e X A u e 3 d v c m t f d G l t Z V 9 h d m c s M 3 0 m c X V v d D s s J n F 1 b 3 Q 7 U 2 V j d G l v b j E v X 2 d y Y X Z f M z J f M l 8 y M C 9 H Z c O k b m R l c n R l c i B U e X A u e 3 d v c m t f d G l t Z V 9 t Y X g s N H 0 m c X V v d D s s J n F 1 b 3 Q 7 U 2 V j d G l v b j E v X 2 d y Y X Z f M z J f M l 8 y M C 9 H Z c O k b m R l c n R l c i B U e X A u e 3 B y Z X B f d G l t Z V 9 t a W 4 s N X 0 m c X V v d D s s J n F 1 b 3 Q 7 U 2 V j d G l v b j E v X 2 d y Y X Z f M z J f M l 8 y M C 9 H Z c O k b m R l c n R l c i B U e X A u e 3 B y Z X B f d G l t Z V 9 h d m c s N n 0 m c X V v d D s s J n F 1 b 3 Q 7 U 2 V j d G l v b j E v X 2 d y Y X Z f M z J f M l 8 y M C 9 H Z c O k b m R l c n R l c i B U e X A u e 3 B y Z X B f d G l t Z V 9 t Y X g s N 3 0 m c X V v d D s s J n F 1 b 3 Q 7 U 2 V j d G l v b j E v X 2 d y Y X Z f M z J f M l 8 y M C 9 H Z c O k b m R l c n R l c i B U e X A u e 2 N v b W 1 f d G l t Z V 9 t a W 4 s O H 0 m c X V v d D s s J n F 1 b 3 Q 7 U 2 V j d G l v b j E v X 2 d y Y X Z f M z J f M l 8 y M C 9 H Z c O k b m R l c n R l c i B U e X A u e 2 N v b W 1 f d G l t Z V 9 h d m c s O X 0 m c X V v d D s s J n F 1 b 3 Q 7 U 2 V j d G l v b j E v X 2 d y Y X Z f M z J f M l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y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J f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M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0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N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O D o y M D o y M i 4 w N T I 2 N z I 2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M y X z R f M j A v R 2 X D p G 5 k Z X J 0 Z X I g V H l w L n t z d G V w L D B 9 J n F 1 b 3 Q 7 L C Z x d W 9 0 O 1 N l Y 3 R p b 2 4 x L 1 9 n c m F 2 X z M y X z R f M j A v R 2 X D p G 5 k Z X J 0 Z X I g V H l w L n t 0 b 3 R h b F 9 0 a W 1 l L D F 9 J n F 1 b 3 Q 7 L C Z x d W 9 0 O 1 N l Y 3 R p b 2 4 x L 1 9 n c m F 2 X z M y X z R f M j A v R 2 X D p G 5 k Z X J 0 Z X I g V H l w L n t 3 b 3 J r X 3 R p b W V f b W l u L D J 9 J n F 1 b 3 Q 7 L C Z x d W 9 0 O 1 N l Y 3 R p b 2 4 x L 1 9 n c m F 2 X z M y X z R f M j A v R 2 X D p G 5 k Z X J 0 Z X I g V H l w L n t 3 b 3 J r X 3 R p b W V f Y X Z n L D N 9 J n F 1 b 3 Q 7 L C Z x d W 9 0 O 1 N l Y 3 R p b 2 4 x L 1 9 n c m F 2 X z M y X z R f M j A v R 2 X D p G 5 k Z X J 0 Z X I g V H l w L n t 3 b 3 J r X 3 R p b W V f b W F 4 L D R 9 J n F 1 b 3 Q 7 L C Z x d W 9 0 O 1 N l Y 3 R p b 2 4 x L 1 9 n c m F 2 X z M y X z R f M j A v R 2 X D p G 5 k Z X J 0 Z X I g V H l w L n t w c m V w X 3 R p b W V f b W l u L D V 9 J n F 1 b 3 Q 7 L C Z x d W 9 0 O 1 N l Y 3 R p b 2 4 x L 1 9 n c m F 2 X z M y X z R f M j A v R 2 X D p G 5 k Z X J 0 Z X I g V H l w L n t w c m V w X 3 R p b W V f Y X Z n L D Z 9 J n F 1 b 3 Q 7 L C Z x d W 9 0 O 1 N l Y 3 R p b 2 4 x L 1 9 n c m F 2 X z M y X z R f M j A v R 2 X D p G 5 k Z X J 0 Z X I g V H l w L n t w c m V w X 3 R p b W V f b W F 4 L D d 9 J n F 1 b 3 Q 7 L C Z x d W 9 0 O 1 N l Y 3 R p b 2 4 x L 1 9 n c m F 2 X z M y X z R f M j A v R 2 X D p G 5 k Z X J 0 Z X I g V H l w L n t j b 2 1 t X 3 R p b W V f b W l u L D h 9 J n F 1 b 3 Q 7 L C Z x d W 9 0 O 1 N l Y 3 R p b 2 4 x L 1 9 n c m F 2 X z M y X z R f M j A v R 2 X D p G 5 k Z X J 0 Z X I g V H l w L n t j b 2 1 t X 3 R p b W V f Y X Z n L D l 9 J n F 1 b 3 Q 7 L C Z x d W 9 0 O 1 N l Y 3 R p b 2 4 x L 1 9 n c m F 2 X z M y X z R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N F 8 y M C 9 H Z c O k b m R l c n R l c i B U e X A u e 3 N 0 Z X A s M H 0 m c X V v d D s s J n F 1 b 3 Q 7 U 2 V j d G l v b j E v X 2 d y Y X Z f M z J f N F 8 y M C 9 H Z c O k b m R l c n R l c i B U e X A u e 3 R v d G F s X 3 R p b W U s M X 0 m c X V v d D s s J n F 1 b 3 Q 7 U 2 V j d G l v b j E v X 2 d y Y X Z f M z J f N F 8 y M C 9 H Z c O k b m R l c n R l c i B U e X A u e 3 d v c m t f d G l t Z V 9 t a W 4 s M n 0 m c X V v d D s s J n F 1 b 3 Q 7 U 2 V j d G l v b j E v X 2 d y Y X Z f M z J f N F 8 y M C 9 H Z c O k b m R l c n R l c i B U e X A u e 3 d v c m t f d G l t Z V 9 h d m c s M 3 0 m c X V v d D s s J n F 1 b 3 Q 7 U 2 V j d G l v b j E v X 2 d y Y X Z f M z J f N F 8 y M C 9 H Z c O k b m R l c n R l c i B U e X A u e 3 d v c m t f d G l t Z V 9 t Y X g s N H 0 m c X V v d D s s J n F 1 b 3 Q 7 U 2 V j d G l v b j E v X 2 d y Y X Z f M z J f N F 8 y M C 9 H Z c O k b m R l c n R l c i B U e X A u e 3 B y Z X B f d G l t Z V 9 t a W 4 s N X 0 m c X V v d D s s J n F 1 b 3 Q 7 U 2 V j d G l v b j E v X 2 d y Y X Z f M z J f N F 8 y M C 9 H Z c O k b m R l c n R l c i B U e X A u e 3 B y Z X B f d G l t Z V 9 h d m c s N n 0 m c X V v d D s s J n F 1 b 3 Q 7 U 2 V j d G l v b j E v X 2 d y Y X Z f M z J f N F 8 y M C 9 H Z c O k b m R l c n R l c i B U e X A u e 3 B y Z X B f d G l t Z V 9 t Y X g s N 3 0 m c X V v d D s s J n F 1 b 3 Q 7 U 2 V j d G l v b j E v X 2 d y Y X Z f M z J f N F 8 y M C 9 H Z c O k b m R l c n R l c i B U e X A u e 2 N v b W 1 f d G l t Z V 9 t a W 4 s O H 0 m c X V v d D s s J n F 1 b 3 Q 7 U 2 V j d G l v b j E v X 2 d y Y X Z f M z J f N F 8 y M C 9 H Z c O k b m R l c n R l c i B U e X A u e 2 N v b W 1 f d G l t Z V 9 h d m c s O X 0 m c X V v d D s s J n F 1 b 3 Q 7 U 2 V j d G l v b j E v X 2 d y Y X Z f M z J f N F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0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R f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N F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4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O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O D o y M D o y O S 4 4 N z k 5 N j g w W i I g L z 4 8 R W 5 0 c n k g V H l w Z T 0 i R m l s b E N v b H V t b l R 5 c G V z I i B W Y W x 1 Z T 0 i c 0 F 3 V U Z C U U 1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M y X z h f M j A v R 2 X D p G 5 k Z X J 0 Z X I g V H l w L n t z d G V w L D B 9 J n F 1 b 3 Q 7 L C Z x d W 9 0 O 1 N l Y 3 R p b 2 4 x L 1 9 n c m F 2 X z M y X z h f M j A v R 2 X D p G 5 k Z X J 0 Z X I g V H l w L n t 0 b 3 R h b F 9 0 a W 1 l L D F 9 J n F 1 b 3 Q 7 L C Z x d W 9 0 O 1 N l Y 3 R p b 2 4 x L 1 9 n c m F 2 X z M y X z h f M j A v R 2 X D p G 5 k Z X J 0 Z X I g V H l w L n t 3 b 3 J r X 3 R p b W V f b W l u L D J 9 J n F 1 b 3 Q 7 L C Z x d W 9 0 O 1 N l Y 3 R p b 2 4 x L 1 9 n c m F 2 X z M y X z h f M j A v R 2 X D p G 5 k Z X J 0 Z X I g V H l w L n t 3 b 3 J r X 3 R p b W V f Y X Z n L D N 9 J n F 1 b 3 Q 7 L C Z x d W 9 0 O 1 N l Y 3 R p b 2 4 x L 1 9 n c m F 2 X z M y X z h f M j A v R 2 X D p G 5 k Z X J 0 Z X I g V H l w L n t 3 b 3 J r X 3 R p b W V f b W F 4 L D R 9 J n F 1 b 3 Q 7 L C Z x d W 9 0 O 1 N l Y 3 R p b 2 4 x L 1 9 n c m F 2 X z M y X z h f M j A v R 2 X D p G 5 k Z X J 0 Z X I g V H l w L n t w c m V w X 3 R p b W V f b W l u L D V 9 J n F 1 b 3 Q 7 L C Z x d W 9 0 O 1 N l Y 3 R p b 2 4 x L 1 9 n c m F 2 X z M y X z h f M j A v R 2 X D p G 5 k Z X J 0 Z X I g V H l w L n t w c m V w X 3 R p b W V f Y X Z n L D Z 9 J n F 1 b 3 Q 7 L C Z x d W 9 0 O 1 N l Y 3 R p b 2 4 x L 1 9 n c m F 2 X z M y X z h f M j A v R 2 X D p G 5 k Z X J 0 Z X I g V H l w L n t w c m V w X 3 R p b W V f b W F 4 L D d 9 J n F 1 b 3 Q 7 L C Z x d W 9 0 O 1 N l Y 3 R p b 2 4 x L 1 9 n c m F 2 X z M y X z h f M j A v R 2 X D p G 5 k Z X J 0 Z X I g V H l w L n t j b 2 1 t X 3 R p b W V f b W l u L D h 9 J n F 1 b 3 Q 7 L C Z x d W 9 0 O 1 N l Y 3 R p b 2 4 x L 1 9 n c m F 2 X z M y X z h f M j A v R 2 X D p G 5 k Z X J 0 Z X I g V H l w L n t j b 2 1 t X 3 R p b W V f Y X Z n L D l 9 J n F 1 b 3 Q 7 L C Z x d W 9 0 O 1 N l Y 3 R p b 2 4 x L 1 9 n c m F 2 X z M y X z h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O F 8 y M C 9 H Z c O k b m R l c n R l c i B U e X A u e 3 N 0 Z X A s M H 0 m c X V v d D s s J n F 1 b 3 Q 7 U 2 V j d G l v b j E v X 2 d y Y X Z f M z J f O F 8 y M C 9 H Z c O k b m R l c n R l c i B U e X A u e 3 R v d G F s X 3 R p b W U s M X 0 m c X V v d D s s J n F 1 b 3 Q 7 U 2 V j d G l v b j E v X 2 d y Y X Z f M z J f O F 8 y M C 9 H Z c O k b m R l c n R l c i B U e X A u e 3 d v c m t f d G l t Z V 9 t a W 4 s M n 0 m c X V v d D s s J n F 1 b 3 Q 7 U 2 V j d G l v b j E v X 2 d y Y X Z f M z J f O F 8 y M C 9 H Z c O k b m R l c n R l c i B U e X A u e 3 d v c m t f d G l t Z V 9 h d m c s M 3 0 m c X V v d D s s J n F 1 b 3 Q 7 U 2 V j d G l v b j E v X 2 d y Y X Z f M z J f O F 8 y M C 9 H Z c O k b m R l c n R l c i B U e X A u e 3 d v c m t f d G l t Z V 9 t Y X g s N H 0 m c X V v d D s s J n F 1 b 3 Q 7 U 2 V j d G l v b j E v X 2 d y Y X Z f M z J f O F 8 y M C 9 H Z c O k b m R l c n R l c i B U e X A u e 3 B y Z X B f d G l t Z V 9 t a W 4 s N X 0 m c X V v d D s s J n F 1 b 3 Q 7 U 2 V j d G l v b j E v X 2 d y Y X Z f M z J f O F 8 y M C 9 H Z c O k b m R l c n R l c i B U e X A u e 3 B y Z X B f d G l t Z V 9 h d m c s N n 0 m c X V v d D s s J n F 1 b 3 Q 7 U 2 V j d G l v b j E v X 2 d y Y X Z f M z J f O F 8 y M C 9 H Z c O k b m R l c n R l c i B U e X A u e 3 B y Z X B f d G l t Z V 9 t Y X g s N 3 0 m c X V v d D s s J n F 1 b 3 Q 7 U 2 V j d G l v b j E v X 2 d y Y X Z f M z J f O F 8 y M C 9 H Z c O k b m R l c n R l c i B U e X A u e 2 N v b W 1 f d G l t Z V 9 t a W 4 s O H 0 m c X V v d D s s J n F 1 b 3 Q 7 U 2 V j d G l v b j E v X 2 d y Y X Z f M z J f O F 8 y M C 9 H Z c O k b m R l c n R l c i B U e X A u e 2 N v b W 1 f d G l t Z V 9 h d m c s O X 0 m c X V v d D s s J n F 1 b 3 Q 7 U 2 V j d G l v b j E v X 2 d y Y X Z f M z J f O F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4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h f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z J f O F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2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4 O j I w O j M 1 L j g w O T g w O D V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Z f M j A v R 2 X D p G 5 k Z X J 0 Z X I g V H l w L n t z d G V w L D B 9 J n F 1 b 3 Q 7 L C Z x d W 9 0 O 1 N l Y 3 R p b 2 4 x L 1 9 n c m F 2 X z M y X z E 2 X z I w L 0 d l w 6 R u Z G V y d G V y I F R 5 c C 5 7 d G 9 0 Y W x f d G l t Z S w x f S Z x d W 9 0 O y w m c X V v d D t T Z W N 0 a W 9 u M S 9 f Z 3 J h d l 8 z M l 8 x N l 8 y M C 9 H Z c O k b m R l c n R l c i B U e X A u e 3 d v c m t f d G l t Z V 9 t a W 4 s M n 0 m c X V v d D s s J n F 1 b 3 Q 7 U 2 V j d G l v b j E v X 2 d y Y X Z f M z J f M T Z f M j A v R 2 X D p G 5 k Z X J 0 Z X I g V H l w L n t 3 b 3 J r X 3 R p b W V f Y X Z n L D N 9 J n F 1 b 3 Q 7 L C Z x d W 9 0 O 1 N l Y 3 R p b 2 4 x L 1 9 n c m F 2 X z M y X z E 2 X z I w L 0 d l w 6 R u Z G V y d G V y I F R 5 c C 5 7 d 2 9 y a 1 9 0 a W 1 l X 2 1 h e C w 0 f S Z x d W 9 0 O y w m c X V v d D t T Z W N 0 a W 9 u M S 9 f Z 3 J h d l 8 z M l 8 x N l 8 y M C 9 H Z c O k b m R l c n R l c i B U e X A u e 3 B y Z X B f d G l t Z V 9 t a W 4 s N X 0 m c X V v d D s s J n F 1 b 3 Q 7 U 2 V j d G l v b j E v X 2 d y Y X Z f M z J f M T Z f M j A v R 2 X D p G 5 k Z X J 0 Z X I g V H l w L n t w c m V w X 3 R p b W V f Y X Z n L D Z 9 J n F 1 b 3 Q 7 L C Z x d W 9 0 O 1 N l Y 3 R p b 2 4 x L 1 9 n c m F 2 X z M y X z E 2 X z I w L 0 d l w 6 R u Z G V y d G V y I F R 5 c C 5 7 c H J l c F 9 0 a W 1 l X 2 1 h e C w 3 f S Z x d W 9 0 O y w m c X V v d D t T Z W N 0 a W 9 u M S 9 f Z 3 J h d l 8 z M l 8 x N l 8 y M C 9 H Z c O k b m R l c n R l c i B U e X A u e 2 N v b W 1 f d G l t Z V 9 t a W 4 s O H 0 m c X V v d D s s J n F 1 b 3 Q 7 U 2 V j d G l v b j E v X 2 d y Y X Z f M z J f M T Z f M j A v R 2 X D p G 5 k Z X J 0 Z X I g V H l w L n t j b 2 1 t X 3 R p b W V f Y X Z n L D l 9 J n F 1 b 3 Q 7 L C Z x d W 9 0 O 1 N l Y 3 R p b 2 4 x L 1 9 n c m F 2 X z M y X z E 2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2 X z I w L 0 d l w 6 R u Z G V y d G V y I F R 5 c C 5 7 c 3 R l c C w w f S Z x d W 9 0 O y w m c X V v d D t T Z W N 0 a W 9 u M S 9 f Z 3 J h d l 8 z M l 8 x N l 8 y M C 9 H Z c O k b m R l c n R l c i B U e X A u e 3 R v d G F s X 3 R p b W U s M X 0 m c X V v d D s s J n F 1 b 3 Q 7 U 2 V j d G l v b j E v X 2 d y Y X Z f M z J f M T Z f M j A v R 2 X D p G 5 k Z X J 0 Z X I g V H l w L n t 3 b 3 J r X 3 R p b W V f b W l u L D J 9 J n F 1 b 3 Q 7 L C Z x d W 9 0 O 1 N l Y 3 R p b 2 4 x L 1 9 n c m F 2 X z M y X z E 2 X z I w L 0 d l w 6 R u Z G V y d G V y I F R 5 c C 5 7 d 2 9 y a 1 9 0 a W 1 l X 2 F 2 Z y w z f S Z x d W 9 0 O y w m c X V v d D t T Z W N 0 a W 9 u M S 9 f Z 3 J h d l 8 z M l 8 x N l 8 y M C 9 H Z c O k b m R l c n R l c i B U e X A u e 3 d v c m t f d G l t Z V 9 t Y X g s N H 0 m c X V v d D s s J n F 1 b 3 Q 7 U 2 V j d G l v b j E v X 2 d y Y X Z f M z J f M T Z f M j A v R 2 X D p G 5 k Z X J 0 Z X I g V H l w L n t w c m V w X 3 R p b W V f b W l u L D V 9 J n F 1 b 3 Q 7 L C Z x d W 9 0 O 1 N l Y 3 R p b 2 4 x L 1 9 n c m F 2 X z M y X z E 2 X z I w L 0 d l w 6 R u Z G V y d G V y I F R 5 c C 5 7 c H J l c F 9 0 a W 1 l X 2 F 2 Z y w 2 f S Z x d W 9 0 O y w m c X V v d D t T Z W N 0 a W 9 u M S 9 f Z 3 J h d l 8 z M l 8 x N l 8 y M C 9 H Z c O k b m R l c n R l c i B U e X A u e 3 B y Z X B f d G l t Z V 9 t Y X g s N 3 0 m c X V v d D s s J n F 1 b 3 Q 7 U 2 V j d G l v b j E v X 2 d y Y X Z f M z J f M T Z f M j A v R 2 X D p G 5 k Z X J 0 Z X I g V H l w L n t j b 2 1 t X 3 R p b W V f b W l u L D h 9 J n F 1 b 3 Q 7 L C Z x d W 9 0 O 1 N l Y 3 R p b 2 4 x L 1 9 n c m F 2 X z M y X z E 2 X z I w L 0 d l w 6 R u Z G V y d G V y I F R 5 c C 5 7 Y 2 9 t b V 9 0 a W 1 l X 2 F 2 Z y w 5 f S Z x d W 9 0 O y w m c X V v d D t T Z W N 0 a W 9 u M S 9 f Z 3 J h d l 8 z M l 8 x N l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l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z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M y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4 O j I w O j Q y L j Q 0 N T U 5 N z J a I i A v P j x F b n R y e S B U e X B l P S J G a W x s Q 2 9 s d W 1 u V H l w Z X M i I F Z h b H V l P S J z Q X d V R k J R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z J f M j A v R 2 X D p G 5 k Z X J 0 Z X I g V H l w L n t z d G V w L D B 9 J n F 1 b 3 Q 7 L C Z x d W 9 0 O 1 N l Y 3 R p b 2 4 x L 1 9 n c m F 2 X z M y X z M y X z I w L 0 d l w 6 R u Z G V y d G V y I F R 5 c C 5 7 d G 9 0 Y W x f d G l t Z S w x f S Z x d W 9 0 O y w m c X V v d D t T Z W N 0 a W 9 u M S 9 f Z 3 J h d l 8 z M l 8 z M l 8 y M C 9 H Z c O k b m R l c n R l c i B U e X A u e 3 d v c m t f d G l t Z V 9 t a W 4 s M n 0 m c X V v d D s s J n F 1 b 3 Q 7 U 2 V j d G l v b j E v X 2 d y Y X Z f M z J f M z J f M j A v R 2 X D p G 5 k Z X J 0 Z X I g V H l w L n t 3 b 3 J r X 3 R p b W V f Y X Z n L D N 9 J n F 1 b 3 Q 7 L C Z x d W 9 0 O 1 N l Y 3 R p b 2 4 x L 1 9 n c m F 2 X z M y X z M y X z I w L 0 d l w 6 R u Z G V y d G V y I F R 5 c C 5 7 d 2 9 y a 1 9 0 a W 1 l X 2 1 h e C w 0 f S Z x d W 9 0 O y w m c X V v d D t T Z W N 0 a W 9 u M S 9 f Z 3 J h d l 8 z M l 8 z M l 8 y M C 9 H Z c O k b m R l c n R l c i B U e X A u e 3 B y Z X B f d G l t Z V 9 t a W 4 s N X 0 m c X V v d D s s J n F 1 b 3 Q 7 U 2 V j d G l v b j E v X 2 d y Y X Z f M z J f M z J f M j A v R 2 X D p G 5 k Z X J 0 Z X I g V H l w L n t w c m V w X 3 R p b W V f Y X Z n L D Z 9 J n F 1 b 3 Q 7 L C Z x d W 9 0 O 1 N l Y 3 R p b 2 4 x L 1 9 n c m F 2 X z M y X z M y X z I w L 0 d l w 6 R u Z G V y d G V y I F R 5 c C 5 7 c H J l c F 9 0 a W 1 l X 2 1 h e C w 3 f S Z x d W 9 0 O y w m c X V v d D t T Z W N 0 a W 9 u M S 9 f Z 3 J h d l 8 z M l 8 z M l 8 y M C 9 H Z c O k b m R l c n R l c i B U e X A u e 2 N v b W 1 f d G l t Z V 9 t a W 4 s O H 0 m c X V v d D s s J n F 1 b 3 Q 7 U 2 V j d G l v b j E v X 2 d y Y X Z f M z J f M z J f M j A v R 2 X D p G 5 k Z X J 0 Z X I g V H l w L n t j b 2 1 t X 3 R p b W V f Y X Z n L D l 9 J n F 1 b 3 Q 7 L C Z x d W 9 0 O 1 N l Y 3 R p b 2 4 x L 1 9 n c m F 2 X z M y X z M y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M y X z I w L 0 d l w 6 R u Z G V y d G V y I F R 5 c C 5 7 c 3 R l c C w w f S Z x d W 9 0 O y w m c X V v d D t T Z W N 0 a W 9 u M S 9 f Z 3 J h d l 8 z M l 8 z M l 8 y M C 9 H Z c O k b m R l c n R l c i B U e X A u e 3 R v d G F s X 3 R p b W U s M X 0 m c X V v d D s s J n F 1 b 3 Q 7 U 2 V j d G l v b j E v X 2 d y Y X Z f M z J f M z J f M j A v R 2 X D p G 5 k Z X J 0 Z X I g V H l w L n t 3 b 3 J r X 3 R p b W V f b W l u L D J 9 J n F 1 b 3 Q 7 L C Z x d W 9 0 O 1 N l Y 3 R p b 2 4 x L 1 9 n c m F 2 X z M y X z M y X z I w L 0 d l w 6 R u Z G V y d G V y I F R 5 c C 5 7 d 2 9 y a 1 9 0 a W 1 l X 2 F 2 Z y w z f S Z x d W 9 0 O y w m c X V v d D t T Z W N 0 a W 9 u M S 9 f Z 3 J h d l 8 z M l 8 z M l 8 y M C 9 H Z c O k b m R l c n R l c i B U e X A u e 3 d v c m t f d G l t Z V 9 t Y X g s N H 0 m c X V v d D s s J n F 1 b 3 Q 7 U 2 V j d G l v b j E v X 2 d y Y X Z f M z J f M z J f M j A v R 2 X D p G 5 k Z X J 0 Z X I g V H l w L n t w c m V w X 3 R p b W V f b W l u L D V 9 J n F 1 b 3 Q 7 L C Z x d W 9 0 O 1 N l Y 3 R p b 2 4 x L 1 9 n c m F 2 X z M y X z M y X z I w L 0 d l w 6 R u Z G V y d G V y I F R 5 c C 5 7 c H J l c F 9 0 a W 1 l X 2 F 2 Z y w 2 f S Z x d W 9 0 O y w m c X V v d D t T Z W N 0 a W 9 u M S 9 f Z 3 J h d l 8 z M l 8 z M l 8 y M C 9 H Z c O k b m R l c n R l c i B U e X A u e 3 B y Z X B f d G l t Z V 9 t Y X g s N 3 0 m c X V v d D s s J n F 1 b 3 Q 7 U 2 V j d G l v b j E v X 2 d y Y X Z f M z J f M z J f M j A v R 2 X D p G 5 k Z X J 0 Z X I g V H l w L n t j b 2 1 t X 3 R p b W V f b W l u L D h 9 J n F 1 b 3 Q 7 L C Z x d W 9 0 O 1 N l Y 3 R p b 2 4 x L 1 9 n c m F 2 X z M y X z M y X z I w L 0 d l w 6 R u Z G V y d G V y I F R 5 c C 5 7 Y 2 9 t b V 9 0 a W 1 l X 2 F 2 Z y w 5 f S Z x d W 9 0 O y w m c X V v d D t T Z W N 0 a W 9 u M S 9 f Z 3 J h d l 8 z M l 8 z M l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z M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z M l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z M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z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Y 0 X z M y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4 O j I w O j Q 5 L j M 3 O T A 2 N z R a I i A v P j x F b n R y e S B U e X B l P S J G a W x s Q 2 9 s d W 1 u V H l w Z X M i I F Z h b H V l P S J z Q X d V R k J R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N j R f M z J f M j A v R 2 X D p G 5 k Z X J 0 Z X I g V H l w L n t z d G V w L D B 9 J n F 1 b 3 Q 7 L C Z x d W 9 0 O 1 N l Y 3 R p b 2 4 x L 1 9 n c m F 2 X z Y 0 X z M y X z I w L 0 d l w 6 R u Z G V y d G V y I F R 5 c C 5 7 d G 9 0 Y W x f d G l t Z S w x f S Z x d W 9 0 O y w m c X V v d D t T Z W N 0 a W 9 u M S 9 f Z 3 J h d l 8 2 N F 8 z M l 8 y M C 9 H Z c O k b m R l c n R l c i B U e X A u e 3 d v c m t f d G l t Z V 9 t a W 4 s M n 0 m c X V v d D s s J n F 1 b 3 Q 7 U 2 V j d G l v b j E v X 2 d y Y X Z f N j R f M z J f M j A v R 2 X D p G 5 k Z X J 0 Z X I g V H l w L n t 3 b 3 J r X 3 R p b W V f Y X Z n L D N 9 J n F 1 b 3 Q 7 L C Z x d W 9 0 O 1 N l Y 3 R p b 2 4 x L 1 9 n c m F 2 X z Y 0 X z M y X z I w L 0 d l w 6 R u Z G V y d G V y I F R 5 c C 5 7 d 2 9 y a 1 9 0 a W 1 l X 2 1 h e C w 0 f S Z x d W 9 0 O y w m c X V v d D t T Z W N 0 a W 9 u M S 9 f Z 3 J h d l 8 2 N F 8 z M l 8 y M C 9 H Z c O k b m R l c n R l c i B U e X A u e 3 B y Z X B f d G l t Z V 9 t a W 4 s N X 0 m c X V v d D s s J n F 1 b 3 Q 7 U 2 V j d G l v b j E v X 2 d y Y X Z f N j R f M z J f M j A v R 2 X D p G 5 k Z X J 0 Z X I g V H l w L n t w c m V w X 3 R p b W V f Y X Z n L D Z 9 J n F 1 b 3 Q 7 L C Z x d W 9 0 O 1 N l Y 3 R p b 2 4 x L 1 9 n c m F 2 X z Y 0 X z M y X z I w L 0 d l w 6 R u Z G V y d G V y I F R 5 c C 5 7 c H J l c F 9 0 a W 1 l X 2 1 h e C w 3 f S Z x d W 9 0 O y w m c X V v d D t T Z W N 0 a W 9 u M S 9 f Z 3 J h d l 8 2 N F 8 z M l 8 y M C 9 H Z c O k b m R l c n R l c i B U e X A u e 2 N v b W 1 f d G l t Z V 9 t a W 4 s O H 0 m c X V v d D s s J n F 1 b 3 Q 7 U 2 V j d G l v b j E v X 2 d y Y X Z f N j R f M z J f M j A v R 2 X D p G 5 k Z X J 0 Z X I g V H l w L n t j b 2 1 t X 3 R p b W V f Y X Z n L D l 9 J n F 1 b 3 Q 7 L C Z x d W 9 0 O 1 N l Y 3 R p b 2 4 x L 1 9 n c m F 2 X z Y 0 X z M y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Y 0 X z M y X z I w L 0 d l w 6 R u Z G V y d G V y I F R 5 c C 5 7 c 3 R l c C w w f S Z x d W 9 0 O y w m c X V v d D t T Z W N 0 a W 9 u M S 9 f Z 3 J h d l 8 2 N F 8 z M l 8 y M C 9 H Z c O k b m R l c n R l c i B U e X A u e 3 R v d G F s X 3 R p b W U s M X 0 m c X V v d D s s J n F 1 b 3 Q 7 U 2 V j d G l v b j E v X 2 d y Y X Z f N j R f M z J f M j A v R 2 X D p G 5 k Z X J 0 Z X I g V H l w L n t 3 b 3 J r X 3 R p b W V f b W l u L D J 9 J n F 1 b 3 Q 7 L C Z x d W 9 0 O 1 N l Y 3 R p b 2 4 x L 1 9 n c m F 2 X z Y 0 X z M y X z I w L 0 d l w 6 R u Z G V y d G V y I F R 5 c C 5 7 d 2 9 y a 1 9 0 a W 1 l X 2 F 2 Z y w z f S Z x d W 9 0 O y w m c X V v d D t T Z W N 0 a W 9 u M S 9 f Z 3 J h d l 8 2 N F 8 z M l 8 y M C 9 H Z c O k b m R l c n R l c i B U e X A u e 3 d v c m t f d G l t Z V 9 t Y X g s N H 0 m c X V v d D s s J n F 1 b 3 Q 7 U 2 V j d G l v b j E v X 2 d y Y X Z f N j R f M z J f M j A v R 2 X D p G 5 k Z X J 0 Z X I g V H l w L n t w c m V w X 3 R p b W V f b W l u L D V 9 J n F 1 b 3 Q 7 L C Z x d W 9 0 O 1 N l Y 3 R p b 2 4 x L 1 9 n c m F 2 X z Y 0 X z M y X z I w L 0 d l w 6 R u Z G V y d G V y I F R 5 c C 5 7 c H J l c F 9 0 a W 1 l X 2 F 2 Z y w 2 f S Z x d W 9 0 O y w m c X V v d D t T Z W N 0 a W 9 u M S 9 f Z 3 J h d l 8 2 N F 8 z M l 8 y M C 9 H Z c O k b m R l c n R l c i B U e X A u e 3 B y Z X B f d G l t Z V 9 t Y X g s N 3 0 m c X V v d D s s J n F 1 b 3 Q 7 U 2 V j d G l v b j E v X 2 d y Y X Z f N j R f M z J f M j A v R 2 X D p G 5 k Z X J 0 Z X I g V H l w L n t j b 2 1 t X 3 R p b W V f b W l u L D h 9 J n F 1 b 3 Q 7 L C Z x d W 9 0 O 1 N l Y 3 R p b 2 4 x L 1 9 n c m F 2 X z Y 0 X z M y X z I w L 0 d l w 6 R u Z G V y d G V y I F R 5 c C 5 7 Y 2 9 t b V 9 0 a W 1 l X 2 F 2 Z y w 5 f S Z x d W 9 0 O y w m c X V v d D t T Z W N 0 a W 9 u M S 9 f Z 3 J h d l 8 2 N F 8 z M l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2 N F 8 z M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z M l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z M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2 N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Y 0 X z Y 0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4 O j I w O j U 2 L j M 0 O D A 5 N j l a I i A v P j x F b n R y e S B U e X B l P S J G a W x s Q 2 9 s d W 1 u V H l w Z X M i I F Z h b H V l P S J z Q X d V R k J R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N j R f N j R f M j A v R 2 X D p G 5 k Z X J 0 Z X I g V H l w L n t z d G V w L D B 9 J n F 1 b 3 Q 7 L C Z x d W 9 0 O 1 N l Y 3 R p b 2 4 x L 1 9 n c m F 2 X z Y 0 X z Y 0 X z I w L 0 d l w 6 R u Z G V y d G V y I F R 5 c C 5 7 d G 9 0 Y W x f d G l t Z S w x f S Z x d W 9 0 O y w m c X V v d D t T Z W N 0 a W 9 u M S 9 f Z 3 J h d l 8 2 N F 8 2 N F 8 y M C 9 H Z c O k b m R l c n R l c i B U e X A u e 3 d v c m t f d G l t Z V 9 t a W 4 s M n 0 m c X V v d D s s J n F 1 b 3 Q 7 U 2 V j d G l v b j E v X 2 d y Y X Z f N j R f N j R f M j A v R 2 X D p G 5 k Z X J 0 Z X I g V H l w L n t 3 b 3 J r X 3 R p b W V f Y X Z n L D N 9 J n F 1 b 3 Q 7 L C Z x d W 9 0 O 1 N l Y 3 R p b 2 4 x L 1 9 n c m F 2 X z Y 0 X z Y 0 X z I w L 0 d l w 6 R u Z G V y d G V y I F R 5 c C 5 7 d 2 9 y a 1 9 0 a W 1 l X 2 1 h e C w 0 f S Z x d W 9 0 O y w m c X V v d D t T Z W N 0 a W 9 u M S 9 f Z 3 J h d l 8 2 N F 8 2 N F 8 y M C 9 H Z c O k b m R l c n R l c i B U e X A u e 3 B y Z X B f d G l t Z V 9 t a W 4 s N X 0 m c X V v d D s s J n F 1 b 3 Q 7 U 2 V j d G l v b j E v X 2 d y Y X Z f N j R f N j R f M j A v R 2 X D p G 5 k Z X J 0 Z X I g V H l w L n t w c m V w X 3 R p b W V f Y X Z n L D Z 9 J n F 1 b 3 Q 7 L C Z x d W 9 0 O 1 N l Y 3 R p b 2 4 x L 1 9 n c m F 2 X z Y 0 X z Y 0 X z I w L 0 d l w 6 R u Z G V y d G V y I F R 5 c C 5 7 c H J l c F 9 0 a W 1 l X 2 1 h e C w 3 f S Z x d W 9 0 O y w m c X V v d D t T Z W N 0 a W 9 u M S 9 f Z 3 J h d l 8 2 N F 8 2 N F 8 y M C 9 H Z c O k b m R l c n R l c i B U e X A u e 2 N v b W 1 f d G l t Z V 9 t a W 4 s O H 0 m c X V v d D s s J n F 1 b 3 Q 7 U 2 V j d G l v b j E v X 2 d y Y X Z f N j R f N j R f M j A v R 2 X D p G 5 k Z X J 0 Z X I g V H l w L n t j b 2 1 t X 3 R p b W V f Y X Z n L D l 9 J n F 1 b 3 Q 7 L C Z x d W 9 0 O 1 N l Y 3 R p b 2 4 x L 1 9 n c m F 2 X z Y 0 X z Y 0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Y 0 X z Y 0 X z I w L 0 d l w 6 R u Z G V y d G V y I F R 5 c C 5 7 c 3 R l c C w w f S Z x d W 9 0 O y w m c X V v d D t T Z W N 0 a W 9 u M S 9 f Z 3 J h d l 8 2 N F 8 2 N F 8 y M C 9 H Z c O k b m R l c n R l c i B U e X A u e 3 R v d G F s X 3 R p b W U s M X 0 m c X V v d D s s J n F 1 b 3 Q 7 U 2 V j d G l v b j E v X 2 d y Y X Z f N j R f N j R f M j A v R 2 X D p G 5 k Z X J 0 Z X I g V H l w L n t 3 b 3 J r X 3 R p b W V f b W l u L D J 9 J n F 1 b 3 Q 7 L C Z x d W 9 0 O 1 N l Y 3 R p b 2 4 x L 1 9 n c m F 2 X z Y 0 X z Y 0 X z I w L 0 d l w 6 R u Z G V y d G V y I F R 5 c C 5 7 d 2 9 y a 1 9 0 a W 1 l X 2 F 2 Z y w z f S Z x d W 9 0 O y w m c X V v d D t T Z W N 0 a W 9 u M S 9 f Z 3 J h d l 8 2 N F 8 2 N F 8 y M C 9 H Z c O k b m R l c n R l c i B U e X A u e 3 d v c m t f d G l t Z V 9 t Y X g s N H 0 m c X V v d D s s J n F 1 b 3 Q 7 U 2 V j d G l v b j E v X 2 d y Y X Z f N j R f N j R f M j A v R 2 X D p G 5 k Z X J 0 Z X I g V H l w L n t w c m V w X 3 R p b W V f b W l u L D V 9 J n F 1 b 3 Q 7 L C Z x d W 9 0 O 1 N l Y 3 R p b 2 4 x L 1 9 n c m F 2 X z Y 0 X z Y 0 X z I w L 0 d l w 6 R u Z G V y d G V y I F R 5 c C 5 7 c H J l c F 9 0 a W 1 l X 2 F 2 Z y w 2 f S Z x d W 9 0 O y w m c X V v d D t T Z W N 0 a W 9 u M S 9 f Z 3 J h d l 8 2 N F 8 2 N F 8 y M C 9 H Z c O k b m R l c n R l c i B U e X A u e 3 B y Z X B f d G l t Z V 9 t Y X g s N 3 0 m c X V v d D s s J n F 1 b 3 Q 7 U 2 V j d G l v b j E v X 2 d y Y X Z f N j R f N j R f M j A v R 2 X D p G 5 k Z X J 0 Z X I g V H l w L n t j b 2 1 t X 3 R p b W V f b W l u L D h 9 J n F 1 b 3 Q 7 L C Z x d W 9 0 O 1 N l Y 3 R p b 2 4 x L 1 9 n c m F 2 X z Y 0 X z Y 0 X z I w L 0 d l w 6 R u Z G V y d G V y I F R 5 c C 5 7 Y 2 9 t b V 9 0 a W 1 l X 2 F 2 Z y w 5 f S Z x d W 9 0 O y w m c X V v d D t T Z W N 0 a W 9 u M S 9 f Z 3 J h d l 8 2 N F 8 2 N F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2 N F 8 2 N F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2 N F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2 N F 8 2 N F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M j h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3 J h d l 8 x M j h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h U M D g 6 M j E 6 M D M u M T k x N D Q z N F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x M j h f M j A v R 2 X D p G 5 k Z X J 0 Z X I g V H l w L n t z d G V w L D B 9 J n F 1 b 3 Q 7 L C Z x d W 9 0 O 1 N l Y 3 R p b 2 4 x L 1 9 n c m F 2 X z E y O F 8 y M C 9 H Z c O k b m R l c n R l c i B U e X A u e 3 R v d G F s X 3 R p b W U s M X 0 m c X V v d D s s J n F 1 b 3 Q 7 U 2 V j d G l v b j E v X 2 d y Y X Z f M T I 4 X z I w L 0 d l w 6 R u Z G V y d G V y I F R 5 c C 5 7 d 2 9 y a 1 9 0 a W 1 l X 2 1 p b i w y f S Z x d W 9 0 O y w m c X V v d D t T Z W N 0 a W 9 u M S 9 f Z 3 J h d l 8 x M j h f M j A v R 2 X D p G 5 k Z X J 0 Z X I g V H l w L n t 3 b 3 J r X 3 R p b W V f Y X Z n L D N 9 J n F 1 b 3 Q 7 L C Z x d W 9 0 O 1 N l Y 3 R p b 2 4 x L 1 9 n c m F 2 X z E y O F 8 y M C 9 H Z c O k b m R l c n R l c i B U e X A u e 3 d v c m t f d G l t Z V 9 t Y X g s N H 0 m c X V v d D s s J n F 1 b 3 Q 7 U 2 V j d G l v b j E v X 2 d y Y X Z f M T I 4 X z I w L 0 d l w 6 R u Z G V y d G V y I F R 5 c C 5 7 c H J l c F 9 0 a W 1 l X 2 1 p b i w 1 f S Z x d W 9 0 O y w m c X V v d D t T Z W N 0 a W 9 u M S 9 f Z 3 J h d l 8 x M j h f M j A v R 2 X D p G 5 k Z X J 0 Z X I g V H l w L n t w c m V w X 3 R p b W V f Y X Z n L D Z 9 J n F 1 b 3 Q 7 L C Z x d W 9 0 O 1 N l Y 3 R p b 2 4 x L 1 9 n c m F 2 X z E y O F 8 y M C 9 H Z c O k b m R l c n R l c i B U e X A u e 3 B y Z X B f d G l t Z V 9 t Y X g s N 3 0 m c X V v d D s s J n F 1 b 3 Q 7 U 2 V j d G l v b j E v X 2 d y Y X Z f M T I 4 X z I w L 0 d l w 6 R u Z G V y d G V y I F R 5 c C 5 7 Y 2 9 t b V 9 0 a W 1 l X 2 1 p b i w 4 f S Z x d W 9 0 O y w m c X V v d D t T Z W N 0 a W 9 u M S 9 f Z 3 J h d l 8 x M j h f M j A v R 2 X D p G 5 k Z X J 0 Z X I g V H l w L n t j b 2 1 t X 3 R p b W V f Y X Z n L D l 9 J n F 1 b 3 Q 7 L C Z x d W 9 0 O 1 N l Y 3 R p b 2 4 x L 1 9 n c m F 2 X z E y O F 8 y M C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M j h f M j A v R 2 X D p G 5 k Z X J 0 Z X I g V H l w L n t z d G V w L D B 9 J n F 1 b 3 Q 7 L C Z x d W 9 0 O 1 N l Y 3 R p b 2 4 x L 1 9 n c m F 2 X z E y O F 8 y M C 9 H Z c O k b m R l c n R l c i B U e X A u e 3 R v d G F s X 3 R p b W U s M X 0 m c X V v d D s s J n F 1 b 3 Q 7 U 2 V j d G l v b j E v X 2 d y Y X Z f M T I 4 X z I w L 0 d l w 6 R u Z G V y d G V y I F R 5 c C 5 7 d 2 9 y a 1 9 0 a W 1 l X 2 1 p b i w y f S Z x d W 9 0 O y w m c X V v d D t T Z W N 0 a W 9 u M S 9 f Z 3 J h d l 8 x M j h f M j A v R 2 X D p G 5 k Z X J 0 Z X I g V H l w L n t 3 b 3 J r X 3 R p b W V f Y X Z n L D N 9 J n F 1 b 3 Q 7 L C Z x d W 9 0 O 1 N l Y 3 R p b 2 4 x L 1 9 n c m F 2 X z E y O F 8 y M C 9 H Z c O k b m R l c n R l c i B U e X A u e 3 d v c m t f d G l t Z V 9 t Y X g s N H 0 m c X V v d D s s J n F 1 b 3 Q 7 U 2 V j d G l v b j E v X 2 d y Y X Z f M T I 4 X z I w L 0 d l w 6 R u Z G V y d G V y I F R 5 c C 5 7 c H J l c F 9 0 a W 1 l X 2 1 p b i w 1 f S Z x d W 9 0 O y w m c X V v d D t T Z W N 0 a W 9 u M S 9 f Z 3 J h d l 8 x M j h f M j A v R 2 X D p G 5 k Z X J 0 Z X I g V H l w L n t w c m V w X 3 R p b W V f Y X Z n L D Z 9 J n F 1 b 3 Q 7 L C Z x d W 9 0 O 1 N l Y 3 R p b 2 4 x L 1 9 n c m F 2 X z E y O F 8 y M C 9 H Z c O k b m R l c n R l c i B U e X A u e 3 B y Z X B f d G l t Z V 9 t Y X g s N 3 0 m c X V v d D s s J n F 1 b 3 Q 7 U 2 V j d G l v b j E v X 2 d y Y X Z f M T I 4 X z I w L 0 d l w 6 R u Z G V y d G V y I F R 5 c C 5 7 Y 2 9 t b V 9 0 a W 1 l X 2 1 p b i w 4 f S Z x d W 9 0 O y w m c X V v d D t T Z W N 0 a W 9 u M S 9 f Z 3 J h d l 8 x M j h f M j A v R 2 X D p G 5 k Z X J 0 Z X I g V H l w L n t j b 2 1 t X 3 R p b W V f Y X Z n L D l 9 J n F 1 b 3 Q 7 L C Z x d W 9 0 O 1 N l Y 3 R p b 2 4 x L 1 9 n c m F 2 X z E y O F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M j h f M j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T I 4 X z I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E y O F 8 y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T 2 k f + 4 P x 0 y I 9 4 R 9 V c + A R Q A A A A A C A A A A A A A Q Z g A A A A E A A C A A A A C U 4 T 6 n M l a E H T s g y G P H p s e l I Q s 3 p n W a 2 z z c g b / b z b F d O A A A A A A O g A A A A A I A A C A A A A A 7 E + G K d d V z x d W M I Y H W t z c b b r J I b E F T b 3 4 6 O 2 l O H Y f 2 x l A A A A C g T U N H L / 5 X w O l g 8 T w G J C P e P t N F d r O I t K V i N 6 B V A y B 0 h z d 2 a d F + c d 5 t a z E Q t W x / y m H / n D V a S v J P 2 2 V C o D q 3 x q Z u B b L m c w 0 Z X 0 X N E j 9 / P K 5 q m E A A A A A s 1 y m I L T f K X o Y K j L x S 2 e 6 J N Q C T 6 y s s / l J F A F w I e I l t h r S V 1 Q + Y V q Z s O y Z S S B V i A g H m o I L V A u w W 6 N 2 I 3 d H j n f p u < / D a t a M a s h u p > 
</file>

<file path=customXml/itemProps1.xml><?xml version="1.0" encoding="utf-8"?>
<ds:datastoreItem xmlns:ds="http://schemas.openxmlformats.org/officeDocument/2006/customXml" ds:itemID="{C52D24DF-526F-47E6-B5B9-A09024592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128</vt:lpstr>
      <vt:lpstr>64</vt:lpstr>
      <vt:lpstr>64_32</vt:lpstr>
      <vt:lpstr>32_32</vt:lpstr>
      <vt:lpstr>16</vt:lpstr>
      <vt:lpstr>8</vt:lpstr>
      <vt:lpstr>4</vt:lpstr>
      <vt:lpstr>2</vt:lpstr>
      <vt:lpstr>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2018-06-08T08:19:50Z</dcterms:created>
  <dcterms:modified xsi:type="dcterms:W3CDTF">2018-06-08T08:30:12Z</dcterms:modified>
</cp:coreProperties>
</file>