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13_ncr:1_{180386C3-501E-45A3-A50A-8535F584258E}" xr6:coauthVersionLast="33" xr6:coauthVersionMax="33" xr10:uidLastSave="{00000000-0000-0000-0000-000000000000}"/>
  <bookViews>
    <workbookView xWindow="0" yWindow="0" windowWidth="28800" windowHeight="12810" activeTab="16" xr2:uid="{24E6588C-0D9A-45C2-A278-CE98EE1D44B7}"/>
  </bookViews>
  <sheets>
    <sheet name="25" sheetId="17" r:id="rId1"/>
    <sheet name="24" sheetId="16" r:id="rId2"/>
    <sheet name="23" sheetId="15" r:id="rId3"/>
    <sheet name="22" sheetId="14" r:id="rId4"/>
    <sheet name="21" sheetId="13" r:id="rId5"/>
    <sheet name="20" sheetId="12" r:id="rId6"/>
    <sheet name="19" sheetId="11" r:id="rId7"/>
    <sheet name="18" sheetId="10" r:id="rId8"/>
    <sheet name="17" sheetId="9" r:id="rId9"/>
    <sheet name="16" sheetId="8" r:id="rId10"/>
    <sheet name="15" sheetId="7" r:id="rId11"/>
    <sheet name="14" sheetId="6" r:id="rId12"/>
    <sheet name="13" sheetId="5" r:id="rId13"/>
    <sheet name="12" sheetId="4" r:id="rId14"/>
    <sheet name="11" sheetId="3" r:id="rId15"/>
    <sheet name="10" sheetId="2" r:id="rId16"/>
    <sheet name="Tabelle1" sheetId="1" r:id="rId17"/>
  </sheets>
  <definedNames>
    <definedName name="ExterneDaten_1" localSheetId="15" hidden="1">'10'!$A$1:$K$11</definedName>
    <definedName name="ExterneDaten_10" localSheetId="6" hidden="1">'19'!$A$1:$K$11</definedName>
    <definedName name="ExterneDaten_11" localSheetId="5" hidden="1">'20'!$A$1:$K$11</definedName>
    <definedName name="ExterneDaten_12" localSheetId="4" hidden="1">'21'!$A$1:$K$11</definedName>
    <definedName name="ExterneDaten_13" localSheetId="3" hidden="1">'22'!$A$1:$K$11</definedName>
    <definedName name="ExterneDaten_14" localSheetId="2" hidden="1">'23'!$A$1:$K$11</definedName>
    <definedName name="ExterneDaten_15" localSheetId="1" hidden="1">'24'!$A$1:$K$11</definedName>
    <definedName name="ExterneDaten_16" localSheetId="0" hidden="1">'25'!$A$1:$K$6</definedName>
    <definedName name="ExterneDaten_2" localSheetId="14" hidden="1">'11'!$A$1:$K$11</definedName>
    <definedName name="ExterneDaten_3" localSheetId="13" hidden="1">'12'!$A$1:$K$11</definedName>
    <definedName name="ExterneDaten_4" localSheetId="12" hidden="1">'13'!$A$1:$K$11</definedName>
    <definedName name="ExterneDaten_5" localSheetId="11" hidden="1">'14'!$A$1:$K$11</definedName>
    <definedName name="ExterneDaten_6" localSheetId="10" hidden="1">'15'!$A$1:$K$11</definedName>
    <definedName name="ExterneDaten_7" localSheetId="9" hidden="1">'16'!$A$1:$K$11</definedName>
    <definedName name="ExterneDaten_8" localSheetId="8" hidden="1">'17'!$A$1:$K$11</definedName>
    <definedName name="ExterneDaten_9" localSheetId="7" hidden="1">'18'!$A$1:$K$11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B2" i="1"/>
  <c r="G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  <c r="B12" i="2"/>
  <c r="C12" i="2"/>
  <c r="D12" i="2"/>
  <c r="E12" i="2"/>
  <c r="F12" i="2"/>
  <c r="G12" i="2"/>
  <c r="H12" i="2"/>
  <c r="I12" i="2"/>
  <c r="J12" i="2"/>
  <c r="K12" i="2"/>
  <c r="B12" i="3"/>
  <c r="C12" i="3"/>
  <c r="D12" i="3"/>
  <c r="E12" i="3"/>
  <c r="F12" i="3"/>
  <c r="G12" i="3"/>
  <c r="H12" i="3"/>
  <c r="I12" i="3"/>
  <c r="J12" i="3"/>
  <c r="K12" i="3"/>
  <c r="B12" i="4"/>
  <c r="C12" i="4"/>
  <c r="D12" i="4"/>
  <c r="E12" i="4"/>
  <c r="F12" i="4"/>
  <c r="G12" i="4"/>
  <c r="H12" i="4"/>
  <c r="I12" i="4"/>
  <c r="J12" i="4"/>
  <c r="K12" i="4"/>
  <c r="B12" i="5"/>
  <c r="C12" i="5"/>
  <c r="D12" i="5"/>
  <c r="E12" i="5"/>
  <c r="F12" i="5"/>
  <c r="G12" i="5"/>
  <c r="H12" i="5"/>
  <c r="I12" i="5"/>
  <c r="J12" i="5"/>
  <c r="K12" i="5"/>
  <c r="B12" i="6"/>
  <c r="C12" i="6"/>
  <c r="D12" i="6"/>
  <c r="E12" i="6"/>
  <c r="F12" i="6"/>
  <c r="G12" i="6"/>
  <c r="H12" i="6"/>
  <c r="I12" i="6"/>
  <c r="J12" i="6"/>
  <c r="K12" i="6"/>
  <c r="B12" i="7"/>
  <c r="C12" i="7"/>
  <c r="D12" i="7"/>
  <c r="E12" i="7"/>
  <c r="F12" i="7"/>
  <c r="G12" i="7"/>
  <c r="H12" i="7"/>
  <c r="I12" i="7"/>
  <c r="J12" i="7"/>
  <c r="K12" i="7"/>
  <c r="B12" i="8"/>
  <c r="C12" i="8"/>
  <c r="D12" i="8"/>
  <c r="E12" i="8"/>
  <c r="F12" i="8"/>
  <c r="G12" i="8"/>
  <c r="H12" i="8"/>
  <c r="I12" i="8"/>
  <c r="J12" i="8"/>
  <c r="K12" i="8"/>
  <c r="B12" i="9"/>
  <c r="C12" i="9"/>
  <c r="D12" i="9"/>
  <c r="E12" i="9"/>
  <c r="F12" i="9"/>
  <c r="G12" i="9"/>
  <c r="H12" i="9"/>
  <c r="I12" i="9"/>
  <c r="J12" i="9"/>
  <c r="K12" i="9"/>
  <c r="B12" i="10"/>
  <c r="C12" i="10"/>
  <c r="D12" i="10"/>
  <c r="E12" i="10"/>
  <c r="F12" i="10"/>
  <c r="G12" i="10"/>
  <c r="H12" i="10"/>
  <c r="I12" i="10"/>
  <c r="J12" i="10"/>
  <c r="K12" i="10"/>
  <c r="B12" i="11"/>
  <c r="C12" i="11"/>
  <c r="D12" i="11"/>
  <c r="E12" i="11"/>
  <c r="F12" i="11"/>
  <c r="G12" i="11"/>
  <c r="H12" i="11"/>
  <c r="I12" i="11"/>
  <c r="J12" i="11"/>
  <c r="K12" i="11"/>
  <c r="B12" i="12"/>
  <c r="C12" i="12"/>
  <c r="D12" i="12"/>
  <c r="E12" i="12"/>
  <c r="F12" i="12"/>
  <c r="G12" i="12"/>
  <c r="H12" i="12"/>
  <c r="I12" i="12"/>
  <c r="J12" i="12"/>
  <c r="K12" i="12"/>
  <c r="B12" i="13"/>
  <c r="C12" i="13"/>
  <c r="D12" i="13"/>
  <c r="E12" i="13"/>
  <c r="F12" i="13"/>
  <c r="G12" i="13"/>
  <c r="H12" i="13"/>
  <c r="I12" i="13"/>
  <c r="J12" i="13"/>
  <c r="K12" i="13"/>
  <c r="B12" i="14"/>
  <c r="C12" i="14"/>
  <c r="D12" i="14"/>
  <c r="E12" i="14"/>
  <c r="F12" i="14"/>
  <c r="G12" i="14"/>
  <c r="H12" i="14"/>
  <c r="I12" i="14"/>
  <c r="J12" i="14"/>
  <c r="K12" i="14"/>
  <c r="B12" i="15"/>
  <c r="C12" i="15"/>
  <c r="D12" i="15"/>
  <c r="E12" i="15"/>
  <c r="F12" i="15"/>
  <c r="G12" i="15"/>
  <c r="H12" i="15"/>
  <c r="I12" i="15"/>
  <c r="J12" i="15"/>
  <c r="K12" i="15"/>
  <c r="B12" i="16"/>
  <c r="C12" i="16"/>
  <c r="D12" i="16"/>
  <c r="E12" i="16"/>
  <c r="F12" i="16"/>
  <c r="G12" i="16"/>
  <c r="H12" i="16"/>
  <c r="I12" i="16"/>
  <c r="J12" i="16"/>
  <c r="K12" i="16"/>
  <c r="B7" i="17"/>
  <c r="C7" i="17"/>
  <c r="D7" i="17"/>
  <c r="E7" i="17"/>
  <c r="F7" i="17"/>
  <c r="G7" i="17"/>
  <c r="H7" i="17"/>
  <c r="I7" i="17"/>
  <c r="J7" i="17"/>
  <c r="K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CD6AF-390C-4ECF-B6C8-B96EC900A577}" keepAlive="1" name="Abfrage - _grav_1_10" description="Verbindung mit der Abfrage '_grav_1_10' in der Arbeitsmappe." type="5" refreshedVersion="6" background="1" saveData="1">
    <dbPr connection="Provider=Microsoft.Mashup.OleDb.1;Data Source=$Workbook$;Location=_grav_1_10;Extended Properties=&quot;&quot;" command="SELECT * FROM [_grav_1_10]"/>
  </connection>
  <connection id="2" xr16:uid="{F266E8B4-7F82-4891-93C7-BECAF8815117}" keepAlive="1" name="Abfrage - _grav_1_11" description="Verbindung mit der Abfrage '_grav_1_11' in der Arbeitsmappe." type="5" refreshedVersion="6" background="1" saveData="1">
    <dbPr connection="Provider=Microsoft.Mashup.OleDb.1;Data Source=$Workbook$;Location=_grav_1_11;Extended Properties=&quot;&quot;" command="SELECT * FROM [_grav_1_11]"/>
  </connection>
  <connection id="3" xr16:uid="{988992A2-83E7-4EF7-80C0-155DF9ED27C5}" keepAlive="1" name="Abfrage - _grav_1_12" description="Verbindung mit der Abfrage '_grav_1_12' in der Arbeitsmappe." type="5" refreshedVersion="6" background="1" saveData="1">
    <dbPr connection="Provider=Microsoft.Mashup.OleDb.1;Data Source=$Workbook$;Location=_grav_1_12;Extended Properties=&quot;&quot;" command="SELECT * FROM [_grav_1_12]"/>
  </connection>
  <connection id="4" xr16:uid="{DA4338E2-6492-411E-8BFC-6708DC6BDE11}" keepAlive="1" name="Abfrage - _grav_1_13" description="Verbindung mit der Abfrage '_grav_1_13' in der Arbeitsmappe." type="5" refreshedVersion="6" background="1" saveData="1">
    <dbPr connection="Provider=Microsoft.Mashup.OleDb.1;Data Source=$Workbook$;Location=_grav_1_13;Extended Properties=&quot;&quot;" command="SELECT * FROM [_grav_1_13]"/>
  </connection>
  <connection id="5" xr16:uid="{E64A5EC3-6C49-4597-942E-0158AAC8D7B6}" keepAlive="1" name="Abfrage - _grav_1_14" description="Verbindung mit der Abfrage '_grav_1_14' in der Arbeitsmappe." type="5" refreshedVersion="6" background="1" saveData="1">
    <dbPr connection="Provider=Microsoft.Mashup.OleDb.1;Data Source=$Workbook$;Location=_grav_1_14;Extended Properties=&quot;&quot;" command="SELECT * FROM [_grav_1_14]"/>
  </connection>
  <connection id="6" xr16:uid="{28907A0D-6EDC-4EE5-A9B9-F52E2089A0DE}" keepAlive="1" name="Abfrage - _grav_1_15" description="Verbindung mit der Abfrage '_grav_1_15' in der Arbeitsmappe." type="5" refreshedVersion="6" background="1" saveData="1">
    <dbPr connection="Provider=Microsoft.Mashup.OleDb.1;Data Source=$Workbook$;Location=_grav_1_15;Extended Properties=&quot;&quot;" command="SELECT * FROM [_grav_1_15]"/>
  </connection>
  <connection id="7" xr16:uid="{3A7374A2-0308-4F00-BB76-AA4713D76725}" keepAlive="1" name="Abfrage - _grav_1_16" description="Verbindung mit der Abfrage '_grav_1_16' in der Arbeitsmappe." type="5" refreshedVersion="6" background="1" saveData="1">
    <dbPr connection="Provider=Microsoft.Mashup.OleDb.1;Data Source=$Workbook$;Location=_grav_1_16;Extended Properties=&quot;&quot;" command="SELECT * FROM [_grav_1_16]"/>
  </connection>
  <connection id="8" xr16:uid="{32E52B6C-37EF-40D5-B711-5C5076654E3E}" keepAlive="1" name="Abfrage - _grav_1_17" description="Verbindung mit der Abfrage '_grav_1_17' in der Arbeitsmappe." type="5" refreshedVersion="6" background="1" saveData="1">
    <dbPr connection="Provider=Microsoft.Mashup.OleDb.1;Data Source=$Workbook$;Location=_grav_1_17;Extended Properties=&quot;&quot;" command="SELECT * FROM [_grav_1_17]"/>
  </connection>
  <connection id="9" xr16:uid="{58C22D86-52EF-425F-9FC2-909A46BEE340}" keepAlive="1" name="Abfrage - _grav_1_18" description="Verbindung mit der Abfrage '_grav_1_18' in der Arbeitsmappe." type="5" refreshedVersion="6" background="1" saveData="1">
    <dbPr connection="Provider=Microsoft.Mashup.OleDb.1;Data Source=$Workbook$;Location=_grav_1_18;Extended Properties=&quot;&quot;" command="SELECT * FROM [_grav_1_18]"/>
  </connection>
  <connection id="10" xr16:uid="{3FCFCB4C-2DE3-423F-AF3B-D452ED7EC88B}" keepAlive="1" name="Abfrage - _grav_1_19" description="Verbindung mit der Abfrage '_grav_1_19' in der Arbeitsmappe." type="5" refreshedVersion="6" background="1" saveData="1">
    <dbPr connection="Provider=Microsoft.Mashup.OleDb.1;Data Source=$Workbook$;Location=_grav_1_19;Extended Properties=&quot;&quot;" command="SELECT * FROM [_grav_1_19]"/>
  </connection>
  <connection id="11" xr16:uid="{70A92722-0A5C-4F65-BCBF-E6511F3A09DF}" keepAlive="1" name="Abfrage - _grav_1_20" description="Verbindung mit der Abfrage '_grav_1_20' in der Arbeitsmappe." type="5" refreshedVersion="6" background="1" saveData="1">
    <dbPr connection="Provider=Microsoft.Mashup.OleDb.1;Data Source=$Workbook$;Location=_grav_1_20;Extended Properties=&quot;&quot;" command="SELECT * FROM [_grav_1_20]"/>
  </connection>
  <connection id="12" xr16:uid="{6F77963C-33CC-44B0-9741-B74345019CB2}" keepAlive="1" name="Abfrage - _grav_1_21" description="Verbindung mit der Abfrage '_grav_1_21' in der Arbeitsmappe." type="5" refreshedVersion="6" background="1" saveData="1">
    <dbPr connection="Provider=Microsoft.Mashup.OleDb.1;Data Source=$Workbook$;Location=_grav_1_21;Extended Properties=&quot;&quot;" command="SELECT * FROM [_grav_1_21]"/>
  </connection>
  <connection id="13" xr16:uid="{7FEEDA4C-1E8E-4A83-95AE-668CD012AA12}" keepAlive="1" name="Abfrage - _grav_1_22" description="Verbindung mit der Abfrage '_grav_1_22' in der Arbeitsmappe." type="5" refreshedVersion="6" background="1" saveData="1">
    <dbPr connection="Provider=Microsoft.Mashup.OleDb.1;Data Source=$Workbook$;Location=_grav_1_22;Extended Properties=&quot;&quot;" command="SELECT * FROM [_grav_1_22]"/>
  </connection>
  <connection id="14" xr16:uid="{22AE8C09-25E3-4E67-B4D8-F3A566D4C17A}" keepAlive="1" name="Abfrage - _grav_1_23" description="Verbindung mit der Abfrage '_grav_1_23' in der Arbeitsmappe." type="5" refreshedVersion="6" background="1" saveData="1">
    <dbPr connection="Provider=Microsoft.Mashup.OleDb.1;Data Source=$Workbook$;Location=_grav_1_23;Extended Properties=&quot;&quot;" command="SELECT * FROM [_grav_1_23]"/>
  </connection>
  <connection id="15" xr16:uid="{4B1B3C17-5913-40DF-8EA3-85B28F490B43}" keepAlive="1" name="Abfrage - _grav_1_24" description="Verbindung mit der Abfrage '_grav_1_24' in der Arbeitsmappe." type="5" refreshedVersion="6" background="1" saveData="1">
    <dbPr connection="Provider=Microsoft.Mashup.OleDb.1;Data Source=$Workbook$;Location=_grav_1_24;Extended Properties=&quot;&quot;" command="SELECT * FROM [_grav_1_24]"/>
  </connection>
  <connection id="16" xr16:uid="{71B718D0-87C6-4413-AAAB-5C12A5BD8F48}" keepAlive="1" name="Abfrage - _grav_1_25" description="Verbindung mit der Abfrage '_grav_1_25' in der Arbeitsmappe." type="5" refreshedVersion="6" background="1" saveData="1">
    <dbPr connection="Provider=Microsoft.Mashup.OleDb.1;Data Source=$Workbook$;Location=_grav_1_25;Extended Properties=&quot;&quot;" command="SELECT * FROM [_grav_1_25]"/>
  </connection>
</connections>
</file>

<file path=xl/sharedStrings.xml><?xml version="1.0" encoding="utf-8"?>
<sst xmlns="http://schemas.openxmlformats.org/spreadsheetml/2006/main" count="200" uniqueCount="20">
  <si>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</si>
  <si>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</si>
  <si>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</si>
  <si>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</si>
  <si>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</si>
  <si>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</si>
  <si>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</si>
  <si>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</si>
  <si>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</si>
  <si>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</si>
  <si>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</si>
  <si>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Ergebnis</t>
  </si>
  <si>
    <t># Elemente</t>
  </si>
  <si>
    <t>Zeit</t>
  </si>
  <si>
    <t>Arbeitszeit</t>
  </si>
  <si>
    <t>pot</t>
  </si>
  <si>
    <t>Prepzeit</t>
  </si>
  <si>
    <t>Commzeit</t>
  </si>
  <si>
    <t>Wachstum</t>
  </si>
  <si>
    <t>Zeit pro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</si>
</sst>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connectionId="16" xr16:uid="{F465E67F-8CEB-43DE-989A-FEFC39DCD60D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B851D47B-12F5-48D8-8065-0F6D617238BB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0C77B7B1-0570-4564-B04D-68DC9C53FF08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1AF2A402-D7D2-473F-ABBD-E4DC211F897D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2E26DF26-32BD-4522-9E76-E8CA2B7B9FF6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EA202326-A3F9-4AE3-A998-5D28653C6BD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78ECEDA8-2E4E-409A-B18A-F395EE6CE937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B14967A-6475-4497-B38B-E639B3FFADBC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15" xr16:uid="{EC4D9FB4-F8AF-48F6-8ACE-B57624A2805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4" xr16:uid="{F982EF6F-C267-45FD-99EE-202994992922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13" xr16:uid="{BA50D656-3413-4E5A-997C-1D3557E68FA8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12" xr16:uid="{34908D3F-3515-415A-88C5-79F566D50ABE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1" xr16:uid="{E59CFE4D-46FA-4F19-9AB2-A1C3C9CCE6E4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EB59D521-BCA2-4BB0-869F-57E7ABC7CED9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1AD5EC2F-D04C-4412-8918-B7E020D563E3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8" xr16:uid="{578ED441-D6CC-4797-A07C-E7DFF48758F5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A79E12C-034F-4430-B846-BDDBBAA9E7A4}" name="_grav_1_25" displayName="_grav_1_25" ref="A1:K7" tableType="queryTable" totalsRowCount="1">
  <autoFilter ref="A1:K6" xr:uid="{2CA2E1E5-AC17-4728-8390-64AFDB6F6CF6}"/>
  <tableColumns count="11">
    <tableColumn id="1" xr3:uid="{CC3E5D3D-6C23-4692-BDF7-D9B64064153A}" uniqueName="1" name="step" totalsRowLabel="Ergebnis" queryTableFieldId="1"/>
    <tableColumn id="2" xr3:uid="{D5F54118-78B2-435F-8A7E-3444DB9B14BC}" uniqueName="2" name="total_time" totalsRowFunction="average" queryTableFieldId="2"/>
    <tableColumn id="3" xr3:uid="{952A65C5-5ACE-48AC-86D7-688A08631F79}" uniqueName="3" name="work_time_min" totalsRowFunction="average" queryTableFieldId="3"/>
    <tableColumn id="4" xr3:uid="{1E53577D-F132-441F-8A76-89DAB7C0A0CB}" uniqueName="4" name="work_time_avg" totalsRowFunction="average" queryTableFieldId="4"/>
    <tableColumn id="5" xr3:uid="{3465E956-122D-4AF9-86F7-F179B1627258}" uniqueName="5" name="work_time_max" totalsRowFunction="average" queryTableFieldId="5"/>
    <tableColumn id="6" xr3:uid="{B501D240-937C-44EF-A2AF-92544EB1F080}" uniqueName="6" name="prep_time_min" totalsRowFunction="average" queryTableFieldId="6"/>
    <tableColumn id="7" xr3:uid="{CD57757B-9D89-4B39-81AD-A7A6D1D7F847}" uniqueName="7" name="prep_time_avg" totalsRowFunction="average" queryTableFieldId="7"/>
    <tableColumn id="8" xr3:uid="{597F533E-0BFC-4EBF-81BD-29242F3BDFC6}" uniqueName="8" name="prep_time_max" totalsRowFunction="average" queryTableFieldId="8"/>
    <tableColumn id="9" xr3:uid="{18269798-F71D-4D3A-B99E-B4915C475C0C}" uniqueName="9" name="comm_time_min" totalsRowFunction="average" queryTableFieldId="9"/>
    <tableColumn id="10" xr3:uid="{9ADB1B59-2206-4409-A677-AB5F7802E32D}" uniqueName="10" name="comm_time_avg" totalsRowFunction="average" queryTableFieldId="10"/>
    <tableColumn id="11" xr3:uid="{D5D230E5-1C30-466B-A3EB-6C8D7224C7A6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A02EE1-70B6-4105-B647-578E2E518E98}" name="_grav_1_16" displayName="_grav_1_16" ref="A1:K12" tableType="queryTable" totalsRowCount="1">
  <autoFilter ref="A1:K11" xr:uid="{FBBD7101-A48F-4BB2-A758-1BA52147A28B}"/>
  <tableColumns count="11">
    <tableColumn id="1" xr3:uid="{8939F743-864A-4813-8B98-3ACA8D10E02F}" uniqueName="1" name="step" totalsRowLabel="Ergebnis" queryTableFieldId="1"/>
    <tableColumn id="2" xr3:uid="{23094057-205B-43E8-B4B4-3BD0498BEE81}" uniqueName="2" name="total_time" totalsRowFunction="average" queryTableFieldId="2"/>
    <tableColumn id="3" xr3:uid="{7F0B43B3-B412-4FE5-8CB5-25C2F54BE8BF}" uniqueName="3" name="work_time_min" totalsRowFunction="average" queryTableFieldId="3"/>
    <tableColumn id="4" xr3:uid="{F716A537-9097-4DCE-B5D8-67A1AFCB346D}" uniqueName="4" name="work_time_avg" totalsRowFunction="average" queryTableFieldId="4"/>
    <tableColumn id="5" xr3:uid="{2791B95A-2C5D-4F88-800A-02D332601F2D}" uniqueName="5" name="work_time_max" totalsRowFunction="average" queryTableFieldId="5"/>
    <tableColumn id="6" xr3:uid="{46F2CC14-7501-46DE-A7BE-809647129024}" uniqueName="6" name="prep_time_min" totalsRowFunction="average" queryTableFieldId="6"/>
    <tableColumn id="7" xr3:uid="{10FA2BF0-5F9B-4134-A33A-71DC9514451B}" uniqueName="7" name="prep_time_avg" totalsRowFunction="average" queryTableFieldId="7"/>
    <tableColumn id="8" xr3:uid="{3095C20D-03E4-4D88-AFF2-9BB747AD93B2}" uniqueName="8" name="prep_time_max" totalsRowFunction="average" queryTableFieldId="8"/>
    <tableColumn id="9" xr3:uid="{6A8A9027-0EED-4034-A335-08DA27709915}" uniqueName="9" name="comm_time_min" totalsRowFunction="average" queryTableFieldId="9"/>
    <tableColumn id="10" xr3:uid="{71776182-2B8A-4E5D-82DF-0C4817B6108E}" uniqueName="10" name="comm_time_avg" totalsRowFunction="average" queryTableFieldId="10"/>
    <tableColumn id="11" xr3:uid="{BE937E9C-D36A-49DD-A2C1-728C9F723AD5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FF5F62E-F1FA-4812-B9DB-A37B9C163021}" name="_grav_1_15" displayName="_grav_1_15" ref="A1:K12" tableType="queryTable" totalsRowCount="1">
  <autoFilter ref="A1:K11" xr:uid="{7ECDE48B-A168-4214-ACCF-6F8EF6A08B9F}"/>
  <tableColumns count="11">
    <tableColumn id="1" xr3:uid="{FAA2B904-FE50-49F9-B87E-E5A8986CC202}" uniqueName="1" name="step" totalsRowLabel="Ergebnis" queryTableFieldId="1"/>
    <tableColumn id="2" xr3:uid="{A1429875-78B2-4F0C-B84A-E7F62508FFF0}" uniqueName="2" name="total_time" totalsRowFunction="average" queryTableFieldId="2"/>
    <tableColumn id="3" xr3:uid="{ABC68B99-A630-44C9-AA2B-8825E7C1EF7A}" uniqueName="3" name="work_time_min" totalsRowFunction="average" queryTableFieldId="3"/>
    <tableColumn id="4" xr3:uid="{553DC8F9-7EED-4D69-BC2B-1E1035B7D2AA}" uniqueName="4" name="work_time_avg" totalsRowFunction="average" queryTableFieldId="4"/>
    <tableColumn id="5" xr3:uid="{E1995773-A8C0-44E1-9643-61126E5EC494}" uniqueName="5" name="work_time_max" totalsRowFunction="average" queryTableFieldId="5"/>
    <tableColumn id="6" xr3:uid="{584426ED-805B-42E5-BED8-D58AA41F7BDA}" uniqueName="6" name="prep_time_min" totalsRowFunction="average" queryTableFieldId="6"/>
    <tableColumn id="7" xr3:uid="{59F3E213-DFD6-4C22-A7B2-0C4567C56100}" uniqueName="7" name="prep_time_avg" totalsRowFunction="average" queryTableFieldId="7"/>
    <tableColumn id="8" xr3:uid="{A9FFE8EE-A280-414D-BE84-EF67849CFFEC}" uniqueName="8" name="prep_time_max" totalsRowFunction="average" queryTableFieldId="8"/>
    <tableColumn id="9" xr3:uid="{898CB2E1-ECCE-4C3D-AA56-1CE05CF601E6}" uniqueName="9" name="comm_time_min" totalsRowFunction="average" queryTableFieldId="9"/>
    <tableColumn id="10" xr3:uid="{68042B8E-92BB-4F2F-9A09-47B07D779F4B}" uniqueName="10" name="comm_time_avg" totalsRowFunction="average" queryTableFieldId="10"/>
    <tableColumn id="11" xr3:uid="{4C446362-9ABA-4C19-9FD1-B1F7A357660F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3F21A-319E-4BFD-A804-9995097E5D24}" name="_grav_1_14" displayName="_grav_1_14" ref="A1:K12" tableType="queryTable" totalsRowCount="1">
  <autoFilter ref="A1:K11" xr:uid="{5A1EC845-F135-4745-80B5-590632B9DC3D}"/>
  <tableColumns count="11">
    <tableColumn id="1" xr3:uid="{4579A287-18DF-46E2-90CB-5EB5F86746AA}" uniqueName="1" name="step" totalsRowLabel="Ergebnis" queryTableFieldId="1"/>
    <tableColumn id="2" xr3:uid="{CA49F5B4-BC5E-4383-B060-6C886C11E302}" uniqueName="2" name="total_time" totalsRowFunction="average" queryTableFieldId="2"/>
    <tableColumn id="3" xr3:uid="{86A633EF-5076-4669-A099-EBB8D401A6D8}" uniqueName="3" name="work_time_min" totalsRowFunction="average" queryTableFieldId="3"/>
    <tableColumn id="4" xr3:uid="{F1D71561-23AF-440D-8651-AC51465B485C}" uniqueName="4" name="work_time_avg" totalsRowFunction="average" queryTableFieldId="4"/>
    <tableColumn id="5" xr3:uid="{E7F21854-8624-465B-941E-5395CDAC2D7B}" uniqueName="5" name="work_time_max" totalsRowFunction="average" queryTableFieldId="5"/>
    <tableColumn id="6" xr3:uid="{01B3801C-548B-4454-9A91-BC2CD58BE140}" uniqueName="6" name="prep_time_min" totalsRowFunction="average" queryTableFieldId="6"/>
    <tableColumn id="7" xr3:uid="{5851C88D-0127-4AEF-BD7A-3B1C98D9EC93}" uniqueName="7" name="prep_time_avg" totalsRowFunction="average" queryTableFieldId="7"/>
    <tableColumn id="8" xr3:uid="{3347C939-623A-4D53-8233-92925F5A46BC}" uniqueName="8" name="prep_time_max" totalsRowFunction="average" queryTableFieldId="8"/>
    <tableColumn id="9" xr3:uid="{AED00C06-FD1E-4BA6-8620-50E7E7AB0B73}" uniqueName="9" name="comm_time_min" totalsRowFunction="average" queryTableFieldId="9"/>
    <tableColumn id="10" xr3:uid="{DBD65AA2-CD06-4C77-BE0F-99CB119FCC27}" uniqueName="10" name="comm_time_avg" totalsRowFunction="average" queryTableFieldId="10"/>
    <tableColumn id="11" xr3:uid="{27D5F84A-B381-4589-BD0B-F2BB37C3501D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216AC-E7D9-44E3-81CA-475D151A5DC6}" name="_grav_1_13" displayName="_grav_1_13" ref="A1:K12" tableType="queryTable" totalsRowCount="1">
  <autoFilter ref="A1:K11" xr:uid="{297AF4C8-9C80-4E41-9289-75629CD070A2}"/>
  <tableColumns count="11">
    <tableColumn id="1" xr3:uid="{FC30E28C-2F60-4EA9-9E69-9F46154A275D}" uniqueName="1" name="step" totalsRowLabel="Ergebnis" queryTableFieldId="1"/>
    <tableColumn id="2" xr3:uid="{A757B40E-0535-404B-B05A-1DC5D315AFBB}" uniqueName="2" name="total_time" totalsRowFunction="average" queryTableFieldId="2"/>
    <tableColumn id="3" xr3:uid="{33C99332-97F9-4A5E-A2E4-7FDD3164FDC6}" uniqueName="3" name="work_time_min" totalsRowFunction="average" queryTableFieldId="3"/>
    <tableColumn id="4" xr3:uid="{ACE5FF2D-90AD-4609-AE33-4EE47F8C93B4}" uniqueName="4" name="work_time_avg" totalsRowFunction="average" queryTableFieldId="4"/>
    <tableColumn id="5" xr3:uid="{BA9E33BA-3BCD-4DD6-8A35-439829124682}" uniqueName="5" name="work_time_max" totalsRowFunction="average" queryTableFieldId="5"/>
    <tableColumn id="6" xr3:uid="{B05D7659-F1B6-4821-92EA-8A2E8A4030FC}" uniqueName="6" name="prep_time_min" totalsRowFunction="average" queryTableFieldId="6"/>
    <tableColumn id="7" xr3:uid="{62E24BDF-C402-4BCF-A290-43CAD6E3D69F}" uniqueName="7" name="prep_time_avg" totalsRowFunction="average" queryTableFieldId="7"/>
    <tableColumn id="8" xr3:uid="{4C8B66C0-1EA4-45FD-A0DD-65B49D360623}" uniqueName="8" name="prep_time_max" totalsRowFunction="average" queryTableFieldId="8"/>
    <tableColumn id="9" xr3:uid="{48D5E909-C6D6-4088-87FE-F34A88A786CC}" uniqueName="9" name="comm_time_min" totalsRowFunction="average" queryTableFieldId="9"/>
    <tableColumn id="10" xr3:uid="{FC744079-8847-449D-9C97-04FD6F43DB99}" uniqueName="10" name="comm_time_avg" totalsRowFunction="average" queryTableFieldId="10"/>
    <tableColumn id="11" xr3:uid="{19F0D3CF-4349-41AF-9C68-B1348454AA7E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FA53B7-EB3C-41CE-AE57-E06A93DC152A}" name="_grav_1_12" displayName="_grav_1_12" ref="A1:K12" tableType="queryTable" totalsRowCount="1">
  <autoFilter ref="A1:K11" xr:uid="{9442424F-E4D8-498C-9B30-997A067F300B}"/>
  <tableColumns count="11">
    <tableColumn id="1" xr3:uid="{41A7CB1F-4710-4D12-9175-FC62FDB923B0}" uniqueName="1" name="step" totalsRowLabel="Ergebnis" queryTableFieldId="1"/>
    <tableColumn id="2" xr3:uid="{3DD8D642-F4B9-41D3-8EB3-5A0EB9C929F7}" uniqueName="2" name="total_time" totalsRowFunction="average" queryTableFieldId="2"/>
    <tableColumn id="3" xr3:uid="{BC5F0592-EB82-4904-801E-9D4193F29E89}" uniqueName="3" name="work_time_min" totalsRowFunction="average" queryTableFieldId="3"/>
    <tableColumn id="4" xr3:uid="{7F88F17C-CDD0-4BB6-B8ED-B1296F47B475}" uniqueName="4" name="work_time_avg" totalsRowFunction="average" queryTableFieldId="4"/>
    <tableColumn id="5" xr3:uid="{077BF793-3979-4A06-AC65-A8CC1A0475CA}" uniqueName="5" name="work_time_max" totalsRowFunction="average" queryTableFieldId="5"/>
    <tableColumn id="6" xr3:uid="{8B135D14-F2CE-4A07-BA82-55C43F37E28B}" uniqueName="6" name="prep_time_min" totalsRowFunction="average" queryTableFieldId="6"/>
    <tableColumn id="7" xr3:uid="{C451AB2F-3585-4699-84E6-F8BAAF5F521B}" uniqueName="7" name="prep_time_avg" totalsRowFunction="average" queryTableFieldId="7"/>
    <tableColumn id="8" xr3:uid="{888407ED-CB28-46E7-9B92-320E4271A47E}" uniqueName="8" name="prep_time_max" totalsRowFunction="average" queryTableFieldId="8"/>
    <tableColumn id="9" xr3:uid="{CF0F91DB-3B03-4A03-9893-8CC50C7D8C27}" uniqueName="9" name="comm_time_min" totalsRowFunction="average" queryTableFieldId="9"/>
    <tableColumn id="10" xr3:uid="{6C20CD30-C87E-40FF-B293-3161FA3A6DE9}" uniqueName="10" name="comm_time_avg" totalsRowFunction="average" queryTableFieldId="10"/>
    <tableColumn id="11" xr3:uid="{505F1D40-3441-411A-855E-E41EC3F5300B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FC7496-AE82-49BE-A947-7E748F9CCBED}" name="_grav_1_11" displayName="_grav_1_11" ref="A1:K12" tableType="queryTable" totalsRowCount="1">
  <autoFilter ref="A1:K11" xr:uid="{CB999C4E-4646-481C-8FB8-51DCC8B7AF25}"/>
  <tableColumns count="11">
    <tableColumn id="1" xr3:uid="{1D3A105E-2F58-4751-A9B9-9B00E7B288F5}" uniqueName="1" name="step" totalsRowLabel="Ergebnis" queryTableFieldId="1"/>
    <tableColumn id="2" xr3:uid="{CD0E451A-3671-45FF-A690-2A00DF9D5A79}" uniqueName="2" name="total_time" totalsRowFunction="average" queryTableFieldId="2"/>
    <tableColumn id="3" xr3:uid="{D51109C6-9F10-4BDC-A427-90FCF440B1E3}" uniqueName="3" name="work_time_min" totalsRowFunction="average" queryTableFieldId="3"/>
    <tableColumn id="4" xr3:uid="{9262BD90-17BE-43BA-8C7E-8D2479A30022}" uniqueName="4" name="work_time_avg" totalsRowFunction="average" queryTableFieldId="4"/>
    <tableColumn id="5" xr3:uid="{F075601D-0C19-4DF4-956F-5D481908EA7C}" uniqueName="5" name="work_time_max" totalsRowFunction="average" queryTableFieldId="5"/>
    <tableColumn id="6" xr3:uid="{43121765-6F7A-4AFE-8E4B-D3D70C05BCC2}" uniqueName="6" name="prep_time_min" totalsRowFunction="average" queryTableFieldId="6"/>
    <tableColumn id="7" xr3:uid="{97B1B977-7A59-4E1C-93DC-8BC9CC63A291}" uniqueName="7" name="prep_time_avg" totalsRowFunction="average" queryTableFieldId="7"/>
    <tableColumn id="8" xr3:uid="{D685A099-63AD-49C6-8435-9AAF8F72278E}" uniqueName="8" name="prep_time_max" totalsRowFunction="average" queryTableFieldId="8"/>
    <tableColumn id="9" xr3:uid="{23595361-95C1-4AC1-B9CE-BBC2BC04AA1C}" uniqueName="9" name="comm_time_min" totalsRowFunction="average" queryTableFieldId="9"/>
    <tableColumn id="10" xr3:uid="{BC680233-E590-42B9-8CEE-1658E73520D4}" uniqueName="10" name="comm_time_avg" totalsRowFunction="average" queryTableFieldId="10"/>
    <tableColumn id="11" xr3:uid="{E61916C1-B55D-45C8-885E-D15260AEBC8A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92F03-93FC-4B48-8BAB-FE129AEF8621}" name="_grav_1_10" displayName="_grav_1_10" ref="A1:K12" tableType="queryTable" totalsRowCount="1">
  <autoFilter ref="A1:K11" xr:uid="{10346C09-50E3-47E2-8063-E5720661EC4F}"/>
  <tableColumns count="11">
    <tableColumn id="1" xr3:uid="{260BE5BF-0DAB-4DFA-BD3A-6396E01E4B20}" uniqueName="1" name="step" totalsRowLabel="Ergebnis" queryTableFieldId="1"/>
    <tableColumn id="2" xr3:uid="{7FBBC1E7-8D46-4F46-9338-04FEA60CE907}" uniqueName="2" name="total_time" totalsRowFunction="average" queryTableFieldId="2"/>
    <tableColumn id="3" xr3:uid="{2E6346DE-CA52-4AC0-B387-0643251D3F9A}" uniqueName="3" name="work_time_min" totalsRowFunction="average" queryTableFieldId="3"/>
    <tableColumn id="4" xr3:uid="{56D9FE71-27FD-472F-AA20-6BAA74540C87}" uniqueName="4" name="work_time_avg" totalsRowFunction="average" queryTableFieldId="4"/>
    <tableColumn id="5" xr3:uid="{299F21E4-DDE4-4EDF-A4E4-EC6142E60643}" uniqueName="5" name="work_time_max" totalsRowFunction="average" queryTableFieldId="5"/>
    <tableColumn id="6" xr3:uid="{A15E5ADB-F779-4563-AB66-7A179F529E86}" uniqueName="6" name="prep_time_min" totalsRowFunction="average" queryTableFieldId="6"/>
    <tableColumn id="7" xr3:uid="{3424BF9F-D5D3-4E53-9350-5C19AA67D7B4}" uniqueName="7" name="prep_time_avg" totalsRowFunction="average" queryTableFieldId="7"/>
    <tableColumn id="8" xr3:uid="{0722FC0C-F7BA-4434-B33D-6424D2F7E213}" uniqueName="8" name="prep_time_max" totalsRowFunction="average" queryTableFieldId="8"/>
    <tableColumn id="9" xr3:uid="{890A5F03-3145-42B3-A494-384CF2CA7085}" uniqueName="9" name="comm_time_min" totalsRowFunction="average" queryTableFieldId="9"/>
    <tableColumn id="10" xr3:uid="{25A05F60-DD24-4F17-AB8D-D258362144D3}" uniqueName="10" name="comm_time_avg" totalsRowFunction="average" queryTableFieldId="10"/>
    <tableColumn id="11" xr3:uid="{3FE2766C-B1ED-46FB-9F41-C135A96390DF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6C8326-2E3E-4F4A-9B51-03725BA9D68A}" name="_grav_1_24" displayName="_grav_1_24" ref="A1:K12" tableType="queryTable" totalsRowCount="1">
  <autoFilter ref="A1:K11" xr:uid="{E80A74A6-0DEA-4BA0-9F4A-D364CA80A724}"/>
  <tableColumns count="11">
    <tableColumn id="1" xr3:uid="{D578926F-16EE-4D84-989A-6A3D5A178737}" uniqueName="1" name="step" totalsRowLabel="Ergebnis" queryTableFieldId="1"/>
    <tableColumn id="2" xr3:uid="{9AFC00E0-E385-487A-BDD2-083D2A7B331E}" uniqueName="2" name="total_time" totalsRowFunction="average" queryTableFieldId="2"/>
    <tableColumn id="3" xr3:uid="{59705F0E-B93A-4838-BF9F-4AF45CD3F3B8}" uniqueName="3" name="work_time_min" totalsRowFunction="average" queryTableFieldId="3"/>
    <tableColumn id="4" xr3:uid="{9F487229-EE2D-4E9B-B7DF-911FFC01C972}" uniqueName="4" name="work_time_avg" totalsRowFunction="average" queryTableFieldId="4"/>
    <tableColumn id="5" xr3:uid="{8407B2C7-0AB2-4989-BA56-7729CA09FD56}" uniqueName="5" name="work_time_max" totalsRowFunction="average" queryTableFieldId="5"/>
    <tableColumn id="6" xr3:uid="{434D5DB4-F595-4281-BFDF-84DECB89391C}" uniqueName="6" name="prep_time_min" totalsRowFunction="average" queryTableFieldId="6"/>
    <tableColumn id="7" xr3:uid="{8A43E586-CE3E-43CF-9253-70600CD24E9C}" uniqueName="7" name="prep_time_avg" totalsRowFunction="average" queryTableFieldId="7"/>
    <tableColumn id="8" xr3:uid="{3E1C98DC-077B-4239-90C8-CB7A1589F9F6}" uniqueName="8" name="prep_time_max" totalsRowFunction="average" queryTableFieldId="8"/>
    <tableColumn id="9" xr3:uid="{AE7E97A0-9402-4A5B-95B6-F02C7F6B2F94}" uniqueName="9" name="comm_time_min" totalsRowFunction="average" queryTableFieldId="9"/>
    <tableColumn id="10" xr3:uid="{B45B49B9-E1C8-4A91-9734-E08C46C1E710}" uniqueName="10" name="comm_time_avg" totalsRowFunction="average" queryTableFieldId="10"/>
    <tableColumn id="11" xr3:uid="{4E33DE86-DE49-4FA1-BC34-750363060938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5EA2C6-F22A-40F0-8D57-E6EFF39E9B3A}" name="_grav_1_23" displayName="_grav_1_23" ref="A1:K12" tableType="queryTable" totalsRowCount="1">
  <autoFilter ref="A1:K11" xr:uid="{FE4F8FFA-EBE1-407D-9118-517ABC74EFB0}"/>
  <tableColumns count="11">
    <tableColumn id="1" xr3:uid="{B42337CC-50AE-471F-9946-07D3C82DBCF7}" uniqueName="1" name="step" totalsRowLabel="Ergebnis" queryTableFieldId="1"/>
    <tableColumn id="2" xr3:uid="{5489129E-8FFA-48FB-8B40-673A2CF1C9D4}" uniqueName="2" name="total_time" totalsRowFunction="average" queryTableFieldId="2"/>
    <tableColumn id="3" xr3:uid="{B180F7ED-4C02-4AC2-9DBF-F6E8BA7C38DB}" uniqueName="3" name="work_time_min" totalsRowFunction="average" queryTableFieldId="3"/>
    <tableColumn id="4" xr3:uid="{D8549258-A3D3-4A01-B3BF-8D91184EADBF}" uniqueName="4" name="work_time_avg" totalsRowFunction="average" queryTableFieldId="4"/>
    <tableColumn id="5" xr3:uid="{F8396D81-7FFB-4619-A34D-3F49E54983B6}" uniqueName="5" name="work_time_max" totalsRowFunction="average" queryTableFieldId="5"/>
    <tableColumn id="6" xr3:uid="{622201B3-F7F2-47D3-B969-06BA01CD7250}" uniqueName="6" name="prep_time_min" totalsRowFunction="average" queryTableFieldId="6"/>
    <tableColumn id="7" xr3:uid="{860074F3-CA6F-4FDB-831C-EE20BB749045}" uniqueName="7" name="prep_time_avg" totalsRowFunction="average" queryTableFieldId="7"/>
    <tableColumn id="8" xr3:uid="{DA60BB8F-DD3D-4985-8327-A19F7B70AD55}" uniqueName="8" name="prep_time_max" totalsRowFunction="average" queryTableFieldId="8"/>
    <tableColumn id="9" xr3:uid="{78CDDE59-3EE2-4511-9257-0217C4CF4212}" uniqueName="9" name="comm_time_min" totalsRowFunction="average" queryTableFieldId="9"/>
    <tableColumn id="10" xr3:uid="{7CB4D51D-73A8-4008-A061-1409F5D51621}" uniqueName="10" name="comm_time_avg" totalsRowFunction="average" queryTableFieldId="10"/>
    <tableColumn id="11" xr3:uid="{76E8C887-D0E1-4F79-808F-AADCC39C8710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14B2684-EAD5-49F8-82F2-C1C53CFB31A4}" name="_grav_1_22" displayName="_grav_1_22" ref="A1:K12" tableType="queryTable" totalsRowCount="1">
  <autoFilter ref="A1:K11" xr:uid="{0EFEEA39-8EF2-4948-8C5B-79A4A42F2506}"/>
  <tableColumns count="11">
    <tableColumn id="1" xr3:uid="{8B655B39-A8F0-40FC-833A-10A25C25F188}" uniqueName="1" name="step" totalsRowLabel="Ergebnis" queryTableFieldId="1"/>
    <tableColumn id="2" xr3:uid="{F62E0DEB-B300-4054-9AF1-793C53F06426}" uniqueName="2" name="total_time" totalsRowFunction="average" queryTableFieldId="2"/>
    <tableColumn id="3" xr3:uid="{8FF27D0C-DDF5-4488-99B7-624654EACBDB}" uniqueName="3" name="work_time_min" totalsRowFunction="average" queryTableFieldId="3"/>
    <tableColumn id="4" xr3:uid="{87E92AEE-C2BE-47F5-8A46-836E21B23799}" uniqueName="4" name="work_time_avg" totalsRowFunction="average" queryTableFieldId="4"/>
    <tableColumn id="5" xr3:uid="{45BDC4E8-AA8B-4A7A-9D2D-5156B713FB75}" uniqueName="5" name="work_time_max" totalsRowFunction="average" queryTableFieldId="5"/>
    <tableColumn id="6" xr3:uid="{600D6E2E-E2AA-4DA2-A999-36AAC45311AB}" uniqueName="6" name="prep_time_min" totalsRowFunction="average" queryTableFieldId="6"/>
    <tableColumn id="7" xr3:uid="{F951F20D-0B45-4824-9D33-D0F141066A5A}" uniqueName="7" name="prep_time_avg" totalsRowFunction="average" queryTableFieldId="7"/>
    <tableColumn id="8" xr3:uid="{A852321F-EFC9-47F9-AA69-895582C5818B}" uniqueName="8" name="prep_time_max" totalsRowFunction="average" queryTableFieldId="8"/>
    <tableColumn id="9" xr3:uid="{422F7435-CDDF-4F69-BEC2-BB238B8B2BBA}" uniqueName="9" name="comm_time_min" totalsRowFunction="average" queryTableFieldId="9"/>
    <tableColumn id="10" xr3:uid="{8CCFF8F0-58C0-419E-9699-627FA60DB05D}" uniqueName="10" name="comm_time_avg" totalsRowFunction="average" queryTableFieldId="10"/>
    <tableColumn id="11" xr3:uid="{D87CD0F2-6016-48B5-A393-A7CC63C6588A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BCD8445-BDD5-48A0-9D96-E74700E9D775}" name="_grav_1_21" displayName="_grav_1_21" ref="A1:K12" tableType="queryTable" totalsRowCount="1">
  <autoFilter ref="A1:K11" xr:uid="{3EE7C62F-77B8-4274-A6DC-5350E9D9B987}"/>
  <tableColumns count="11">
    <tableColumn id="1" xr3:uid="{F97248F3-4A8A-4E67-ACB5-EA6AE50E1ACF}" uniqueName="1" name="step" totalsRowLabel="Ergebnis" queryTableFieldId="1"/>
    <tableColumn id="2" xr3:uid="{E2FEF52C-E22B-4984-9D2B-39516F7C5731}" uniqueName="2" name="total_time" totalsRowFunction="average" queryTableFieldId="2"/>
    <tableColumn id="3" xr3:uid="{7B5DDDB1-7875-433F-BCC2-57E51C2625FD}" uniqueName="3" name="work_time_min" totalsRowFunction="average" queryTableFieldId="3"/>
    <tableColumn id="4" xr3:uid="{CD68EE9C-16FF-49EC-B65C-0F16F56F3E76}" uniqueName="4" name="work_time_avg" totalsRowFunction="average" queryTableFieldId="4"/>
    <tableColumn id="5" xr3:uid="{EAC1A3D0-CB4F-4F7E-8D7F-E07AED2BF4C3}" uniqueName="5" name="work_time_max" totalsRowFunction="average" queryTableFieldId="5"/>
    <tableColumn id="6" xr3:uid="{260B4201-F62F-4EC6-8079-661F48906B72}" uniqueName="6" name="prep_time_min" totalsRowFunction="average" queryTableFieldId="6"/>
    <tableColumn id="7" xr3:uid="{D8F69DA6-B750-4AB9-96B5-006095EB5EBF}" uniqueName="7" name="prep_time_avg" totalsRowFunction="average" queryTableFieldId="7"/>
    <tableColumn id="8" xr3:uid="{D8E856EC-D068-4CAE-B9DC-8F0C32898E05}" uniqueName="8" name="prep_time_max" totalsRowFunction="average" queryTableFieldId="8"/>
    <tableColumn id="9" xr3:uid="{836D08BE-74BA-4BB8-BD02-BA2B059F4AEB}" uniqueName="9" name="comm_time_min" totalsRowFunction="average" queryTableFieldId="9"/>
    <tableColumn id="10" xr3:uid="{17D53B51-7DC6-4651-A138-C977E9205EC8}" uniqueName="10" name="comm_time_avg" totalsRowFunction="average" queryTableFieldId="10"/>
    <tableColumn id="11" xr3:uid="{481FD483-B7F9-434C-8A6F-19B921FB9929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B5939F-5B72-48C6-910D-FF6EA9EB9B89}" name="_grav_1_20" displayName="_grav_1_20" ref="A1:K12" tableType="queryTable" totalsRowCount="1">
  <autoFilter ref="A1:K11" xr:uid="{CC6C83BF-4F24-4E71-8B23-6E40B2782B74}"/>
  <tableColumns count="11">
    <tableColumn id="1" xr3:uid="{969DDD99-8B29-4B5E-9D15-13D30ECB7EE7}" uniqueName="1" name="step" totalsRowLabel="Ergebnis" queryTableFieldId="1"/>
    <tableColumn id="2" xr3:uid="{9A9CC02B-C1F5-45EE-AAA7-E63A052304EE}" uniqueName="2" name="total_time" totalsRowFunction="average" queryTableFieldId="2"/>
    <tableColumn id="3" xr3:uid="{ED1465DD-1957-40A6-AC32-9F7849D374A3}" uniqueName="3" name="work_time_min" totalsRowFunction="average" queryTableFieldId="3"/>
    <tableColumn id="4" xr3:uid="{C2A50B28-DA3B-424F-871B-E9AEF3393DC5}" uniqueName="4" name="work_time_avg" totalsRowFunction="average" queryTableFieldId="4"/>
    <tableColumn id="5" xr3:uid="{BEFB1CC7-7B74-4799-B079-2B0E6692D11F}" uniqueName="5" name="work_time_max" totalsRowFunction="average" queryTableFieldId="5"/>
    <tableColumn id="6" xr3:uid="{3A008386-BDBE-4ADA-BB0A-009508BD32D2}" uniqueName="6" name="prep_time_min" totalsRowFunction="average" queryTableFieldId="6"/>
    <tableColumn id="7" xr3:uid="{34D2AB46-097E-4F25-949D-DD6D34D006F8}" uniqueName="7" name="prep_time_avg" totalsRowFunction="average" queryTableFieldId="7"/>
    <tableColumn id="8" xr3:uid="{23DB6CC1-ED0E-4BB6-94AC-581C8120C3FF}" uniqueName="8" name="prep_time_max" totalsRowFunction="average" queryTableFieldId="8"/>
    <tableColumn id="9" xr3:uid="{EED357EE-9AD0-4638-94EF-8F08EF33A53C}" uniqueName="9" name="comm_time_min" totalsRowFunction="average" queryTableFieldId="9"/>
    <tableColumn id="10" xr3:uid="{4487247B-DB1B-47ED-98E4-19F951B94624}" uniqueName="10" name="comm_time_avg" totalsRowFunction="average" queryTableFieldId="10"/>
    <tableColumn id="11" xr3:uid="{835C4493-762D-44C1-8F17-96A2A1B679AC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866F10-23FE-4C2F-B4CA-59AFB4ED7713}" name="_grav_1_19" displayName="_grav_1_19" ref="A1:K12" tableType="queryTable" totalsRowCount="1">
  <autoFilter ref="A1:K11" xr:uid="{1914809B-C0CA-4C13-9CF9-F6DD601929DC}"/>
  <tableColumns count="11">
    <tableColumn id="1" xr3:uid="{773CD4B2-B6C5-46AF-A261-0C659CA12816}" uniqueName="1" name="step" totalsRowLabel="Ergebnis" queryTableFieldId="1"/>
    <tableColumn id="2" xr3:uid="{B2F88E21-A9A0-4C87-B9A3-3CF91CEB228F}" uniqueName="2" name="total_time" totalsRowFunction="average" queryTableFieldId="2"/>
    <tableColumn id="3" xr3:uid="{29BB01CC-95AB-4993-862D-D58AF5CB83DE}" uniqueName="3" name="work_time_min" totalsRowFunction="average" queryTableFieldId="3"/>
    <tableColumn id="4" xr3:uid="{AA17FAA8-C572-4730-9DDA-755D616959B4}" uniqueName="4" name="work_time_avg" totalsRowFunction="average" queryTableFieldId="4"/>
    <tableColumn id="5" xr3:uid="{74F6E60A-1ACE-48C9-B8BA-70CECB15454B}" uniqueName="5" name="work_time_max" totalsRowFunction="average" queryTableFieldId="5"/>
    <tableColumn id="6" xr3:uid="{6E81C849-EA27-4828-828B-EF1A4619806B}" uniqueName="6" name="prep_time_min" totalsRowFunction="average" queryTableFieldId="6"/>
    <tableColumn id="7" xr3:uid="{F7660A2C-59BE-4B9D-86CD-43692070DC2F}" uniqueName="7" name="prep_time_avg" totalsRowFunction="average" queryTableFieldId="7"/>
    <tableColumn id="8" xr3:uid="{EA1F93AB-D141-4AFC-9352-B28FCCB3C33E}" uniqueName="8" name="prep_time_max" totalsRowFunction="average" queryTableFieldId="8"/>
    <tableColumn id="9" xr3:uid="{449257BE-B37B-41E9-8A5C-C117506F2D7D}" uniqueName="9" name="comm_time_min" totalsRowFunction="average" queryTableFieldId="9"/>
    <tableColumn id="10" xr3:uid="{7B6546D6-42B8-4FB3-8585-29F3880446AF}" uniqueName="10" name="comm_time_avg" totalsRowFunction="average" queryTableFieldId="10"/>
    <tableColumn id="11" xr3:uid="{47DD13BD-C521-467B-8E26-7192F3F05336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491125-95C8-4BA6-A08B-FC8E96DBF3D3}" name="_grav_1_18" displayName="_grav_1_18" ref="A1:K12" tableType="queryTable" totalsRowCount="1">
  <autoFilter ref="A1:K11" xr:uid="{28467B90-35A0-41A8-97CE-7F439AB5054C}"/>
  <tableColumns count="11">
    <tableColumn id="1" xr3:uid="{D048BA8F-8D89-4509-AFE9-08B4B6D08A78}" uniqueName="1" name="step" totalsRowLabel="Ergebnis" queryTableFieldId="1"/>
    <tableColumn id="2" xr3:uid="{ACDA6322-3C49-4D08-870D-C9B79A074075}" uniqueName="2" name="total_time" totalsRowFunction="average" queryTableFieldId="2"/>
    <tableColumn id="3" xr3:uid="{9DD546BC-CC13-4780-842D-F99467DC7E93}" uniqueName="3" name="work_time_min" totalsRowFunction="average" queryTableFieldId="3"/>
    <tableColumn id="4" xr3:uid="{108BB4AF-A1FB-40D6-A7FE-C269B39689E1}" uniqueName="4" name="work_time_avg" totalsRowFunction="average" queryTableFieldId="4"/>
    <tableColumn id="5" xr3:uid="{08F106EA-0310-4711-8A87-9BFE3C12407F}" uniqueName="5" name="work_time_max" totalsRowFunction="average" queryTableFieldId="5"/>
    <tableColumn id="6" xr3:uid="{D29C7EC2-CD5F-4206-978B-D005BC906C56}" uniqueName="6" name="prep_time_min" totalsRowFunction="average" queryTableFieldId="6"/>
    <tableColumn id="7" xr3:uid="{9895E073-A8AE-41B2-B10D-F198782576C5}" uniqueName="7" name="prep_time_avg" totalsRowFunction="average" queryTableFieldId="7"/>
    <tableColumn id="8" xr3:uid="{862319AC-FEB7-40ED-8579-65CA00088C4F}" uniqueName="8" name="prep_time_max" totalsRowFunction="average" queryTableFieldId="8"/>
    <tableColumn id="9" xr3:uid="{AF0BF161-B655-484F-BD38-DDF67D0920A4}" uniqueName="9" name="comm_time_min" totalsRowFunction="average" queryTableFieldId="9"/>
    <tableColumn id="10" xr3:uid="{7A3A3FD8-79BC-4AF7-867A-030C75E9A58F}" uniqueName="10" name="comm_time_avg" totalsRowFunction="average" queryTableFieldId="10"/>
    <tableColumn id="11" xr3:uid="{E1F74AFC-FC0A-409A-8E5B-313D8B98913F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82A80F-FAD9-4357-B076-77D55B95DF1A}" name="_grav_1_17" displayName="_grav_1_17" ref="A1:K12" tableType="queryTable" totalsRowCount="1">
  <autoFilter ref="A1:K11" xr:uid="{7986859B-8DE3-4A51-9A2C-C96C9AFC6C2E}"/>
  <tableColumns count="11">
    <tableColumn id="1" xr3:uid="{8128EF3B-3888-4DF3-8A08-511F1CAA3CB5}" uniqueName="1" name="step" totalsRowLabel="Ergebnis" queryTableFieldId="1"/>
    <tableColumn id="2" xr3:uid="{712738F0-867F-4113-A49F-D4F588B31395}" uniqueName="2" name="total_time" totalsRowFunction="average" queryTableFieldId="2"/>
    <tableColumn id="3" xr3:uid="{C83E3FAD-8FAA-467E-84A3-FD5D0EB1F548}" uniqueName="3" name="work_time_min" totalsRowFunction="average" queryTableFieldId="3"/>
    <tableColumn id="4" xr3:uid="{07D0CADC-5770-4D0D-95FC-E52C13DEE1C2}" uniqueName="4" name="work_time_avg" totalsRowFunction="average" queryTableFieldId="4"/>
    <tableColumn id="5" xr3:uid="{1D26D6A5-ADE9-4E5F-BA36-22027788658C}" uniqueName="5" name="work_time_max" totalsRowFunction="average" queryTableFieldId="5"/>
    <tableColumn id="6" xr3:uid="{742CCA86-27A1-4106-BD58-2C0DF5CF03D4}" uniqueName="6" name="prep_time_min" totalsRowFunction="average" queryTableFieldId="6"/>
    <tableColumn id="7" xr3:uid="{1B0DB43B-9581-4B1A-A4E9-5D84BEFE3A56}" uniqueName="7" name="prep_time_avg" totalsRowFunction="average" queryTableFieldId="7"/>
    <tableColumn id="8" xr3:uid="{668A2E78-F78F-418B-8904-DC2BA2D7333E}" uniqueName="8" name="prep_time_max" totalsRowFunction="average" queryTableFieldId="8"/>
    <tableColumn id="9" xr3:uid="{41956819-5A62-4AA4-82C0-16A49F2943EB}" uniqueName="9" name="comm_time_min" totalsRowFunction="average" queryTableFieldId="9"/>
    <tableColumn id="10" xr3:uid="{6DDE0CE8-9329-4648-9577-148B3FC91B40}" uniqueName="10" name="comm_time_avg" totalsRowFunction="average" queryTableFieldId="10"/>
    <tableColumn id="11" xr3:uid="{7823B370-DB16-4C79-9658-6178BB9AB07F}" uniqueName="11" name="comm_time_max" totalsRowFunction="averag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0C7F-217F-405B-B920-9BC379A39B09}">
  <dimension ref="A1:K7"/>
  <sheetViews>
    <sheetView workbookViewId="0">
      <selection activeCell="C10" sqref="C10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1270</v>
      </c>
      <c r="C2">
        <v>1290</v>
      </c>
      <c r="D2">
        <v>1290</v>
      </c>
      <c r="E2">
        <v>1290</v>
      </c>
      <c r="F2">
        <v>4.8199999999999999E-5</v>
      </c>
      <c r="G2">
        <v>4.8199999999999999E-5</v>
      </c>
      <c r="H2">
        <v>4.8199999999999999E-5</v>
      </c>
      <c r="I2">
        <v>7.1500000000000002E-6</v>
      </c>
      <c r="J2">
        <v>7.1500000000000002E-6</v>
      </c>
      <c r="K2">
        <v>7.1500000000000002E-6</v>
      </c>
    </row>
    <row r="3" spans="1:11" x14ac:dyDescent="0.25">
      <c r="A3">
        <v>2</v>
      </c>
      <c r="B3">
        <v>1270</v>
      </c>
      <c r="C3">
        <v>1290</v>
      </c>
      <c r="D3">
        <v>1290</v>
      </c>
      <c r="E3">
        <v>1290</v>
      </c>
      <c r="F3">
        <v>2.2200000000000001E-5</v>
      </c>
      <c r="G3">
        <v>2.2200000000000001E-5</v>
      </c>
      <c r="H3">
        <v>2.2200000000000001E-5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1270</v>
      </c>
      <c r="C4">
        <v>1290</v>
      </c>
      <c r="D4">
        <v>1290</v>
      </c>
      <c r="E4">
        <v>1290</v>
      </c>
      <c r="F4">
        <v>1.5999999999999999E-5</v>
      </c>
      <c r="G4">
        <v>1.5999999999999999E-5</v>
      </c>
      <c r="H4">
        <v>1.5999999999999999E-5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1270</v>
      </c>
      <c r="C5">
        <v>1290</v>
      </c>
      <c r="D5">
        <v>1290</v>
      </c>
      <c r="E5">
        <v>1290</v>
      </c>
      <c r="F5">
        <v>1.5E-5</v>
      </c>
      <c r="G5">
        <v>1.5E-5</v>
      </c>
      <c r="H5">
        <v>1.5E-5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1270</v>
      </c>
      <c r="C6">
        <v>1290</v>
      </c>
      <c r="D6">
        <v>1290</v>
      </c>
      <c r="E6">
        <v>1290</v>
      </c>
      <c r="F6">
        <v>2.0999999999999999E-5</v>
      </c>
      <c r="G6">
        <v>2.0999999999999999E-5</v>
      </c>
      <c r="H6">
        <v>2.0999999999999999E-5</v>
      </c>
      <c r="I6">
        <v>3.1E-6</v>
      </c>
      <c r="J6">
        <v>3.1E-6</v>
      </c>
      <c r="K6">
        <v>3.1E-6</v>
      </c>
    </row>
    <row r="7" spans="1:11" x14ac:dyDescent="0.25">
      <c r="A7" t="s">
        <v>11</v>
      </c>
      <c r="B7">
        <f>SUBTOTAL(101,_grav_1_25[total_time])</f>
        <v>1270</v>
      </c>
      <c r="C7">
        <f>SUBTOTAL(101,_grav_1_25[work_time_min])</f>
        <v>1290</v>
      </c>
      <c r="D7">
        <f>SUBTOTAL(101,_grav_1_25[work_time_avg])</f>
        <v>1290</v>
      </c>
      <c r="E7">
        <f>SUBTOTAL(101,_grav_1_25[work_time_max])</f>
        <v>1290</v>
      </c>
      <c r="F7">
        <f>SUBTOTAL(101,_grav_1_25[prep_time_min])</f>
        <v>2.4479999999999999E-5</v>
      </c>
      <c r="G7">
        <f>SUBTOTAL(101,_grav_1_25[prep_time_avg])</f>
        <v>2.4479999999999999E-5</v>
      </c>
      <c r="H7">
        <f>SUBTOTAL(101,_grav_1_25[prep_time_max])</f>
        <v>2.4479999999999999E-5</v>
      </c>
      <c r="I7">
        <f>SUBTOTAL(101,_grav_1_25[comm_time_min])</f>
        <v>3.8140000000000002E-6</v>
      </c>
      <c r="J7">
        <f>SUBTOTAL(101,_grav_1_25[comm_time_avg])</f>
        <v>3.8140000000000002E-6</v>
      </c>
      <c r="K7">
        <f>SUBTOTAL(101,_grav_1_25[comm_time_max])</f>
        <v>3.8140000000000002E-6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761A-FFEF-4B15-A416-0CEF6B048E02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1.91</v>
      </c>
      <c r="C2">
        <v>1.95</v>
      </c>
      <c r="D2">
        <v>1.95</v>
      </c>
      <c r="E2">
        <v>1.95</v>
      </c>
      <c r="F2">
        <v>8.0099999999999995E-5</v>
      </c>
      <c r="G2">
        <v>8.0099999999999995E-5</v>
      </c>
      <c r="H2">
        <v>8.0099999999999995E-5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1.9</v>
      </c>
      <c r="C3">
        <v>1.95</v>
      </c>
      <c r="D3">
        <v>1.95</v>
      </c>
      <c r="E3">
        <v>1.95</v>
      </c>
      <c r="F3">
        <v>5.0100000000000003E-6</v>
      </c>
      <c r="G3">
        <v>5.0100000000000003E-6</v>
      </c>
      <c r="H3">
        <v>5.0100000000000003E-6</v>
      </c>
      <c r="I3">
        <v>2.1500000000000002E-6</v>
      </c>
      <c r="J3">
        <v>2.1500000000000002E-6</v>
      </c>
      <c r="K3">
        <v>2.1500000000000002E-6</v>
      </c>
    </row>
    <row r="4" spans="1:11" x14ac:dyDescent="0.25">
      <c r="A4">
        <v>3</v>
      </c>
      <c r="B4">
        <v>1.9</v>
      </c>
      <c r="C4">
        <v>1.95</v>
      </c>
      <c r="D4">
        <v>1.95</v>
      </c>
      <c r="E4">
        <v>1.95</v>
      </c>
      <c r="F4">
        <v>1.0000000000000001E-5</v>
      </c>
      <c r="G4">
        <v>1.0000000000000001E-5</v>
      </c>
      <c r="H4">
        <v>1.0000000000000001E-5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1.9</v>
      </c>
      <c r="C5">
        <v>1.95</v>
      </c>
      <c r="D5">
        <v>1.95</v>
      </c>
      <c r="E5">
        <v>1.95</v>
      </c>
      <c r="F5">
        <v>9.0599999999999997E-6</v>
      </c>
      <c r="G5">
        <v>9.0599999999999997E-6</v>
      </c>
      <c r="H5">
        <v>9.0599999999999997E-6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1.91</v>
      </c>
      <c r="C6">
        <v>1.95</v>
      </c>
      <c r="D6">
        <v>1.95</v>
      </c>
      <c r="E6">
        <v>1.95</v>
      </c>
      <c r="F6">
        <v>8.1100000000000003E-6</v>
      </c>
      <c r="G6">
        <v>8.1100000000000003E-6</v>
      </c>
      <c r="H6">
        <v>8.1100000000000003E-6</v>
      </c>
      <c r="I6">
        <v>1.9099999999999999E-6</v>
      </c>
      <c r="J6">
        <v>1.9099999999999999E-6</v>
      </c>
      <c r="K6">
        <v>1.9099999999999999E-6</v>
      </c>
    </row>
    <row r="7" spans="1:11" x14ac:dyDescent="0.25">
      <c r="A7">
        <v>6</v>
      </c>
      <c r="B7">
        <v>1.9</v>
      </c>
      <c r="C7">
        <v>1.95</v>
      </c>
      <c r="D7">
        <v>1.95</v>
      </c>
      <c r="E7">
        <v>1.95</v>
      </c>
      <c r="F7">
        <v>4.0500000000000002E-6</v>
      </c>
      <c r="G7">
        <v>4.0500000000000002E-6</v>
      </c>
      <c r="H7">
        <v>4.0500000000000002E-6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1.91</v>
      </c>
      <c r="C8">
        <v>1.95</v>
      </c>
      <c r="D8">
        <v>1.95</v>
      </c>
      <c r="E8">
        <v>1.95</v>
      </c>
      <c r="F8">
        <v>4.0500000000000002E-6</v>
      </c>
      <c r="G8">
        <v>4.0500000000000002E-6</v>
      </c>
      <c r="H8">
        <v>4.0500000000000002E-6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1.91</v>
      </c>
      <c r="C9">
        <v>1.95</v>
      </c>
      <c r="D9">
        <v>1.95</v>
      </c>
      <c r="E9">
        <v>1.95</v>
      </c>
      <c r="F9">
        <v>2.5999999999999998E-5</v>
      </c>
      <c r="G9">
        <v>2.5999999999999998E-5</v>
      </c>
      <c r="H9">
        <v>2.5999999999999998E-5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1.9</v>
      </c>
      <c r="C10">
        <v>1.95</v>
      </c>
      <c r="D10">
        <v>1.95</v>
      </c>
      <c r="E10">
        <v>1.95</v>
      </c>
      <c r="F10">
        <v>1.0000000000000001E-5</v>
      </c>
      <c r="G10">
        <v>1.0000000000000001E-5</v>
      </c>
      <c r="H10">
        <v>1.0000000000000001E-5</v>
      </c>
      <c r="I10">
        <v>2.1500000000000002E-6</v>
      </c>
      <c r="J10">
        <v>2.1500000000000002E-6</v>
      </c>
      <c r="K10">
        <v>2.1500000000000002E-6</v>
      </c>
    </row>
    <row r="11" spans="1:11" x14ac:dyDescent="0.25">
      <c r="A11">
        <v>10</v>
      </c>
      <c r="B11">
        <v>1.91</v>
      </c>
      <c r="C11">
        <v>1.95</v>
      </c>
      <c r="D11">
        <v>1.95</v>
      </c>
      <c r="E11">
        <v>1.95</v>
      </c>
      <c r="F11">
        <v>5.0100000000000003E-6</v>
      </c>
      <c r="G11">
        <v>5.0100000000000003E-6</v>
      </c>
      <c r="H11">
        <v>5.0100000000000003E-6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SUBTOTAL(101,_grav_1_16[total_time])</f>
        <v>1.905</v>
      </c>
      <c r="C12">
        <f>SUBTOTAL(101,_grav_1_16[work_time_min])</f>
        <v>1.9499999999999997</v>
      </c>
      <c r="D12">
        <f>SUBTOTAL(101,_grav_1_16[work_time_avg])</f>
        <v>1.9499999999999997</v>
      </c>
      <c r="E12">
        <f>SUBTOTAL(101,_grav_1_16[work_time_max])</f>
        <v>1.9499999999999997</v>
      </c>
      <c r="F12">
        <f>SUBTOTAL(101,_grav_1_16[prep_time_min])</f>
        <v>1.6138999999999999E-5</v>
      </c>
      <c r="G12">
        <f>SUBTOTAL(101,_grav_1_16[prep_time_avg])</f>
        <v>1.6138999999999999E-5</v>
      </c>
      <c r="H12">
        <f>SUBTOTAL(101,_grav_1_16[prep_time_max])</f>
        <v>1.6138999999999999E-5</v>
      </c>
      <c r="I12">
        <f>SUBTOTAL(101,_grav_1_16[comm_time_min])</f>
        <v>2.1712000000000005E-6</v>
      </c>
      <c r="J12">
        <f>SUBTOTAL(101,_grav_1_16[comm_time_avg])</f>
        <v>2.1712000000000005E-6</v>
      </c>
      <c r="K12">
        <f>SUBTOTAL(101,_grav_1_16[comm_time_max])</f>
        <v>2.1712000000000005E-6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B3BB9-B709-4B9C-ACDF-B5E469D4748E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0.68200000000000005</v>
      </c>
      <c r="C2">
        <v>0.70399999999999996</v>
      </c>
      <c r="D2">
        <v>0.70399999999999996</v>
      </c>
      <c r="E2">
        <v>0.70399999999999996</v>
      </c>
      <c r="F2">
        <v>8.0099999999999995E-5</v>
      </c>
      <c r="G2">
        <v>8.0099999999999995E-5</v>
      </c>
      <c r="H2">
        <v>8.0099999999999995E-5</v>
      </c>
      <c r="I2">
        <v>5.9599999999999997E-6</v>
      </c>
      <c r="J2">
        <v>5.9599999999999997E-6</v>
      </c>
      <c r="K2">
        <v>5.9599999999999997E-6</v>
      </c>
    </row>
    <row r="3" spans="1:11" x14ac:dyDescent="0.25">
      <c r="A3">
        <v>2</v>
      </c>
      <c r="B3">
        <v>0.72</v>
      </c>
      <c r="C3">
        <v>0.74299999999999999</v>
      </c>
      <c r="D3">
        <v>0.74299999999999999</v>
      </c>
      <c r="E3">
        <v>0.74299999999999999</v>
      </c>
      <c r="F3">
        <v>2.8600000000000001E-6</v>
      </c>
      <c r="G3">
        <v>2.8600000000000001E-6</v>
      </c>
      <c r="H3">
        <v>2.8600000000000001E-6</v>
      </c>
      <c r="I3">
        <v>9.540000000000001E-7</v>
      </c>
      <c r="J3">
        <v>9.540000000000001E-7</v>
      </c>
      <c r="K3">
        <v>9.540000000000001E-7</v>
      </c>
    </row>
    <row r="4" spans="1:11" x14ac:dyDescent="0.25">
      <c r="A4">
        <v>3</v>
      </c>
      <c r="B4">
        <v>0.68300000000000005</v>
      </c>
      <c r="C4">
        <v>0.70499999999999996</v>
      </c>
      <c r="D4">
        <v>0.70499999999999996</v>
      </c>
      <c r="E4">
        <v>0.70499999999999996</v>
      </c>
      <c r="F4">
        <v>2.1500000000000002E-6</v>
      </c>
      <c r="G4">
        <v>2.1500000000000002E-6</v>
      </c>
      <c r="H4">
        <v>2.1500000000000002E-6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0.68200000000000005</v>
      </c>
      <c r="C5">
        <v>0.70399999999999996</v>
      </c>
      <c r="D5">
        <v>0.70399999999999996</v>
      </c>
      <c r="E5">
        <v>0.70399999999999996</v>
      </c>
      <c r="F5">
        <v>7.1500000000000002E-6</v>
      </c>
      <c r="G5">
        <v>7.1500000000000002E-6</v>
      </c>
      <c r="H5">
        <v>7.1500000000000002E-6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0.68300000000000005</v>
      </c>
      <c r="C6">
        <v>0.70499999999999996</v>
      </c>
      <c r="D6">
        <v>0.70499999999999996</v>
      </c>
      <c r="E6">
        <v>0.70499999999999996</v>
      </c>
      <c r="F6">
        <v>2.1500000000000002E-6</v>
      </c>
      <c r="G6">
        <v>2.1500000000000002E-6</v>
      </c>
      <c r="H6">
        <v>2.1500000000000002E-6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0.68300000000000005</v>
      </c>
      <c r="C7">
        <v>0.70499999999999996</v>
      </c>
      <c r="D7">
        <v>0.70499999999999996</v>
      </c>
      <c r="E7">
        <v>0.70499999999999996</v>
      </c>
      <c r="F7">
        <v>1.9099999999999999E-6</v>
      </c>
      <c r="G7">
        <v>1.9099999999999999E-6</v>
      </c>
      <c r="H7">
        <v>1.9099999999999999E-6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0.68200000000000005</v>
      </c>
      <c r="C8">
        <v>0.70399999999999996</v>
      </c>
      <c r="D8">
        <v>0.70399999999999996</v>
      </c>
      <c r="E8">
        <v>0.70399999999999996</v>
      </c>
      <c r="F8">
        <v>8.1100000000000003E-6</v>
      </c>
      <c r="G8">
        <v>8.1100000000000003E-6</v>
      </c>
      <c r="H8">
        <v>8.1100000000000003E-6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0.68600000000000005</v>
      </c>
      <c r="C9">
        <v>0.70799999999999996</v>
      </c>
      <c r="D9">
        <v>0.70799999999999996</v>
      </c>
      <c r="E9">
        <v>0.70799999999999996</v>
      </c>
      <c r="F9">
        <v>2.1500000000000002E-6</v>
      </c>
      <c r="G9">
        <v>2.1500000000000002E-6</v>
      </c>
      <c r="H9">
        <v>2.1500000000000002E-6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0.68100000000000005</v>
      </c>
      <c r="C10">
        <v>0.70299999999999996</v>
      </c>
      <c r="D10">
        <v>0.70299999999999996</v>
      </c>
      <c r="E10">
        <v>0.70299999999999996</v>
      </c>
      <c r="F10">
        <v>3.1E-6</v>
      </c>
      <c r="G10">
        <v>3.1E-6</v>
      </c>
      <c r="H10">
        <v>3.1E-6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0.68400000000000005</v>
      </c>
      <c r="C11">
        <v>0.70599999999999996</v>
      </c>
      <c r="D11">
        <v>0.70599999999999996</v>
      </c>
      <c r="E11">
        <v>0.70599999999999996</v>
      </c>
      <c r="F11">
        <v>1.9099999999999999E-6</v>
      </c>
      <c r="G11">
        <v>1.9099999999999999E-6</v>
      </c>
      <c r="H11">
        <v>1.9099999999999999E-6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SUBTOTAL(101,_grav_1_15[total_time])</f>
        <v>0.6866000000000001</v>
      </c>
      <c r="C12">
        <f>SUBTOTAL(101,_grav_1_15[work_time_min])</f>
        <v>0.7087</v>
      </c>
      <c r="D12">
        <f>SUBTOTAL(101,_grav_1_15[work_time_avg])</f>
        <v>0.7087</v>
      </c>
      <c r="E12">
        <f>SUBTOTAL(101,_grav_1_15[work_time_max])</f>
        <v>0.7087</v>
      </c>
      <c r="F12">
        <f>SUBTOTAL(101,_grav_1_15[prep_time_min])</f>
        <v>1.1158999999999998E-5</v>
      </c>
      <c r="G12">
        <f>SUBTOTAL(101,_grav_1_15[prep_time_avg])</f>
        <v>1.1158999999999998E-5</v>
      </c>
      <c r="H12">
        <f>SUBTOTAL(101,_grav_1_15[prep_time_max])</f>
        <v>1.1158999999999998E-5</v>
      </c>
      <c r="I12">
        <f>SUBTOTAL(101,_grav_1_15[comm_time_min])</f>
        <v>1.5501999999999998E-6</v>
      </c>
      <c r="J12">
        <f>SUBTOTAL(101,_grav_1_15[comm_time_avg])</f>
        <v>1.5501999999999998E-6</v>
      </c>
      <c r="K12">
        <f>SUBTOTAL(101,_grav_1_15[comm_time_max])</f>
        <v>1.5501999999999998E-6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A263-444F-44F5-B860-06C28163A28F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0.499</v>
      </c>
      <c r="C2">
        <v>0.51</v>
      </c>
      <c r="D2">
        <v>0.51</v>
      </c>
      <c r="E2">
        <v>0.51</v>
      </c>
      <c r="F2">
        <v>2.8099999999999999E-5</v>
      </c>
      <c r="G2">
        <v>2.8099999999999999E-5</v>
      </c>
      <c r="H2">
        <v>2.8099999999999999E-5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0.51600000000000001</v>
      </c>
      <c r="C3">
        <v>0.52700000000000002</v>
      </c>
      <c r="D3">
        <v>0.52700000000000002</v>
      </c>
      <c r="E3">
        <v>0.52700000000000002</v>
      </c>
      <c r="F3">
        <v>4.0500000000000002E-6</v>
      </c>
      <c r="G3">
        <v>4.0500000000000002E-6</v>
      </c>
      <c r="H3">
        <v>4.0500000000000002E-6</v>
      </c>
      <c r="I3">
        <v>9.540000000000001E-7</v>
      </c>
      <c r="J3">
        <v>9.540000000000001E-7</v>
      </c>
      <c r="K3">
        <v>9.540000000000001E-7</v>
      </c>
    </row>
    <row r="4" spans="1:11" x14ac:dyDescent="0.25">
      <c r="A4">
        <v>3</v>
      </c>
      <c r="B4">
        <v>0.51900000000000002</v>
      </c>
      <c r="C4">
        <v>0.53</v>
      </c>
      <c r="D4">
        <v>0.53</v>
      </c>
      <c r="E4">
        <v>0.53</v>
      </c>
      <c r="F4">
        <v>2.8600000000000001E-6</v>
      </c>
      <c r="G4">
        <v>2.8600000000000001E-6</v>
      </c>
      <c r="H4">
        <v>2.8600000000000001E-6</v>
      </c>
      <c r="I4">
        <v>2.1500000000000002E-6</v>
      </c>
      <c r="J4">
        <v>2.1500000000000002E-6</v>
      </c>
      <c r="K4">
        <v>2.1500000000000002E-6</v>
      </c>
    </row>
    <row r="5" spans="1:11" x14ac:dyDescent="0.25">
      <c r="A5">
        <v>4</v>
      </c>
      <c r="B5">
        <v>0.499</v>
      </c>
      <c r="C5">
        <v>0.51</v>
      </c>
      <c r="D5">
        <v>0.51</v>
      </c>
      <c r="E5">
        <v>0.51</v>
      </c>
      <c r="F5">
        <v>2.8600000000000001E-6</v>
      </c>
      <c r="G5">
        <v>2.8600000000000001E-6</v>
      </c>
      <c r="H5">
        <v>2.8600000000000001E-6</v>
      </c>
      <c r="I5">
        <v>1.19E-6</v>
      </c>
      <c r="J5">
        <v>1.19E-6</v>
      </c>
      <c r="K5">
        <v>1.19E-6</v>
      </c>
    </row>
    <row r="6" spans="1:11" x14ac:dyDescent="0.25">
      <c r="A6">
        <v>5</v>
      </c>
      <c r="B6">
        <v>0.499</v>
      </c>
      <c r="C6">
        <v>0.51</v>
      </c>
      <c r="D6">
        <v>0.51</v>
      </c>
      <c r="E6">
        <v>0.51</v>
      </c>
      <c r="F6">
        <v>5.9599999999999997E-6</v>
      </c>
      <c r="G6">
        <v>5.9599999999999997E-6</v>
      </c>
      <c r="H6">
        <v>5.9599999999999997E-6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0.499</v>
      </c>
      <c r="C7">
        <v>0.51</v>
      </c>
      <c r="D7">
        <v>0.51</v>
      </c>
      <c r="E7">
        <v>0.51</v>
      </c>
      <c r="F7">
        <v>2.8600000000000001E-6</v>
      </c>
      <c r="G7">
        <v>2.8600000000000001E-6</v>
      </c>
      <c r="H7">
        <v>2.8600000000000001E-6</v>
      </c>
      <c r="I7">
        <v>1.19E-6</v>
      </c>
      <c r="J7">
        <v>1.19E-6</v>
      </c>
      <c r="K7">
        <v>1.19E-6</v>
      </c>
    </row>
    <row r="8" spans="1:11" x14ac:dyDescent="0.25">
      <c r="A8">
        <v>7</v>
      </c>
      <c r="B8">
        <v>0.5</v>
      </c>
      <c r="C8">
        <v>0.51100000000000001</v>
      </c>
      <c r="D8">
        <v>0.51100000000000001</v>
      </c>
      <c r="E8">
        <v>0.51100000000000001</v>
      </c>
      <c r="F8">
        <v>2.8600000000000001E-6</v>
      </c>
      <c r="G8">
        <v>2.8600000000000001E-6</v>
      </c>
      <c r="H8">
        <v>2.8600000000000001E-6</v>
      </c>
      <c r="I8">
        <v>1.19E-6</v>
      </c>
      <c r="J8">
        <v>1.19E-6</v>
      </c>
      <c r="K8">
        <v>1.19E-6</v>
      </c>
    </row>
    <row r="9" spans="1:11" x14ac:dyDescent="0.25">
      <c r="A9">
        <v>8</v>
      </c>
      <c r="B9">
        <v>0.499</v>
      </c>
      <c r="C9">
        <v>0.51</v>
      </c>
      <c r="D9">
        <v>0.51</v>
      </c>
      <c r="E9">
        <v>0.51</v>
      </c>
      <c r="F9">
        <v>2.8600000000000001E-6</v>
      </c>
      <c r="G9">
        <v>2.8600000000000001E-6</v>
      </c>
      <c r="H9">
        <v>2.8600000000000001E-6</v>
      </c>
      <c r="I9">
        <v>2.1500000000000002E-6</v>
      </c>
      <c r="J9">
        <v>2.1500000000000002E-6</v>
      </c>
      <c r="K9">
        <v>2.1500000000000002E-6</v>
      </c>
    </row>
    <row r="10" spans="1:11" x14ac:dyDescent="0.25">
      <c r="A10">
        <v>9</v>
      </c>
      <c r="B10">
        <v>0.499</v>
      </c>
      <c r="C10">
        <v>0.51</v>
      </c>
      <c r="D10">
        <v>0.51</v>
      </c>
      <c r="E10">
        <v>0.51</v>
      </c>
      <c r="F10">
        <v>5.9599999999999997E-6</v>
      </c>
      <c r="G10">
        <v>5.9599999999999997E-6</v>
      </c>
      <c r="H10">
        <v>5.9599999999999997E-6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0.501</v>
      </c>
      <c r="C11">
        <v>0.51200000000000001</v>
      </c>
      <c r="D11">
        <v>0.51200000000000001</v>
      </c>
      <c r="E11">
        <v>0.51200000000000001</v>
      </c>
      <c r="F11">
        <v>3.1E-6</v>
      </c>
      <c r="G11">
        <v>3.1E-6</v>
      </c>
      <c r="H11">
        <v>3.1E-6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SUBTOTAL(101,_grav_1_14[total_time])</f>
        <v>0.503</v>
      </c>
      <c r="C12">
        <f>SUBTOTAL(101,_grav_1_14[work_time_min])</f>
        <v>0.5139999999999999</v>
      </c>
      <c r="D12">
        <f>SUBTOTAL(101,_grav_1_14[work_time_avg])</f>
        <v>0.5139999999999999</v>
      </c>
      <c r="E12">
        <f>SUBTOTAL(101,_grav_1_14[work_time_max])</f>
        <v>0.5139999999999999</v>
      </c>
      <c r="F12">
        <f>SUBTOTAL(101,_grav_1_14[prep_time_min])</f>
        <v>6.1470000000000006E-6</v>
      </c>
      <c r="G12">
        <f>SUBTOTAL(101,_grav_1_14[prep_time_avg])</f>
        <v>6.1470000000000006E-6</v>
      </c>
      <c r="H12">
        <f>SUBTOTAL(101,_grav_1_14[prep_time_max])</f>
        <v>6.1470000000000006E-6</v>
      </c>
      <c r="I12">
        <f>SUBTOTAL(101,_grav_1_14[comm_time_min])</f>
        <v>1.8596000000000004E-6</v>
      </c>
      <c r="J12">
        <f>SUBTOTAL(101,_grav_1_14[comm_time_avg])</f>
        <v>1.8596000000000004E-6</v>
      </c>
      <c r="K12">
        <f>SUBTOTAL(101,_grav_1_14[comm_time_max])</f>
        <v>1.8596000000000004E-6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7E01-E048-4033-B4A3-077BB9B8C0CF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0.13500000000000001</v>
      </c>
      <c r="C2">
        <v>0.14000000000000001</v>
      </c>
      <c r="D2">
        <v>0.14000000000000001</v>
      </c>
      <c r="E2">
        <v>0.14000000000000001</v>
      </c>
      <c r="F2">
        <v>7.9200000000000001E-5</v>
      </c>
      <c r="G2">
        <v>7.9200000000000001E-5</v>
      </c>
      <c r="H2">
        <v>7.9200000000000001E-5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0.13400000000000001</v>
      </c>
      <c r="C3">
        <v>0.13900000000000001</v>
      </c>
      <c r="D3">
        <v>0.13900000000000001</v>
      </c>
      <c r="E3">
        <v>0.13900000000000001</v>
      </c>
      <c r="F3">
        <v>1.9099999999999999E-6</v>
      </c>
      <c r="G3">
        <v>1.9099999999999999E-6</v>
      </c>
      <c r="H3">
        <v>1.9099999999999999E-6</v>
      </c>
      <c r="I3">
        <v>2.1500000000000002E-6</v>
      </c>
      <c r="J3">
        <v>2.1500000000000002E-6</v>
      </c>
      <c r="K3">
        <v>2.1500000000000002E-6</v>
      </c>
    </row>
    <row r="4" spans="1:11" x14ac:dyDescent="0.25">
      <c r="A4">
        <v>3</v>
      </c>
      <c r="B4">
        <v>0.13400000000000001</v>
      </c>
      <c r="C4">
        <v>0.13900000000000001</v>
      </c>
      <c r="D4">
        <v>0.13900000000000001</v>
      </c>
      <c r="E4">
        <v>0.13900000000000001</v>
      </c>
      <c r="F4">
        <v>2.8600000000000001E-6</v>
      </c>
      <c r="G4">
        <v>2.8600000000000001E-6</v>
      </c>
      <c r="H4">
        <v>2.8600000000000001E-6</v>
      </c>
      <c r="I4">
        <v>0</v>
      </c>
      <c r="J4">
        <v>0</v>
      </c>
      <c r="K4">
        <v>0</v>
      </c>
    </row>
    <row r="5" spans="1:11" x14ac:dyDescent="0.25">
      <c r="A5">
        <v>4</v>
      </c>
      <c r="B5">
        <v>0.13600000000000001</v>
      </c>
      <c r="C5">
        <v>0.14199999999999999</v>
      </c>
      <c r="D5">
        <v>0.14199999999999999</v>
      </c>
      <c r="E5">
        <v>0.14199999999999999</v>
      </c>
      <c r="F5">
        <v>2.1500000000000002E-6</v>
      </c>
      <c r="G5">
        <v>2.1500000000000002E-6</v>
      </c>
      <c r="H5">
        <v>2.1500000000000002E-6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0.13500000000000001</v>
      </c>
      <c r="C6">
        <v>0.14000000000000001</v>
      </c>
      <c r="D6">
        <v>0.14000000000000001</v>
      </c>
      <c r="E6">
        <v>0.14000000000000001</v>
      </c>
      <c r="F6">
        <v>4.0500000000000002E-6</v>
      </c>
      <c r="G6">
        <v>4.0500000000000002E-6</v>
      </c>
      <c r="H6">
        <v>4.0500000000000002E-6</v>
      </c>
      <c r="I6">
        <v>0</v>
      </c>
      <c r="J6">
        <v>0</v>
      </c>
      <c r="K6">
        <v>0</v>
      </c>
    </row>
    <row r="7" spans="1:11" x14ac:dyDescent="0.25">
      <c r="A7">
        <v>6</v>
      </c>
      <c r="B7">
        <v>0.13600000000000001</v>
      </c>
      <c r="C7">
        <v>0.14099999999999999</v>
      </c>
      <c r="D7">
        <v>0.14099999999999999</v>
      </c>
      <c r="E7">
        <v>0.14099999999999999</v>
      </c>
      <c r="F7">
        <v>1.9099999999999999E-6</v>
      </c>
      <c r="G7">
        <v>1.9099999999999999E-6</v>
      </c>
      <c r="H7">
        <v>1.9099999999999999E-6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0.13600000000000001</v>
      </c>
      <c r="C8">
        <v>0.14099999999999999</v>
      </c>
      <c r="D8">
        <v>0.14099999999999999</v>
      </c>
      <c r="E8">
        <v>0.14099999999999999</v>
      </c>
      <c r="F8">
        <v>9.540000000000001E-7</v>
      </c>
      <c r="G8">
        <v>9.540000000000001E-7</v>
      </c>
      <c r="H8">
        <v>9.540000000000001E-7</v>
      </c>
      <c r="I8">
        <v>1.19E-6</v>
      </c>
      <c r="J8">
        <v>1.19E-6</v>
      </c>
      <c r="K8">
        <v>1.19E-6</v>
      </c>
    </row>
    <row r="9" spans="1:11" x14ac:dyDescent="0.25">
      <c r="A9">
        <v>8</v>
      </c>
      <c r="B9">
        <v>0.13400000000000001</v>
      </c>
      <c r="C9">
        <v>0.13900000000000001</v>
      </c>
      <c r="D9">
        <v>0.13900000000000001</v>
      </c>
      <c r="E9">
        <v>0.13900000000000001</v>
      </c>
      <c r="F9">
        <v>9.540000000000001E-7</v>
      </c>
      <c r="G9">
        <v>9.540000000000001E-7</v>
      </c>
      <c r="H9">
        <v>9.540000000000001E-7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0.13400000000000001</v>
      </c>
      <c r="C10">
        <v>0.14000000000000001</v>
      </c>
      <c r="D10">
        <v>0.14000000000000001</v>
      </c>
      <c r="E10">
        <v>0.14000000000000001</v>
      </c>
      <c r="F10">
        <v>9.540000000000001E-7</v>
      </c>
      <c r="G10">
        <v>9.540000000000001E-7</v>
      </c>
      <c r="H10">
        <v>9.540000000000001E-7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0.13400000000000001</v>
      </c>
      <c r="C11">
        <v>0.13900000000000001</v>
      </c>
      <c r="D11">
        <v>0.13900000000000001</v>
      </c>
      <c r="E11">
        <v>0.13900000000000001</v>
      </c>
      <c r="F11">
        <v>1.9099999999999999E-6</v>
      </c>
      <c r="G11">
        <v>1.9099999999999999E-6</v>
      </c>
      <c r="H11">
        <v>1.9099999999999999E-6</v>
      </c>
      <c r="I11">
        <v>2.1500000000000002E-6</v>
      </c>
      <c r="J11">
        <v>2.1500000000000002E-6</v>
      </c>
      <c r="K11">
        <v>2.1500000000000002E-6</v>
      </c>
    </row>
    <row r="12" spans="1:11" x14ac:dyDescent="0.25">
      <c r="A12" t="s">
        <v>11</v>
      </c>
      <c r="B12">
        <f>SUBTOTAL(101,_grav_1_13[total_time])</f>
        <v>0.13479999999999998</v>
      </c>
      <c r="C12">
        <f>SUBTOTAL(101,_grav_1_13[work_time_min])</f>
        <v>0.14000000000000001</v>
      </c>
      <c r="D12">
        <f>SUBTOTAL(101,_grav_1_13[work_time_avg])</f>
        <v>0.14000000000000001</v>
      </c>
      <c r="E12">
        <f>SUBTOTAL(101,_grav_1_13[work_time_max])</f>
        <v>0.14000000000000001</v>
      </c>
      <c r="F12">
        <f>SUBTOTAL(101,_grav_1_13[prep_time_min])</f>
        <v>9.6852000000000017E-6</v>
      </c>
      <c r="G12">
        <f>SUBTOTAL(101,_grav_1_13[prep_time_avg])</f>
        <v>9.6852000000000017E-6</v>
      </c>
      <c r="H12">
        <f>SUBTOTAL(101,_grav_1_13[prep_time_max])</f>
        <v>9.6852000000000017E-6</v>
      </c>
      <c r="I12">
        <f>SUBTOTAL(101,_grav_1_13[comm_time_min])</f>
        <v>1.6215999999999999E-6</v>
      </c>
      <c r="J12">
        <f>SUBTOTAL(101,_grav_1_13[comm_time_avg])</f>
        <v>1.6215999999999999E-6</v>
      </c>
      <c r="K12">
        <f>SUBTOTAL(101,_grav_1_13[comm_time_max])</f>
        <v>1.6215999999999999E-6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8BD6-E4C2-42C9-AEDA-A37F77907514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4.4400000000000002E-2</v>
      </c>
      <c r="C2">
        <v>4.7199999999999999E-2</v>
      </c>
      <c r="D2">
        <v>4.7199999999999999E-2</v>
      </c>
      <c r="E2">
        <v>4.7199999999999999E-2</v>
      </c>
      <c r="F2">
        <v>8.7000000000000001E-5</v>
      </c>
      <c r="G2">
        <v>8.7000000000000001E-5</v>
      </c>
      <c r="H2">
        <v>8.7000000000000001E-5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4.41E-2</v>
      </c>
      <c r="C3">
        <v>4.6800000000000001E-2</v>
      </c>
      <c r="D3">
        <v>4.6800000000000001E-2</v>
      </c>
      <c r="E3">
        <v>4.6800000000000001E-2</v>
      </c>
      <c r="F3">
        <v>1.9099999999999999E-6</v>
      </c>
      <c r="G3">
        <v>1.9099999999999999E-6</v>
      </c>
      <c r="H3">
        <v>1.9099999999999999E-6</v>
      </c>
      <c r="I3">
        <v>1.19E-6</v>
      </c>
      <c r="J3">
        <v>1.19E-6</v>
      </c>
      <c r="K3">
        <v>1.19E-6</v>
      </c>
    </row>
    <row r="4" spans="1:11" x14ac:dyDescent="0.25">
      <c r="A4">
        <v>3</v>
      </c>
      <c r="B4">
        <v>4.3900000000000002E-2</v>
      </c>
      <c r="C4">
        <v>4.6600000000000003E-2</v>
      </c>
      <c r="D4">
        <v>4.6600000000000003E-2</v>
      </c>
      <c r="E4">
        <v>4.6600000000000003E-2</v>
      </c>
      <c r="F4">
        <v>9.540000000000001E-7</v>
      </c>
      <c r="G4">
        <v>9.540000000000001E-7</v>
      </c>
      <c r="H4">
        <v>9.540000000000001E-7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4.3999999999999997E-2</v>
      </c>
      <c r="C5">
        <v>4.6699999999999998E-2</v>
      </c>
      <c r="D5">
        <v>4.6699999999999998E-2</v>
      </c>
      <c r="E5">
        <v>4.6699999999999998E-2</v>
      </c>
      <c r="F5">
        <v>9.540000000000001E-7</v>
      </c>
      <c r="G5">
        <v>9.540000000000001E-7</v>
      </c>
      <c r="H5">
        <v>9.540000000000001E-7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4.3999999999999997E-2</v>
      </c>
      <c r="C6">
        <v>4.6800000000000001E-2</v>
      </c>
      <c r="D6">
        <v>4.6800000000000001E-2</v>
      </c>
      <c r="E6">
        <v>4.6800000000000001E-2</v>
      </c>
      <c r="F6">
        <v>9.540000000000001E-7</v>
      </c>
      <c r="G6">
        <v>9.540000000000001E-7</v>
      </c>
      <c r="H6">
        <v>9.540000000000001E-7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4.3900000000000002E-2</v>
      </c>
      <c r="C7">
        <v>4.6600000000000003E-2</v>
      </c>
      <c r="D7">
        <v>4.6600000000000003E-2</v>
      </c>
      <c r="E7">
        <v>4.6600000000000003E-2</v>
      </c>
      <c r="F7">
        <v>9.540000000000001E-7</v>
      </c>
      <c r="G7">
        <v>9.540000000000001E-7</v>
      </c>
      <c r="H7">
        <v>9.540000000000001E-7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4.41E-2</v>
      </c>
      <c r="C8">
        <v>4.6800000000000001E-2</v>
      </c>
      <c r="D8">
        <v>4.6800000000000001E-2</v>
      </c>
      <c r="E8">
        <v>4.6800000000000001E-2</v>
      </c>
      <c r="F8">
        <v>9.540000000000001E-7</v>
      </c>
      <c r="G8">
        <v>9.540000000000001E-7</v>
      </c>
      <c r="H8">
        <v>9.540000000000001E-7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4.3900000000000002E-2</v>
      </c>
      <c r="C9">
        <v>4.6600000000000003E-2</v>
      </c>
      <c r="D9">
        <v>4.6600000000000003E-2</v>
      </c>
      <c r="E9">
        <v>4.6600000000000003E-2</v>
      </c>
      <c r="F9">
        <v>9.540000000000001E-7</v>
      </c>
      <c r="G9">
        <v>9.540000000000001E-7</v>
      </c>
      <c r="H9">
        <v>9.540000000000001E-7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4.3999999999999997E-2</v>
      </c>
      <c r="C10">
        <v>4.6699999999999998E-2</v>
      </c>
      <c r="D10">
        <v>4.6699999999999998E-2</v>
      </c>
      <c r="E10">
        <v>4.6699999999999998E-2</v>
      </c>
      <c r="F10">
        <v>9.540000000000001E-7</v>
      </c>
      <c r="G10">
        <v>9.540000000000001E-7</v>
      </c>
      <c r="H10">
        <v>9.540000000000001E-7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4.4299999999999999E-2</v>
      </c>
      <c r="C11">
        <v>4.7E-2</v>
      </c>
      <c r="D11">
        <v>4.7E-2</v>
      </c>
      <c r="E11">
        <v>4.7E-2</v>
      </c>
      <c r="F11">
        <v>9.540000000000001E-7</v>
      </c>
      <c r="G11">
        <v>9.540000000000001E-7</v>
      </c>
      <c r="H11">
        <v>9.540000000000001E-7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SUBTOTAL(101,_grav_1_12[total_time])</f>
        <v>4.4060000000000002E-2</v>
      </c>
      <c r="C12">
        <f>SUBTOTAL(101,_grav_1_12[work_time_min])</f>
        <v>4.6780000000000002E-2</v>
      </c>
      <c r="D12">
        <f>SUBTOTAL(101,_grav_1_12[work_time_avg])</f>
        <v>4.6780000000000002E-2</v>
      </c>
      <c r="E12">
        <f>SUBTOTAL(101,_grav_1_12[work_time_max])</f>
        <v>4.6780000000000002E-2</v>
      </c>
      <c r="F12">
        <f>SUBTOTAL(101,_grav_1_12[prep_time_min])</f>
        <v>9.6542000000000032E-6</v>
      </c>
      <c r="G12">
        <f>SUBTOTAL(101,_grav_1_12[prep_time_avg])</f>
        <v>9.6542000000000032E-6</v>
      </c>
      <c r="H12">
        <f>SUBTOTAL(101,_grav_1_12[prep_time_max])</f>
        <v>9.6542000000000032E-6</v>
      </c>
      <c r="I12">
        <f>SUBTOTAL(101,_grav_1_12[comm_time_min])</f>
        <v>1.5731999999999998E-6</v>
      </c>
      <c r="J12">
        <f>SUBTOTAL(101,_grav_1_12[comm_time_avg])</f>
        <v>1.5731999999999998E-6</v>
      </c>
      <c r="K12">
        <f>SUBTOTAL(101,_grav_1_12[comm_time_max])</f>
        <v>1.5731999999999998E-6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0C2B-20F5-4B6A-8FF4-6DD8A2676B4D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2.63E-2</v>
      </c>
      <c r="C2">
        <v>2.8000000000000001E-2</v>
      </c>
      <c r="D2">
        <v>2.8000000000000001E-2</v>
      </c>
      <c r="E2">
        <v>2.8000000000000001E-2</v>
      </c>
      <c r="F2">
        <v>8.5799999999999998E-5</v>
      </c>
      <c r="G2">
        <v>8.5799999999999998E-5</v>
      </c>
      <c r="H2">
        <v>8.5799999999999998E-5</v>
      </c>
      <c r="I2">
        <v>6.1999999999999999E-6</v>
      </c>
      <c r="J2">
        <v>6.1999999999999999E-6</v>
      </c>
      <c r="K2">
        <v>6.1999999999999999E-6</v>
      </c>
    </row>
    <row r="3" spans="1:11" x14ac:dyDescent="0.25">
      <c r="A3">
        <v>2</v>
      </c>
      <c r="B3">
        <v>2.5600000000000001E-2</v>
      </c>
      <c r="C3">
        <v>2.69E-2</v>
      </c>
      <c r="D3">
        <v>2.69E-2</v>
      </c>
      <c r="E3">
        <v>2.69E-2</v>
      </c>
      <c r="F3">
        <v>2.8600000000000001E-6</v>
      </c>
      <c r="G3">
        <v>2.8600000000000001E-6</v>
      </c>
      <c r="H3">
        <v>2.8600000000000001E-6</v>
      </c>
      <c r="I3">
        <v>9.540000000000001E-7</v>
      </c>
      <c r="J3">
        <v>9.540000000000001E-7</v>
      </c>
      <c r="K3">
        <v>9.540000000000001E-7</v>
      </c>
    </row>
    <row r="4" spans="1:11" x14ac:dyDescent="0.25">
      <c r="A4">
        <v>3</v>
      </c>
      <c r="B4">
        <v>2.5700000000000001E-2</v>
      </c>
      <c r="C4">
        <v>2.7099999999999999E-2</v>
      </c>
      <c r="D4">
        <v>2.7099999999999999E-2</v>
      </c>
      <c r="E4">
        <v>2.7099999999999999E-2</v>
      </c>
      <c r="F4">
        <v>9.540000000000001E-7</v>
      </c>
      <c r="G4">
        <v>9.540000000000001E-7</v>
      </c>
      <c r="H4">
        <v>9.540000000000001E-7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2.7E-2</v>
      </c>
      <c r="C5">
        <v>2.8199999999999999E-2</v>
      </c>
      <c r="D5">
        <v>2.8199999999999999E-2</v>
      </c>
      <c r="E5">
        <v>2.8199999999999999E-2</v>
      </c>
      <c r="F5">
        <v>9.540000000000001E-7</v>
      </c>
      <c r="G5">
        <v>9.540000000000001E-7</v>
      </c>
      <c r="H5">
        <v>9.540000000000001E-7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2.5499999999999998E-2</v>
      </c>
      <c r="C6">
        <v>2.6800000000000001E-2</v>
      </c>
      <c r="D6">
        <v>2.6800000000000001E-2</v>
      </c>
      <c r="E6">
        <v>2.6800000000000001E-2</v>
      </c>
      <c r="F6">
        <v>9.540000000000001E-7</v>
      </c>
      <c r="G6">
        <v>9.540000000000001E-7</v>
      </c>
      <c r="H6">
        <v>9.540000000000001E-7</v>
      </c>
      <c r="I6">
        <v>1.19E-6</v>
      </c>
      <c r="J6">
        <v>1.19E-6</v>
      </c>
      <c r="K6">
        <v>1.19E-6</v>
      </c>
    </row>
    <row r="7" spans="1:11" x14ac:dyDescent="0.25">
      <c r="A7">
        <v>6</v>
      </c>
      <c r="B7">
        <v>2.5399999999999999E-2</v>
      </c>
      <c r="C7">
        <v>2.6700000000000002E-2</v>
      </c>
      <c r="D7">
        <v>2.6700000000000002E-2</v>
      </c>
      <c r="E7">
        <v>2.6700000000000002E-2</v>
      </c>
      <c r="F7">
        <v>1.9099999999999999E-6</v>
      </c>
      <c r="G7">
        <v>1.9099999999999999E-6</v>
      </c>
      <c r="H7">
        <v>1.9099999999999999E-6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2.5499999999999998E-2</v>
      </c>
      <c r="C8">
        <v>2.6800000000000001E-2</v>
      </c>
      <c r="D8">
        <v>2.6800000000000001E-2</v>
      </c>
      <c r="E8">
        <v>2.6800000000000001E-2</v>
      </c>
      <c r="F8">
        <v>9.540000000000001E-7</v>
      </c>
      <c r="G8">
        <v>9.540000000000001E-7</v>
      </c>
      <c r="H8">
        <v>9.540000000000001E-7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2.52E-2</v>
      </c>
      <c r="C9">
        <v>2.6499999999999999E-2</v>
      </c>
      <c r="D9">
        <v>2.6499999999999999E-2</v>
      </c>
      <c r="E9">
        <v>2.6499999999999999E-2</v>
      </c>
      <c r="F9">
        <v>2.1500000000000002E-6</v>
      </c>
      <c r="G9">
        <v>2.1500000000000002E-6</v>
      </c>
      <c r="H9">
        <v>2.1500000000000002E-6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2.53E-2</v>
      </c>
      <c r="C10">
        <v>2.6599999999999999E-2</v>
      </c>
      <c r="D10">
        <v>2.6599999999999999E-2</v>
      </c>
      <c r="E10">
        <v>2.6599999999999999E-2</v>
      </c>
      <c r="F10">
        <v>9.540000000000001E-7</v>
      </c>
      <c r="G10">
        <v>9.540000000000001E-7</v>
      </c>
      <c r="H10">
        <v>9.540000000000001E-7</v>
      </c>
      <c r="I10">
        <v>1.19E-6</v>
      </c>
      <c r="J10">
        <v>1.19E-6</v>
      </c>
      <c r="K10">
        <v>1.19E-6</v>
      </c>
    </row>
    <row r="11" spans="1:11" x14ac:dyDescent="0.25">
      <c r="A11">
        <v>10</v>
      </c>
      <c r="B11">
        <v>2.5399999999999999E-2</v>
      </c>
      <c r="C11">
        <v>2.6700000000000002E-2</v>
      </c>
      <c r="D11">
        <v>2.6700000000000002E-2</v>
      </c>
      <c r="E11">
        <v>2.6700000000000002E-2</v>
      </c>
      <c r="F11">
        <v>1.9099999999999999E-6</v>
      </c>
      <c r="G11">
        <v>1.9099999999999999E-6</v>
      </c>
      <c r="H11">
        <v>1.9099999999999999E-6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SUBTOTAL(101,_grav_1_11[total_time])</f>
        <v>2.5689999999999998E-2</v>
      </c>
      <c r="C12">
        <f>SUBTOTAL(101,_grav_1_11[work_time_min])</f>
        <v>2.7029999999999998E-2</v>
      </c>
      <c r="D12">
        <f>SUBTOTAL(101,_grav_1_11[work_time_avg])</f>
        <v>2.7029999999999998E-2</v>
      </c>
      <c r="E12">
        <f>SUBTOTAL(101,_grav_1_11[work_time_max])</f>
        <v>2.7029999999999998E-2</v>
      </c>
      <c r="F12">
        <f>SUBTOTAL(101,_grav_1_11[prep_time_min])</f>
        <v>9.9400000000000014E-6</v>
      </c>
      <c r="G12">
        <f>SUBTOTAL(101,_grav_1_11[prep_time_avg])</f>
        <v>9.9400000000000014E-6</v>
      </c>
      <c r="H12">
        <f>SUBTOTAL(101,_grav_1_11[prep_time_max])</f>
        <v>9.9400000000000014E-6</v>
      </c>
      <c r="I12">
        <f>SUBTOTAL(101,_grav_1_11[comm_time_min])</f>
        <v>1.5257999999999999E-6</v>
      </c>
      <c r="J12">
        <f>SUBTOTAL(101,_grav_1_11[comm_time_avg])</f>
        <v>1.5257999999999999E-6</v>
      </c>
      <c r="K12">
        <f>SUBTOTAL(101,_grav_1_11[comm_time_max])</f>
        <v>1.5257999999999999E-6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00223-FDB3-43EE-B358-89FBF3C38D55}">
  <dimension ref="A1:K12"/>
  <sheetViews>
    <sheetView workbookViewId="0">
      <selection activeCell="D13" sqref="D13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8.9099999999999995E-3</v>
      </c>
      <c r="C2">
        <v>9.9799999999999993E-3</v>
      </c>
      <c r="D2">
        <v>9.9799999999999993E-3</v>
      </c>
      <c r="E2">
        <v>9.9799999999999993E-3</v>
      </c>
      <c r="F2">
        <v>3.6000000000000001E-5</v>
      </c>
      <c r="G2">
        <v>3.6000000000000001E-5</v>
      </c>
      <c r="H2">
        <v>3.6000000000000001E-5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8.2000000000000007E-3</v>
      </c>
      <c r="C3">
        <v>8.8000000000000005E-3</v>
      </c>
      <c r="D3">
        <v>8.8000000000000005E-3</v>
      </c>
      <c r="E3">
        <v>8.8000000000000005E-3</v>
      </c>
      <c r="F3">
        <v>1.9099999999999999E-6</v>
      </c>
      <c r="G3">
        <v>1.9099999999999999E-6</v>
      </c>
      <c r="H3">
        <v>1.9099999999999999E-6</v>
      </c>
      <c r="I3">
        <v>9.540000000000001E-7</v>
      </c>
      <c r="J3">
        <v>9.540000000000001E-7</v>
      </c>
      <c r="K3">
        <v>9.540000000000001E-7</v>
      </c>
    </row>
    <row r="4" spans="1:11" x14ac:dyDescent="0.25">
      <c r="A4">
        <v>3</v>
      </c>
      <c r="B4">
        <v>8.2000000000000007E-3</v>
      </c>
      <c r="C4">
        <v>8.7899999999999992E-3</v>
      </c>
      <c r="D4">
        <v>8.7899999999999992E-3</v>
      </c>
      <c r="E4">
        <v>8.7899999999999992E-3</v>
      </c>
      <c r="F4">
        <v>1.19E-6</v>
      </c>
      <c r="G4">
        <v>1.19E-6</v>
      </c>
      <c r="H4">
        <v>1.19E-6</v>
      </c>
      <c r="I4">
        <v>9.540000000000001E-7</v>
      </c>
      <c r="J4">
        <v>9.540000000000001E-7</v>
      </c>
      <c r="K4">
        <v>9.540000000000001E-7</v>
      </c>
    </row>
    <row r="5" spans="1:11" x14ac:dyDescent="0.25">
      <c r="A5">
        <v>4</v>
      </c>
      <c r="B5">
        <v>8.2799999999999992E-3</v>
      </c>
      <c r="C5">
        <v>8.8800000000000007E-3</v>
      </c>
      <c r="D5">
        <v>8.8800000000000007E-3</v>
      </c>
      <c r="E5">
        <v>8.8800000000000007E-3</v>
      </c>
      <c r="F5">
        <v>2.1500000000000002E-6</v>
      </c>
      <c r="G5">
        <v>2.1500000000000002E-6</v>
      </c>
      <c r="H5">
        <v>2.1500000000000002E-6</v>
      </c>
      <c r="I5">
        <v>9.540000000000001E-7</v>
      </c>
      <c r="J5">
        <v>9.540000000000001E-7</v>
      </c>
      <c r="K5">
        <v>9.540000000000001E-7</v>
      </c>
    </row>
    <row r="6" spans="1:11" x14ac:dyDescent="0.25">
      <c r="A6">
        <v>5</v>
      </c>
      <c r="B6">
        <v>8.1899999999999994E-3</v>
      </c>
      <c r="C6">
        <v>8.7899999999999992E-3</v>
      </c>
      <c r="D6">
        <v>8.7899999999999992E-3</v>
      </c>
      <c r="E6">
        <v>8.7899999999999992E-3</v>
      </c>
      <c r="F6">
        <v>9.540000000000001E-7</v>
      </c>
      <c r="G6">
        <v>9.540000000000001E-7</v>
      </c>
      <c r="H6">
        <v>9.540000000000001E-7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8.2799999999999992E-3</v>
      </c>
      <c r="C7">
        <v>8.8900000000000003E-3</v>
      </c>
      <c r="D7">
        <v>8.8900000000000003E-3</v>
      </c>
      <c r="E7">
        <v>8.8900000000000003E-3</v>
      </c>
      <c r="F7">
        <v>1.19E-6</v>
      </c>
      <c r="G7">
        <v>1.19E-6</v>
      </c>
      <c r="H7">
        <v>1.19E-6</v>
      </c>
      <c r="I7">
        <v>9.540000000000001E-7</v>
      </c>
      <c r="J7">
        <v>9.540000000000001E-7</v>
      </c>
      <c r="K7">
        <v>9.540000000000001E-7</v>
      </c>
    </row>
    <row r="8" spans="1:11" x14ac:dyDescent="0.25">
      <c r="A8">
        <v>7</v>
      </c>
      <c r="B8">
        <v>8.4499999999999992E-3</v>
      </c>
      <c r="C8">
        <v>9.0399999999999994E-3</v>
      </c>
      <c r="D8">
        <v>9.0399999999999994E-3</v>
      </c>
      <c r="E8">
        <v>9.0399999999999994E-3</v>
      </c>
      <c r="F8">
        <v>9.540000000000001E-7</v>
      </c>
      <c r="G8">
        <v>9.540000000000001E-7</v>
      </c>
      <c r="H8">
        <v>9.540000000000001E-7</v>
      </c>
      <c r="I8">
        <v>9.540000000000001E-7</v>
      </c>
      <c r="J8">
        <v>9.540000000000001E-7</v>
      </c>
      <c r="K8">
        <v>9.540000000000001E-7</v>
      </c>
    </row>
    <row r="9" spans="1:11" x14ac:dyDescent="0.25">
      <c r="A9">
        <v>8</v>
      </c>
      <c r="B9">
        <v>8.2000000000000007E-3</v>
      </c>
      <c r="C9">
        <v>8.8000000000000005E-3</v>
      </c>
      <c r="D9">
        <v>8.8000000000000005E-3</v>
      </c>
      <c r="E9">
        <v>8.8000000000000005E-3</v>
      </c>
      <c r="F9">
        <v>2.1500000000000002E-6</v>
      </c>
      <c r="G9">
        <v>2.1500000000000002E-6</v>
      </c>
      <c r="H9">
        <v>2.1500000000000002E-6</v>
      </c>
      <c r="I9">
        <v>9.540000000000001E-7</v>
      </c>
      <c r="J9">
        <v>9.540000000000001E-7</v>
      </c>
      <c r="K9">
        <v>9.540000000000001E-7</v>
      </c>
    </row>
    <row r="10" spans="1:11" x14ac:dyDescent="0.25">
      <c r="A10">
        <v>9</v>
      </c>
      <c r="B10">
        <v>8.2000000000000007E-3</v>
      </c>
      <c r="C10">
        <v>8.7899999999999992E-3</v>
      </c>
      <c r="D10">
        <v>8.7899999999999992E-3</v>
      </c>
      <c r="E10">
        <v>8.7899999999999992E-3</v>
      </c>
      <c r="F10">
        <v>9.540000000000001E-7</v>
      </c>
      <c r="G10">
        <v>9.540000000000001E-7</v>
      </c>
      <c r="H10">
        <v>9.540000000000001E-7</v>
      </c>
      <c r="I10">
        <v>9.540000000000001E-7</v>
      </c>
      <c r="J10">
        <v>9.540000000000001E-7</v>
      </c>
      <c r="K10">
        <v>9.540000000000001E-7</v>
      </c>
    </row>
    <row r="11" spans="1:11" x14ac:dyDescent="0.25">
      <c r="A11">
        <v>10</v>
      </c>
      <c r="B11">
        <v>8.3300000000000006E-3</v>
      </c>
      <c r="C11">
        <v>8.9300000000000004E-3</v>
      </c>
      <c r="D11">
        <v>8.9300000000000004E-3</v>
      </c>
      <c r="E11">
        <v>8.9300000000000004E-3</v>
      </c>
      <c r="F11">
        <v>9.540000000000001E-7</v>
      </c>
      <c r="G11">
        <v>9.540000000000001E-7</v>
      </c>
      <c r="H11">
        <v>9.540000000000001E-7</v>
      </c>
      <c r="I11">
        <v>9.540000000000001E-7</v>
      </c>
      <c r="J11">
        <v>9.540000000000001E-7</v>
      </c>
      <c r="K11">
        <v>9.540000000000001E-7</v>
      </c>
    </row>
    <row r="12" spans="1:11" x14ac:dyDescent="0.25">
      <c r="A12" t="s">
        <v>11</v>
      </c>
      <c r="B12">
        <f>SUBTOTAL(101,_grav_1_10[total_time])</f>
        <v>8.3239999999999998E-3</v>
      </c>
      <c r="C12">
        <f>SUBTOTAL(101,_grav_1_10[work_time_min])</f>
        <v>8.9689999999999995E-3</v>
      </c>
      <c r="D12">
        <f>SUBTOTAL(101,_grav_1_10[work_time_avg])</f>
        <v>8.9689999999999995E-3</v>
      </c>
      <c r="E12">
        <f>SUBTOTAL(101,_grav_1_10[work_time_max])</f>
        <v>8.9689999999999995E-3</v>
      </c>
      <c r="F12">
        <f>SUBTOTAL(101,_grav_1_10[prep_time_min])</f>
        <v>4.840599999999999E-6</v>
      </c>
      <c r="G12">
        <f>SUBTOTAL(101,_grav_1_10[prep_time_avg])</f>
        <v>4.840599999999999E-6</v>
      </c>
      <c r="H12">
        <f>SUBTOTAL(101,_grav_1_10[prep_time_max])</f>
        <v>4.840599999999999E-6</v>
      </c>
      <c r="I12">
        <f>SUBTOTAL(101,_grav_1_10[comm_time_min])</f>
        <v>1.5496E-6</v>
      </c>
      <c r="J12">
        <f>SUBTOTAL(101,_grav_1_10[comm_time_avg])</f>
        <v>1.5496E-6</v>
      </c>
      <c r="K12">
        <f>SUBTOTAL(101,_grav_1_10[comm_time_max])</f>
        <v>1.5496E-6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A1AF-2168-45A4-9DCF-D7541E62CB84}">
  <dimension ref="A1:M17"/>
  <sheetViews>
    <sheetView tabSelected="1" workbookViewId="0">
      <selection activeCell="A2" sqref="A2:E17"/>
    </sheetView>
  </sheetViews>
  <sheetFormatPr baseColWidth="10" defaultRowHeight="15" x14ac:dyDescent="0.25"/>
  <cols>
    <col min="1" max="11" width="15.710937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16</v>
      </c>
      <c r="E1" t="s">
        <v>17</v>
      </c>
      <c r="G1" t="s">
        <v>18</v>
      </c>
      <c r="H1" t="s">
        <v>19</v>
      </c>
      <c r="M1" t="s">
        <v>15</v>
      </c>
    </row>
    <row r="2" spans="1:13" x14ac:dyDescent="0.25">
      <c r="A2">
        <f>POWER(2,M2)</f>
        <v>1024</v>
      </c>
      <c r="B2">
        <f>_grav_1_10[[#Totals],[total_time]]</f>
        <v>8.3239999999999998E-3</v>
      </c>
      <c r="C2">
        <f>_grav_1_10[[#Totals],[work_time_avg]]</f>
        <v>8.9689999999999995E-3</v>
      </c>
      <c r="D2">
        <f>_grav_1_10[[#Totals],[prep_time_avg]]</f>
        <v>4.840599999999999E-6</v>
      </c>
      <c r="E2">
        <f>_grav_1_10[[#Totals],[comm_time_avg]]</f>
        <v>1.5496E-6</v>
      </c>
      <c r="H2">
        <f>B2/A2</f>
        <v>8.1289062499999998E-6</v>
      </c>
      <c r="M2">
        <v>10</v>
      </c>
    </row>
    <row r="3" spans="1:13" x14ac:dyDescent="0.25">
      <c r="A3">
        <f t="shared" ref="A3:A17" si="0">POWER(2,M3)</f>
        <v>2048</v>
      </c>
      <c r="B3">
        <f>_grav_1_11[[#Totals],[total_time]]</f>
        <v>2.5689999999999998E-2</v>
      </c>
      <c r="C3">
        <f>_grav_1_11[[#Totals],[work_time_avg]]</f>
        <v>2.7029999999999998E-2</v>
      </c>
      <c r="D3">
        <f>_grav_1_11[[#Totals],[prep_time_avg]]</f>
        <v>9.9400000000000014E-6</v>
      </c>
      <c r="E3">
        <f>_grav_1_11[[#Totals],[comm_time_avg]]</f>
        <v>1.5257999999999999E-6</v>
      </c>
      <c r="G3">
        <f>B3/B2</f>
        <v>3.086256607400288</v>
      </c>
      <c r="H3">
        <f t="shared" ref="H3:H17" si="1">B3/A3</f>
        <v>1.2543945312499999E-5</v>
      </c>
      <c r="M3">
        <v>11</v>
      </c>
    </row>
    <row r="4" spans="1:13" x14ac:dyDescent="0.25">
      <c r="A4">
        <f t="shared" si="0"/>
        <v>4096</v>
      </c>
      <c r="B4">
        <f>_grav_1_12[[#Totals],[total_time]]</f>
        <v>4.4060000000000002E-2</v>
      </c>
      <c r="C4">
        <f>_grav_1_12[[#Totals],[work_time_avg]]</f>
        <v>4.6780000000000002E-2</v>
      </c>
      <c r="D4">
        <f>_grav_1_12[[#Totals],[prep_time_avg]]</f>
        <v>9.6542000000000032E-6</v>
      </c>
      <c r="E4">
        <f>_grav_1_12[[#Totals],[comm_time_avg]]</f>
        <v>1.5731999999999998E-6</v>
      </c>
      <c r="G4">
        <f t="shared" ref="G4:G17" si="2">B4/B3</f>
        <v>1.7150642273258079</v>
      </c>
      <c r="H4">
        <f t="shared" si="1"/>
        <v>1.07568359375E-5</v>
      </c>
      <c r="M4">
        <v>12</v>
      </c>
    </row>
    <row r="5" spans="1:13" x14ac:dyDescent="0.25">
      <c r="A5">
        <f t="shared" si="0"/>
        <v>8192</v>
      </c>
      <c r="B5">
        <f>_grav_1_13[[#Totals],[total_time]]</f>
        <v>0.13479999999999998</v>
      </c>
      <c r="C5">
        <f>_grav_1_13[[#Totals],[work_time_avg]]</f>
        <v>0.14000000000000001</v>
      </c>
      <c r="D5">
        <f>_grav_1_13[[#Totals],[prep_time_avg]]</f>
        <v>9.6852000000000017E-6</v>
      </c>
      <c r="E5">
        <f>_grav_1_13[[#Totals],[comm_time_avg]]</f>
        <v>1.6215999999999999E-6</v>
      </c>
      <c r="G5">
        <f t="shared" si="2"/>
        <v>3.0594643667725823</v>
      </c>
      <c r="H5">
        <f t="shared" si="1"/>
        <v>1.6455078124999997E-5</v>
      </c>
      <c r="M5">
        <v>13</v>
      </c>
    </row>
    <row r="6" spans="1:13" x14ac:dyDescent="0.25">
      <c r="A6">
        <f t="shared" si="0"/>
        <v>16384</v>
      </c>
      <c r="B6">
        <f>_grav_1_14[[#Totals],[total_time]]</f>
        <v>0.503</v>
      </c>
      <c r="C6">
        <f>_grav_1_14[[#Totals],[work_time_avg]]</f>
        <v>0.5139999999999999</v>
      </c>
      <c r="D6">
        <f>_grav_1_14[[#Totals],[prep_time_avg]]</f>
        <v>6.1470000000000006E-6</v>
      </c>
      <c r="E6">
        <f>_grav_1_14[[#Totals],[comm_time_avg]]</f>
        <v>1.8596000000000004E-6</v>
      </c>
      <c r="G6">
        <f t="shared" si="2"/>
        <v>3.7314540059347188</v>
      </c>
      <c r="H6">
        <f t="shared" si="1"/>
        <v>3.070068359375E-5</v>
      </c>
      <c r="M6">
        <v>14</v>
      </c>
    </row>
    <row r="7" spans="1:13" x14ac:dyDescent="0.25">
      <c r="A7">
        <f t="shared" si="0"/>
        <v>32768</v>
      </c>
      <c r="B7">
        <f>_grav_1_15[[#Totals],[total_time]]</f>
        <v>0.6866000000000001</v>
      </c>
      <c r="C7">
        <f>_grav_1_15[[#Totals],[work_time_avg]]</f>
        <v>0.7087</v>
      </c>
      <c r="D7">
        <f>_grav_1_15[[#Totals],[prep_time_avg]]</f>
        <v>1.1158999999999998E-5</v>
      </c>
      <c r="E7">
        <f>_grav_1_15[[#Totals],[comm_time_avg]]</f>
        <v>1.5501999999999998E-6</v>
      </c>
      <c r="G7">
        <f t="shared" si="2"/>
        <v>1.3650099403578531</v>
      </c>
      <c r="H7">
        <f t="shared" si="1"/>
        <v>2.0953369140625003E-5</v>
      </c>
      <c r="M7">
        <v>15</v>
      </c>
    </row>
    <row r="8" spans="1:13" x14ac:dyDescent="0.25">
      <c r="A8">
        <f t="shared" si="0"/>
        <v>65536</v>
      </c>
      <c r="B8">
        <f>_grav_1_16[[#Totals],[total_time]]</f>
        <v>1.905</v>
      </c>
      <c r="C8">
        <f>_grav_1_16[[#Totals],[work_time_avg]]</f>
        <v>1.9499999999999997</v>
      </c>
      <c r="D8">
        <f>_grav_1_16[[#Totals],[prep_time_avg]]</f>
        <v>1.6138999999999999E-5</v>
      </c>
      <c r="E8">
        <f>_grav_1_16[[#Totals],[comm_time_avg]]</f>
        <v>2.1712000000000005E-6</v>
      </c>
      <c r="G8">
        <f t="shared" si="2"/>
        <v>2.7745412175939408</v>
      </c>
      <c r="H8">
        <f t="shared" si="1"/>
        <v>2.90679931640625E-5</v>
      </c>
      <c r="M8">
        <v>16</v>
      </c>
    </row>
    <row r="9" spans="1:13" x14ac:dyDescent="0.25">
      <c r="A9">
        <f t="shared" si="0"/>
        <v>131072</v>
      </c>
      <c r="B9">
        <f>_grav_1_17[[#Totals],[total_time]]</f>
        <v>5.270999999999999</v>
      </c>
      <c r="C9">
        <f>_grav_1_17[[#Totals],[work_time_avg]]</f>
        <v>5.359</v>
      </c>
      <c r="D9">
        <f>_grav_1_17[[#Totals],[prep_time_avg]]</f>
        <v>1.7746999999999998E-5</v>
      </c>
      <c r="E9">
        <f>_grav_1_17[[#Totals],[comm_time_avg]]</f>
        <v>2.2194000000000003E-6</v>
      </c>
      <c r="G9">
        <f t="shared" si="2"/>
        <v>2.7669291338582673</v>
      </c>
      <c r="H9">
        <f t="shared" si="1"/>
        <v>4.0214538574218743E-5</v>
      </c>
      <c r="M9">
        <v>17</v>
      </c>
    </row>
    <row r="10" spans="1:13" x14ac:dyDescent="0.25">
      <c r="A10">
        <f t="shared" si="0"/>
        <v>262144</v>
      </c>
      <c r="B10">
        <f>_grav_1_18[[#Totals],[total_time]]</f>
        <v>6.4539999999999988</v>
      </c>
      <c r="C10">
        <f>_grav_1_18[[#Totals],[work_time_avg]]</f>
        <v>6.6320000000000006</v>
      </c>
      <c r="D10">
        <f>_grav_1_18[[#Totals],[prep_time_avg]]</f>
        <v>2.1552E-5</v>
      </c>
      <c r="E10">
        <f>_grav_1_18[[#Totals],[comm_time_avg]]</f>
        <v>2.6240000000000002E-6</v>
      </c>
      <c r="G10">
        <f t="shared" si="2"/>
        <v>1.2244355909694555</v>
      </c>
      <c r="H10">
        <f t="shared" si="1"/>
        <v>2.4620056152343746E-5</v>
      </c>
      <c r="M10">
        <v>18</v>
      </c>
    </row>
    <row r="11" spans="1:13" x14ac:dyDescent="0.25">
      <c r="A11">
        <f t="shared" si="0"/>
        <v>524288</v>
      </c>
      <c r="B11">
        <f>_grav_1_19[[#Totals],[total_time]]</f>
        <v>17.520000000000003</v>
      </c>
      <c r="C11">
        <f>_grav_1_19[[#Totals],[work_time_avg]]</f>
        <v>17.899999999999999</v>
      </c>
      <c r="D11">
        <f>_grav_1_19[[#Totals],[prep_time_avg]]</f>
        <v>2.1971000000000004E-5</v>
      </c>
      <c r="E11">
        <f>_grav_1_19[[#Totals],[comm_time_avg]]</f>
        <v>3.0290000000000001E-6</v>
      </c>
      <c r="G11">
        <f t="shared" si="2"/>
        <v>2.7145955996281383</v>
      </c>
      <c r="H11">
        <f t="shared" si="1"/>
        <v>3.3416748046875006E-5</v>
      </c>
      <c r="M11">
        <v>19</v>
      </c>
    </row>
    <row r="12" spans="1:13" x14ac:dyDescent="0.25">
      <c r="A12">
        <f t="shared" si="0"/>
        <v>1048576</v>
      </c>
      <c r="B12">
        <f>_grav_1_20[[#Totals],[total_time]]</f>
        <v>46.63000000000001</v>
      </c>
      <c r="C12">
        <f>_grav_1_20[[#Totals],[work_time_avg]]</f>
        <v>47.33</v>
      </c>
      <c r="D12">
        <f>_grav_1_20[[#Totals],[prep_time_avg]]</f>
        <v>1.56E-5</v>
      </c>
      <c r="E12">
        <f>_grav_1_20[[#Totals],[comm_time_avg]]</f>
        <v>3.2440000000000002E-6</v>
      </c>
      <c r="G12">
        <f t="shared" si="2"/>
        <v>2.6615296803652968</v>
      </c>
      <c r="H12">
        <f t="shared" si="1"/>
        <v>4.4469833374023447E-5</v>
      </c>
      <c r="M12">
        <v>20</v>
      </c>
    </row>
    <row r="13" spans="1:13" x14ac:dyDescent="0.25">
      <c r="A13">
        <f t="shared" si="0"/>
        <v>2097152</v>
      </c>
      <c r="B13">
        <f>_grav_1_21[[#Totals],[total_time]]</f>
        <v>55.570000000000007</v>
      </c>
      <c r="C13">
        <f>_grav_1_21[[#Totals],[work_time_avg]]</f>
        <v>56.98</v>
      </c>
      <c r="D13">
        <f>_grav_1_21[[#Totals],[prep_time_avg]]</f>
        <v>1.6009999999999997E-5</v>
      </c>
      <c r="E13">
        <f>_grav_1_21[[#Totals],[comm_time_avg]]</f>
        <v>3.0290000000000001E-6</v>
      </c>
      <c r="G13">
        <f t="shared" si="2"/>
        <v>1.1917220673386231</v>
      </c>
      <c r="H13">
        <f t="shared" si="1"/>
        <v>2.649784088134766E-5</v>
      </c>
      <c r="M13">
        <v>21</v>
      </c>
    </row>
    <row r="14" spans="1:13" x14ac:dyDescent="0.25">
      <c r="A14">
        <f t="shared" si="0"/>
        <v>4194304</v>
      </c>
      <c r="B14">
        <f>_grav_1_22[[#Totals],[total_time]]</f>
        <v>154.5</v>
      </c>
      <c r="C14">
        <f>_grav_1_22[[#Totals],[work_time_avg]]</f>
        <v>157.4</v>
      </c>
      <c r="D14">
        <f>_grav_1_22[[#Totals],[prep_time_avg]]</f>
        <v>2.8660000000000003E-5</v>
      </c>
      <c r="E14">
        <f>_grav_1_22[[#Totals],[comm_time_avg]]</f>
        <v>3.219E-6</v>
      </c>
      <c r="G14">
        <f t="shared" si="2"/>
        <v>2.7802771279467335</v>
      </c>
      <c r="H14">
        <f t="shared" si="1"/>
        <v>3.6835670471191406E-5</v>
      </c>
      <c r="M14">
        <v>22</v>
      </c>
    </row>
    <row r="15" spans="1:13" x14ac:dyDescent="0.25">
      <c r="A15">
        <f t="shared" si="0"/>
        <v>8388608</v>
      </c>
      <c r="B15">
        <f>_grav_1_23[[#Totals],[total_time]]</f>
        <v>413.1</v>
      </c>
      <c r="C15">
        <f>_grav_1_23[[#Totals],[work_time_avg]]</f>
        <v>418.6</v>
      </c>
      <c r="D15">
        <f>_grav_1_23[[#Totals],[prep_time_avg]]</f>
        <v>2.2380000000000006E-5</v>
      </c>
      <c r="E15">
        <f>_grav_1_23[[#Totals],[comm_time_avg]]</f>
        <v>3.0300000000000006E-6</v>
      </c>
      <c r="G15">
        <f t="shared" si="2"/>
        <v>2.6737864077669906</v>
      </c>
      <c r="H15">
        <f t="shared" si="1"/>
        <v>4.9245357513427737E-5</v>
      </c>
      <c r="M15">
        <v>23</v>
      </c>
    </row>
    <row r="16" spans="1:13" x14ac:dyDescent="0.25">
      <c r="A16">
        <f t="shared" si="0"/>
        <v>16777216</v>
      </c>
      <c r="B16">
        <f>_grav_1_24[[#Totals],[total_time]]</f>
        <v>476</v>
      </c>
      <c r="C16">
        <f>_grav_1_24[[#Totals],[work_time_avg]]</f>
        <v>487.8</v>
      </c>
      <c r="D16">
        <f>_grav_1_24[[#Totals],[prep_time_avg]]</f>
        <v>4.0850000000000028E-4</v>
      </c>
      <c r="E16">
        <f>_grav_1_24[[#Totals],[comm_time_avg]]</f>
        <v>7.8942000000000031E-5</v>
      </c>
      <c r="G16">
        <f t="shared" si="2"/>
        <v>1.1522633744855966</v>
      </c>
      <c r="H16">
        <f t="shared" si="1"/>
        <v>2.8371810913085938E-5</v>
      </c>
      <c r="M16">
        <v>24</v>
      </c>
    </row>
    <row r="17" spans="1:13" x14ac:dyDescent="0.25">
      <c r="A17">
        <f t="shared" si="0"/>
        <v>33554432</v>
      </c>
      <c r="B17">
        <f>_grav_1_25[[#Totals],[total_time]]</f>
        <v>1270</v>
      </c>
      <c r="C17">
        <f>_grav_1_25[[#Totals],[work_time_avg]]</f>
        <v>1290</v>
      </c>
      <c r="D17">
        <f>_grav_1_25[[#Totals],[prep_time_avg]]</f>
        <v>2.4479999999999999E-5</v>
      </c>
      <c r="E17">
        <f>_grav_1_25[[#Totals],[comm_time_avg]]</f>
        <v>3.8140000000000002E-6</v>
      </c>
      <c r="G17">
        <f t="shared" si="2"/>
        <v>2.6680672268907561</v>
      </c>
      <c r="H17">
        <f t="shared" si="1"/>
        <v>3.7848949432373047E-5</v>
      </c>
      <c r="M17">
        <v>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B8D7-E634-46FB-9CD9-E339EFB0425F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478</v>
      </c>
      <c r="C2">
        <v>490</v>
      </c>
      <c r="D2">
        <v>490</v>
      </c>
      <c r="E2">
        <v>490</v>
      </c>
      <c r="F2">
        <v>3.9500000000000004E-3</v>
      </c>
      <c r="G2">
        <v>3.9500000000000004E-3</v>
      </c>
      <c r="H2">
        <v>3.9500000000000004E-3</v>
      </c>
      <c r="I2">
        <v>7.67E-4</v>
      </c>
      <c r="J2">
        <v>7.67E-4</v>
      </c>
      <c r="K2">
        <v>7.67E-4</v>
      </c>
    </row>
    <row r="3" spans="1:11" x14ac:dyDescent="0.25">
      <c r="A3">
        <v>2</v>
      </c>
      <c r="B3">
        <v>475</v>
      </c>
      <c r="C3">
        <v>487</v>
      </c>
      <c r="D3">
        <v>487</v>
      </c>
      <c r="E3">
        <v>487</v>
      </c>
      <c r="F3">
        <v>1.84E-5</v>
      </c>
      <c r="G3">
        <v>1.84E-5</v>
      </c>
      <c r="H3">
        <v>1.84E-5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475</v>
      </c>
      <c r="C4">
        <v>487</v>
      </c>
      <c r="D4">
        <v>487</v>
      </c>
      <c r="E4">
        <v>487</v>
      </c>
      <c r="F4">
        <v>1.5999999999999999E-5</v>
      </c>
      <c r="G4">
        <v>1.5999999999999999E-5</v>
      </c>
      <c r="H4">
        <v>1.5999999999999999E-5</v>
      </c>
      <c r="I4">
        <v>3.1E-6</v>
      </c>
      <c r="J4">
        <v>3.1E-6</v>
      </c>
      <c r="K4">
        <v>3.1E-6</v>
      </c>
    </row>
    <row r="5" spans="1:11" x14ac:dyDescent="0.25">
      <c r="A5">
        <v>4</v>
      </c>
      <c r="B5">
        <v>475</v>
      </c>
      <c r="C5">
        <v>487</v>
      </c>
      <c r="D5">
        <v>487</v>
      </c>
      <c r="E5">
        <v>487</v>
      </c>
      <c r="F5">
        <v>1.5E-5</v>
      </c>
      <c r="G5">
        <v>1.5E-5</v>
      </c>
      <c r="H5">
        <v>1.5E-5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475</v>
      </c>
      <c r="C6">
        <v>487</v>
      </c>
      <c r="D6">
        <v>487</v>
      </c>
      <c r="E6">
        <v>487</v>
      </c>
      <c r="F6">
        <v>1.43E-5</v>
      </c>
      <c r="G6">
        <v>1.43E-5</v>
      </c>
      <c r="H6">
        <v>1.43E-5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475</v>
      </c>
      <c r="C7">
        <v>487</v>
      </c>
      <c r="D7">
        <v>487</v>
      </c>
      <c r="E7">
        <v>487</v>
      </c>
      <c r="F7">
        <v>1.4100000000000001E-5</v>
      </c>
      <c r="G7">
        <v>1.4100000000000001E-5</v>
      </c>
      <c r="H7">
        <v>1.4100000000000001E-5</v>
      </c>
      <c r="I7">
        <v>2.8600000000000001E-6</v>
      </c>
      <c r="J7">
        <v>2.8600000000000001E-6</v>
      </c>
      <c r="K7">
        <v>2.8600000000000001E-6</v>
      </c>
    </row>
    <row r="8" spans="1:11" x14ac:dyDescent="0.25">
      <c r="A8">
        <v>7</v>
      </c>
      <c r="B8">
        <v>475</v>
      </c>
      <c r="C8">
        <v>487</v>
      </c>
      <c r="D8">
        <v>487</v>
      </c>
      <c r="E8">
        <v>487</v>
      </c>
      <c r="F8">
        <v>1.5E-5</v>
      </c>
      <c r="G8">
        <v>1.5E-5</v>
      </c>
      <c r="H8">
        <v>1.5E-5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480</v>
      </c>
      <c r="C9">
        <v>491</v>
      </c>
      <c r="D9">
        <v>491</v>
      </c>
      <c r="E9">
        <v>491</v>
      </c>
      <c r="F9">
        <v>1.4100000000000001E-5</v>
      </c>
      <c r="G9">
        <v>1.4100000000000001E-5</v>
      </c>
      <c r="H9">
        <v>1.4100000000000001E-5</v>
      </c>
      <c r="I9">
        <v>3.1E-6</v>
      </c>
      <c r="J9">
        <v>3.1E-6</v>
      </c>
      <c r="K9">
        <v>3.1E-6</v>
      </c>
    </row>
    <row r="10" spans="1:11" x14ac:dyDescent="0.25">
      <c r="A10">
        <v>9</v>
      </c>
      <c r="B10">
        <v>475</v>
      </c>
      <c r="C10">
        <v>487</v>
      </c>
      <c r="D10">
        <v>487</v>
      </c>
      <c r="E10">
        <v>487</v>
      </c>
      <c r="F10">
        <v>1.5E-5</v>
      </c>
      <c r="G10">
        <v>1.5E-5</v>
      </c>
      <c r="H10">
        <v>1.5E-5</v>
      </c>
      <c r="I10">
        <v>1.9099999999999999E-6</v>
      </c>
      <c r="J10">
        <v>1.9099999999999999E-6</v>
      </c>
      <c r="K10">
        <v>1.9099999999999999E-6</v>
      </c>
    </row>
    <row r="11" spans="1:11" x14ac:dyDescent="0.25">
      <c r="A11">
        <v>10</v>
      </c>
      <c r="B11">
        <v>477</v>
      </c>
      <c r="C11">
        <v>488</v>
      </c>
      <c r="D11">
        <v>488</v>
      </c>
      <c r="E11">
        <v>488</v>
      </c>
      <c r="F11">
        <v>1.31E-5</v>
      </c>
      <c r="G11">
        <v>1.31E-5</v>
      </c>
      <c r="H11">
        <v>1.31E-5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SUBTOTAL(101,_grav_1_24[total_time])</f>
        <v>476</v>
      </c>
      <c r="C12">
        <f>SUBTOTAL(101,_grav_1_24[work_time_min])</f>
        <v>487.8</v>
      </c>
      <c r="D12">
        <f>SUBTOTAL(101,_grav_1_24[work_time_avg])</f>
        <v>487.8</v>
      </c>
      <c r="E12">
        <f>SUBTOTAL(101,_grav_1_24[work_time_max])</f>
        <v>487.8</v>
      </c>
      <c r="F12">
        <f>SUBTOTAL(101,_grav_1_24[prep_time_min])</f>
        <v>4.0850000000000028E-4</v>
      </c>
      <c r="G12">
        <f>SUBTOTAL(101,_grav_1_24[prep_time_avg])</f>
        <v>4.0850000000000028E-4</v>
      </c>
      <c r="H12">
        <f>SUBTOTAL(101,_grav_1_24[prep_time_max])</f>
        <v>4.0850000000000028E-4</v>
      </c>
      <c r="I12">
        <f>SUBTOTAL(101,_grav_1_24[comm_time_min])</f>
        <v>7.8942000000000031E-5</v>
      </c>
      <c r="J12">
        <f>SUBTOTAL(101,_grav_1_24[comm_time_avg])</f>
        <v>7.8942000000000031E-5</v>
      </c>
      <c r="K12">
        <f>SUBTOTAL(101,_grav_1_24[comm_time_max])</f>
        <v>7.8942000000000031E-5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A0B0-B63E-48BC-8A02-C810DB1193EC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416</v>
      </c>
      <c r="C2">
        <v>422</v>
      </c>
      <c r="D2">
        <v>422</v>
      </c>
      <c r="E2">
        <v>422</v>
      </c>
      <c r="F2">
        <v>4.9799999999999998E-5</v>
      </c>
      <c r="G2">
        <v>4.9799999999999998E-5</v>
      </c>
      <c r="H2">
        <v>4.9799999999999998E-5</v>
      </c>
      <c r="I2">
        <v>9.0599999999999997E-6</v>
      </c>
      <c r="J2">
        <v>9.0599999999999997E-6</v>
      </c>
      <c r="K2">
        <v>9.0599999999999997E-6</v>
      </c>
    </row>
    <row r="3" spans="1:11" x14ac:dyDescent="0.25">
      <c r="A3">
        <v>2</v>
      </c>
      <c r="B3">
        <v>414</v>
      </c>
      <c r="C3">
        <v>419</v>
      </c>
      <c r="D3">
        <v>419</v>
      </c>
      <c r="E3">
        <v>419</v>
      </c>
      <c r="F3">
        <v>2.9099999999999999E-5</v>
      </c>
      <c r="G3">
        <v>2.9099999999999999E-5</v>
      </c>
      <c r="H3">
        <v>2.9099999999999999E-5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414</v>
      </c>
      <c r="C4">
        <v>419</v>
      </c>
      <c r="D4">
        <v>419</v>
      </c>
      <c r="E4">
        <v>419</v>
      </c>
      <c r="F4">
        <v>3.8099999999999998E-5</v>
      </c>
      <c r="G4">
        <v>3.8099999999999998E-5</v>
      </c>
      <c r="H4">
        <v>3.8099999999999998E-5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412</v>
      </c>
      <c r="C5">
        <v>417</v>
      </c>
      <c r="D5">
        <v>417</v>
      </c>
      <c r="E5">
        <v>417</v>
      </c>
      <c r="F5">
        <v>1.38E-5</v>
      </c>
      <c r="G5">
        <v>1.38E-5</v>
      </c>
      <c r="H5">
        <v>1.38E-5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412</v>
      </c>
      <c r="C6">
        <v>418</v>
      </c>
      <c r="D6">
        <v>418</v>
      </c>
      <c r="E6">
        <v>418</v>
      </c>
      <c r="F6">
        <v>1.6900000000000001E-5</v>
      </c>
      <c r="G6">
        <v>1.6900000000000001E-5</v>
      </c>
      <c r="H6">
        <v>1.6900000000000001E-5</v>
      </c>
      <c r="I6">
        <v>2.1500000000000002E-6</v>
      </c>
      <c r="J6">
        <v>2.1500000000000002E-6</v>
      </c>
      <c r="K6">
        <v>2.1500000000000002E-6</v>
      </c>
    </row>
    <row r="7" spans="1:11" x14ac:dyDescent="0.25">
      <c r="A7">
        <v>6</v>
      </c>
      <c r="B7">
        <v>412</v>
      </c>
      <c r="C7">
        <v>418</v>
      </c>
      <c r="D7">
        <v>418</v>
      </c>
      <c r="E7">
        <v>418</v>
      </c>
      <c r="F7">
        <v>1.6200000000000001E-5</v>
      </c>
      <c r="G7">
        <v>1.6200000000000001E-5</v>
      </c>
      <c r="H7">
        <v>1.6200000000000001E-5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412</v>
      </c>
      <c r="C8">
        <v>417</v>
      </c>
      <c r="D8">
        <v>417</v>
      </c>
      <c r="E8">
        <v>417</v>
      </c>
      <c r="F8">
        <v>1.5999999999999999E-5</v>
      </c>
      <c r="G8">
        <v>1.5999999999999999E-5</v>
      </c>
      <c r="H8">
        <v>1.5999999999999999E-5</v>
      </c>
      <c r="I8">
        <v>2.1500000000000002E-6</v>
      </c>
      <c r="J8">
        <v>2.1500000000000002E-6</v>
      </c>
      <c r="K8">
        <v>2.1500000000000002E-6</v>
      </c>
    </row>
    <row r="9" spans="1:11" x14ac:dyDescent="0.25">
      <c r="A9">
        <v>8</v>
      </c>
      <c r="B9">
        <v>415</v>
      </c>
      <c r="C9">
        <v>421</v>
      </c>
      <c r="D9">
        <v>421</v>
      </c>
      <c r="E9">
        <v>421</v>
      </c>
      <c r="F9">
        <v>1.5999999999999999E-5</v>
      </c>
      <c r="G9">
        <v>1.5999999999999999E-5</v>
      </c>
      <c r="H9">
        <v>1.5999999999999999E-5</v>
      </c>
      <c r="I9">
        <v>2.1500000000000002E-6</v>
      </c>
      <c r="J9">
        <v>2.1500000000000002E-6</v>
      </c>
      <c r="K9">
        <v>2.1500000000000002E-6</v>
      </c>
    </row>
    <row r="10" spans="1:11" x14ac:dyDescent="0.25">
      <c r="A10">
        <v>9</v>
      </c>
      <c r="B10">
        <v>411</v>
      </c>
      <c r="C10">
        <v>416</v>
      </c>
      <c r="D10">
        <v>416</v>
      </c>
      <c r="E10">
        <v>416</v>
      </c>
      <c r="F10">
        <v>1.19E-5</v>
      </c>
      <c r="G10">
        <v>1.19E-5</v>
      </c>
      <c r="H10">
        <v>1.19E-5</v>
      </c>
      <c r="I10">
        <v>3.1E-6</v>
      </c>
      <c r="J10">
        <v>3.1E-6</v>
      </c>
      <c r="K10">
        <v>3.1E-6</v>
      </c>
    </row>
    <row r="11" spans="1:11" x14ac:dyDescent="0.25">
      <c r="A11">
        <v>10</v>
      </c>
      <c r="B11">
        <v>413</v>
      </c>
      <c r="C11">
        <v>419</v>
      </c>
      <c r="D11">
        <v>419</v>
      </c>
      <c r="E11">
        <v>419</v>
      </c>
      <c r="F11">
        <v>1.5999999999999999E-5</v>
      </c>
      <c r="G11">
        <v>1.5999999999999999E-5</v>
      </c>
      <c r="H11">
        <v>1.5999999999999999E-5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SUBTOTAL(101,_grav_1_23[total_time])</f>
        <v>413.1</v>
      </c>
      <c r="C12">
        <f>SUBTOTAL(101,_grav_1_23[work_time_min])</f>
        <v>418.6</v>
      </c>
      <c r="D12">
        <f>SUBTOTAL(101,_grav_1_23[work_time_avg])</f>
        <v>418.6</v>
      </c>
      <c r="E12">
        <f>SUBTOTAL(101,_grav_1_23[work_time_max])</f>
        <v>418.6</v>
      </c>
      <c r="F12">
        <f>SUBTOTAL(101,_grav_1_23[prep_time_min])</f>
        <v>2.2380000000000006E-5</v>
      </c>
      <c r="G12">
        <f>SUBTOTAL(101,_grav_1_23[prep_time_avg])</f>
        <v>2.2380000000000006E-5</v>
      </c>
      <c r="H12">
        <f>SUBTOTAL(101,_grav_1_23[prep_time_max])</f>
        <v>2.2380000000000006E-5</v>
      </c>
      <c r="I12">
        <f>SUBTOTAL(101,_grav_1_23[comm_time_min])</f>
        <v>3.0300000000000006E-6</v>
      </c>
      <c r="J12">
        <f>SUBTOTAL(101,_grav_1_23[comm_time_avg])</f>
        <v>3.0300000000000006E-6</v>
      </c>
      <c r="K12">
        <f>SUBTOTAL(101,_grav_1_23[comm_time_max])</f>
        <v>3.0300000000000006E-6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086BB-6F6A-4329-ABA8-8E47B6AC961B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154</v>
      </c>
      <c r="C2">
        <v>157</v>
      </c>
      <c r="D2">
        <v>157</v>
      </c>
      <c r="E2">
        <v>157</v>
      </c>
      <c r="F2">
        <v>9.7299999999999993E-5</v>
      </c>
      <c r="G2">
        <v>9.7299999999999993E-5</v>
      </c>
      <c r="H2">
        <v>9.7299999999999993E-5</v>
      </c>
      <c r="I2">
        <v>7.8699999999999992E-6</v>
      </c>
      <c r="J2">
        <v>7.8699999999999992E-6</v>
      </c>
      <c r="K2">
        <v>7.8699999999999992E-6</v>
      </c>
    </row>
    <row r="3" spans="1:11" x14ac:dyDescent="0.25">
      <c r="A3">
        <v>2</v>
      </c>
      <c r="B3">
        <v>154</v>
      </c>
      <c r="C3">
        <v>157</v>
      </c>
      <c r="D3">
        <v>157</v>
      </c>
      <c r="E3">
        <v>157</v>
      </c>
      <c r="F3">
        <v>1.6900000000000001E-5</v>
      </c>
      <c r="G3">
        <v>1.6900000000000001E-5</v>
      </c>
      <c r="H3">
        <v>1.6900000000000001E-5</v>
      </c>
      <c r="I3">
        <v>2.8600000000000001E-6</v>
      </c>
      <c r="J3">
        <v>2.8600000000000001E-6</v>
      </c>
      <c r="K3">
        <v>2.8600000000000001E-6</v>
      </c>
    </row>
    <row r="4" spans="1:11" x14ac:dyDescent="0.25">
      <c r="A4">
        <v>3</v>
      </c>
      <c r="B4">
        <v>154</v>
      </c>
      <c r="C4">
        <v>157</v>
      </c>
      <c r="D4">
        <v>157</v>
      </c>
      <c r="E4">
        <v>157</v>
      </c>
      <c r="F4">
        <v>2.0999999999999999E-5</v>
      </c>
      <c r="G4">
        <v>2.0999999999999999E-5</v>
      </c>
      <c r="H4">
        <v>2.0999999999999999E-5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155</v>
      </c>
      <c r="C5">
        <v>158</v>
      </c>
      <c r="D5">
        <v>158</v>
      </c>
      <c r="E5">
        <v>158</v>
      </c>
      <c r="F5">
        <v>1.6200000000000001E-5</v>
      </c>
      <c r="G5">
        <v>1.6200000000000001E-5</v>
      </c>
      <c r="H5">
        <v>1.6200000000000001E-5</v>
      </c>
      <c r="I5">
        <v>2.8600000000000001E-6</v>
      </c>
      <c r="J5">
        <v>2.8600000000000001E-6</v>
      </c>
      <c r="K5">
        <v>2.8600000000000001E-6</v>
      </c>
    </row>
    <row r="6" spans="1:11" x14ac:dyDescent="0.25">
      <c r="A6">
        <v>5</v>
      </c>
      <c r="B6">
        <v>155</v>
      </c>
      <c r="C6">
        <v>158</v>
      </c>
      <c r="D6">
        <v>158</v>
      </c>
      <c r="E6">
        <v>158</v>
      </c>
      <c r="F6">
        <v>2.19E-5</v>
      </c>
      <c r="G6">
        <v>2.19E-5</v>
      </c>
      <c r="H6">
        <v>2.19E-5</v>
      </c>
      <c r="I6">
        <v>2.8600000000000001E-6</v>
      </c>
      <c r="J6">
        <v>2.8600000000000001E-6</v>
      </c>
      <c r="K6">
        <v>2.8600000000000001E-6</v>
      </c>
    </row>
    <row r="7" spans="1:11" x14ac:dyDescent="0.25">
      <c r="A7">
        <v>6</v>
      </c>
      <c r="B7">
        <v>154</v>
      </c>
      <c r="C7">
        <v>157</v>
      </c>
      <c r="D7">
        <v>157</v>
      </c>
      <c r="E7">
        <v>157</v>
      </c>
      <c r="F7">
        <v>4.8199999999999999E-5</v>
      </c>
      <c r="G7">
        <v>4.8199999999999999E-5</v>
      </c>
      <c r="H7">
        <v>4.8199999999999999E-5</v>
      </c>
      <c r="I7">
        <v>3.1E-6</v>
      </c>
      <c r="J7">
        <v>3.1E-6</v>
      </c>
      <c r="K7">
        <v>3.1E-6</v>
      </c>
    </row>
    <row r="8" spans="1:11" x14ac:dyDescent="0.25">
      <c r="A8">
        <v>7</v>
      </c>
      <c r="B8">
        <v>154</v>
      </c>
      <c r="C8">
        <v>157</v>
      </c>
      <c r="D8">
        <v>157</v>
      </c>
      <c r="E8">
        <v>157</v>
      </c>
      <c r="F8">
        <v>1.6900000000000001E-5</v>
      </c>
      <c r="G8">
        <v>1.6900000000000001E-5</v>
      </c>
      <c r="H8">
        <v>1.6900000000000001E-5</v>
      </c>
      <c r="I8">
        <v>3.1E-6</v>
      </c>
      <c r="J8">
        <v>3.1E-6</v>
      </c>
      <c r="K8">
        <v>3.1E-6</v>
      </c>
    </row>
    <row r="9" spans="1:11" x14ac:dyDescent="0.25">
      <c r="A9">
        <v>8</v>
      </c>
      <c r="B9">
        <v>156</v>
      </c>
      <c r="C9">
        <v>159</v>
      </c>
      <c r="D9">
        <v>159</v>
      </c>
      <c r="E9">
        <v>159</v>
      </c>
      <c r="F9">
        <v>1.5999999999999999E-5</v>
      </c>
      <c r="G9">
        <v>1.5999999999999999E-5</v>
      </c>
      <c r="H9">
        <v>1.5999999999999999E-5</v>
      </c>
      <c r="I9">
        <v>2.8600000000000001E-6</v>
      </c>
      <c r="J9">
        <v>2.8600000000000001E-6</v>
      </c>
      <c r="K9">
        <v>2.8600000000000001E-6</v>
      </c>
    </row>
    <row r="10" spans="1:11" x14ac:dyDescent="0.25">
      <c r="A10">
        <v>9</v>
      </c>
      <c r="B10">
        <v>154</v>
      </c>
      <c r="C10">
        <v>157</v>
      </c>
      <c r="D10">
        <v>157</v>
      </c>
      <c r="E10">
        <v>157</v>
      </c>
      <c r="F10">
        <v>1.5999999999999999E-5</v>
      </c>
      <c r="G10">
        <v>1.5999999999999999E-5</v>
      </c>
      <c r="H10">
        <v>1.5999999999999999E-5</v>
      </c>
      <c r="I10">
        <v>1.9099999999999999E-6</v>
      </c>
      <c r="J10">
        <v>1.9099999999999999E-6</v>
      </c>
      <c r="K10">
        <v>1.9099999999999999E-6</v>
      </c>
    </row>
    <row r="11" spans="1:11" x14ac:dyDescent="0.25">
      <c r="A11">
        <v>10</v>
      </c>
      <c r="B11">
        <v>155</v>
      </c>
      <c r="C11">
        <v>157</v>
      </c>
      <c r="D11">
        <v>157</v>
      </c>
      <c r="E11">
        <v>157</v>
      </c>
      <c r="F11">
        <v>1.6200000000000001E-5</v>
      </c>
      <c r="G11">
        <v>1.6200000000000001E-5</v>
      </c>
      <c r="H11">
        <v>1.6200000000000001E-5</v>
      </c>
      <c r="I11">
        <v>1.9099999999999999E-6</v>
      </c>
      <c r="J11">
        <v>1.9099999999999999E-6</v>
      </c>
      <c r="K11">
        <v>1.9099999999999999E-6</v>
      </c>
    </row>
    <row r="12" spans="1:11" x14ac:dyDescent="0.25">
      <c r="A12" t="s">
        <v>11</v>
      </c>
      <c r="B12">
        <f>SUBTOTAL(101,_grav_1_22[total_time])</f>
        <v>154.5</v>
      </c>
      <c r="C12">
        <f>SUBTOTAL(101,_grav_1_22[work_time_min])</f>
        <v>157.4</v>
      </c>
      <c r="D12">
        <f>SUBTOTAL(101,_grav_1_22[work_time_avg])</f>
        <v>157.4</v>
      </c>
      <c r="E12">
        <f>SUBTOTAL(101,_grav_1_22[work_time_max])</f>
        <v>157.4</v>
      </c>
      <c r="F12">
        <f>SUBTOTAL(101,_grav_1_22[prep_time_min])</f>
        <v>2.8660000000000003E-5</v>
      </c>
      <c r="G12">
        <f>SUBTOTAL(101,_grav_1_22[prep_time_avg])</f>
        <v>2.8660000000000003E-5</v>
      </c>
      <c r="H12">
        <f>SUBTOTAL(101,_grav_1_22[prep_time_max])</f>
        <v>2.8660000000000003E-5</v>
      </c>
      <c r="I12">
        <f>SUBTOTAL(101,_grav_1_22[comm_time_min])</f>
        <v>3.219E-6</v>
      </c>
      <c r="J12">
        <f>SUBTOTAL(101,_grav_1_22[comm_time_avg])</f>
        <v>3.219E-6</v>
      </c>
      <c r="K12">
        <f>SUBTOTAL(101,_grav_1_22[comm_time_max])</f>
        <v>3.219E-6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4F7F-CD24-4D29-B42F-3FEB3B58F939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55.6</v>
      </c>
      <c r="C2">
        <v>57</v>
      </c>
      <c r="D2">
        <v>57</v>
      </c>
      <c r="E2">
        <v>57</v>
      </c>
      <c r="F2">
        <v>3.4799999999999999E-5</v>
      </c>
      <c r="G2">
        <v>3.4799999999999999E-5</v>
      </c>
      <c r="H2">
        <v>3.4799999999999999E-5</v>
      </c>
      <c r="I2">
        <v>7.1500000000000002E-6</v>
      </c>
      <c r="J2">
        <v>7.1500000000000002E-6</v>
      </c>
      <c r="K2">
        <v>7.1500000000000002E-6</v>
      </c>
    </row>
    <row r="3" spans="1:11" x14ac:dyDescent="0.25">
      <c r="A3">
        <v>2</v>
      </c>
      <c r="B3">
        <v>55.6</v>
      </c>
      <c r="C3">
        <v>57</v>
      </c>
      <c r="D3">
        <v>57</v>
      </c>
      <c r="E3">
        <v>57</v>
      </c>
      <c r="F3">
        <v>1.4100000000000001E-5</v>
      </c>
      <c r="G3">
        <v>1.4100000000000001E-5</v>
      </c>
      <c r="H3">
        <v>1.4100000000000001E-5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55.5</v>
      </c>
      <c r="C4">
        <v>56.9</v>
      </c>
      <c r="D4">
        <v>56.9</v>
      </c>
      <c r="E4">
        <v>56.9</v>
      </c>
      <c r="F4">
        <v>1.5299999999999999E-5</v>
      </c>
      <c r="G4">
        <v>1.5299999999999999E-5</v>
      </c>
      <c r="H4">
        <v>1.5299999999999999E-5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55.5</v>
      </c>
      <c r="C5">
        <v>56.9</v>
      </c>
      <c r="D5">
        <v>56.9</v>
      </c>
      <c r="E5">
        <v>56.9</v>
      </c>
      <c r="F5">
        <v>1.34E-5</v>
      </c>
      <c r="G5">
        <v>1.34E-5</v>
      </c>
      <c r="H5">
        <v>1.34E-5</v>
      </c>
      <c r="I5">
        <v>2.8600000000000001E-6</v>
      </c>
      <c r="J5">
        <v>2.8600000000000001E-6</v>
      </c>
      <c r="K5">
        <v>2.8600000000000001E-6</v>
      </c>
    </row>
    <row r="6" spans="1:11" x14ac:dyDescent="0.25">
      <c r="A6">
        <v>5</v>
      </c>
      <c r="B6">
        <v>55.5</v>
      </c>
      <c r="C6">
        <v>56.9</v>
      </c>
      <c r="D6">
        <v>56.9</v>
      </c>
      <c r="E6">
        <v>56.9</v>
      </c>
      <c r="F6">
        <v>1.38E-5</v>
      </c>
      <c r="G6">
        <v>1.38E-5</v>
      </c>
      <c r="H6">
        <v>1.38E-5</v>
      </c>
      <c r="I6">
        <v>3.1E-6</v>
      </c>
      <c r="J6">
        <v>3.1E-6</v>
      </c>
      <c r="K6">
        <v>3.1E-6</v>
      </c>
    </row>
    <row r="7" spans="1:11" x14ac:dyDescent="0.25">
      <c r="A7">
        <v>6</v>
      </c>
      <c r="B7">
        <v>55.5</v>
      </c>
      <c r="C7">
        <v>56.9</v>
      </c>
      <c r="D7">
        <v>56.9</v>
      </c>
      <c r="E7">
        <v>56.9</v>
      </c>
      <c r="F7">
        <v>1.5699999999999999E-5</v>
      </c>
      <c r="G7">
        <v>1.5699999999999999E-5</v>
      </c>
      <c r="H7">
        <v>1.5699999999999999E-5</v>
      </c>
      <c r="I7">
        <v>2.1500000000000002E-6</v>
      </c>
      <c r="J7">
        <v>2.1500000000000002E-6</v>
      </c>
      <c r="K7">
        <v>2.1500000000000002E-6</v>
      </c>
    </row>
    <row r="8" spans="1:11" x14ac:dyDescent="0.25">
      <c r="A8">
        <v>7</v>
      </c>
      <c r="B8">
        <v>55.5</v>
      </c>
      <c r="C8">
        <v>56.9</v>
      </c>
      <c r="D8">
        <v>56.9</v>
      </c>
      <c r="E8">
        <v>56.9</v>
      </c>
      <c r="F8">
        <v>1.29E-5</v>
      </c>
      <c r="G8">
        <v>1.29E-5</v>
      </c>
      <c r="H8">
        <v>1.29E-5</v>
      </c>
      <c r="I8">
        <v>2.1500000000000002E-6</v>
      </c>
      <c r="J8">
        <v>2.1500000000000002E-6</v>
      </c>
      <c r="K8">
        <v>2.1500000000000002E-6</v>
      </c>
    </row>
    <row r="9" spans="1:11" x14ac:dyDescent="0.25">
      <c r="A9">
        <v>8</v>
      </c>
      <c r="B9">
        <v>55.8</v>
      </c>
      <c r="C9">
        <v>57.2</v>
      </c>
      <c r="D9">
        <v>57.2</v>
      </c>
      <c r="E9">
        <v>57.2</v>
      </c>
      <c r="F9">
        <v>1.19E-5</v>
      </c>
      <c r="G9">
        <v>1.19E-5</v>
      </c>
      <c r="H9">
        <v>1.19E-5</v>
      </c>
      <c r="I9">
        <v>3.1E-6</v>
      </c>
      <c r="J9">
        <v>3.1E-6</v>
      </c>
      <c r="K9">
        <v>3.1E-6</v>
      </c>
    </row>
    <row r="10" spans="1:11" x14ac:dyDescent="0.25">
      <c r="A10">
        <v>9</v>
      </c>
      <c r="B10">
        <v>55.5</v>
      </c>
      <c r="C10">
        <v>57</v>
      </c>
      <c r="D10">
        <v>57</v>
      </c>
      <c r="E10">
        <v>57</v>
      </c>
      <c r="F10">
        <v>1.4100000000000001E-5</v>
      </c>
      <c r="G10">
        <v>1.4100000000000001E-5</v>
      </c>
      <c r="H10">
        <v>1.4100000000000001E-5</v>
      </c>
      <c r="I10">
        <v>1.9099999999999999E-6</v>
      </c>
      <c r="J10">
        <v>1.9099999999999999E-6</v>
      </c>
      <c r="K10">
        <v>1.9099999999999999E-6</v>
      </c>
    </row>
    <row r="11" spans="1:11" x14ac:dyDescent="0.25">
      <c r="A11">
        <v>10</v>
      </c>
      <c r="B11">
        <v>55.7</v>
      </c>
      <c r="C11">
        <v>57.1</v>
      </c>
      <c r="D11">
        <v>57.1</v>
      </c>
      <c r="E11">
        <v>57.1</v>
      </c>
      <c r="F11">
        <v>1.4100000000000001E-5</v>
      </c>
      <c r="G11">
        <v>1.4100000000000001E-5</v>
      </c>
      <c r="H11">
        <v>1.4100000000000001E-5</v>
      </c>
      <c r="I11">
        <v>3.1E-6</v>
      </c>
      <c r="J11">
        <v>3.1E-6</v>
      </c>
      <c r="K11">
        <v>3.1E-6</v>
      </c>
    </row>
    <row r="12" spans="1:11" x14ac:dyDescent="0.25">
      <c r="A12" t="s">
        <v>11</v>
      </c>
      <c r="B12">
        <f>SUBTOTAL(101,_grav_1_21[total_time])</f>
        <v>55.570000000000007</v>
      </c>
      <c r="C12">
        <f>SUBTOTAL(101,_grav_1_21[work_time_min])</f>
        <v>56.98</v>
      </c>
      <c r="D12">
        <f>SUBTOTAL(101,_grav_1_21[work_time_avg])</f>
        <v>56.98</v>
      </c>
      <c r="E12">
        <f>SUBTOTAL(101,_grav_1_21[work_time_max])</f>
        <v>56.98</v>
      </c>
      <c r="F12">
        <f>SUBTOTAL(101,_grav_1_21[prep_time_min])</f>
        <v>1.6009999999999997E-5</v>
      </c>
      <c r="G12">
        <f>SUBTOTAL(101,_grav_1_21[prep_time_avg])</f>
        <v>1.6009999999999997E-5</v>
      </c>
      <c r="H12">
        <f>SUBTOTAL(101,_grav_1_21[prep_time_max])</f>
        <v>1.6009999999999997E-5</v>
      </c>
      <c r="I12">
        <f>SUBTOTAL(101,_grav_1_21[comm_time_min])</f>
        <v>3.0290000000000001E-6</v>
      </c>
      <c r="J12">
        <f>SUBTOTAL(101,_grav_1_21[comm_time_avg])</f>
        <v>3.0290000000000001E-6</v>
      </c>
      <c r="K12">
        <f>SUBTOTAL(101,_grav_1_21[comm_time_max])</f>
        <v>3.0290000000000001E-6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312B-A9D6-4EB4-B588-90609D6CB04C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46.6</v>
      </c>
      <c r="C2">
        <v>47.3</v>
      </c>
      <c r="D2">
        <v>47.3</v>
      </c>
      <c r="E2">
        <v>47.3</v>
      </c>
      <c r="F2">
        <v>3.3899999999999997E-5</v>
      </c>
      <c r="G2">
        <v>3.3899999999999997E-5</v>
      </c>
      <c r="H2">
        <v>3.3899999999999997E-5</v>
      </c>
      <c r="I2">
        <v>8.1100000000000003E-6</v>
      </c>
      <c r="J2">
        <v>8.1100000000000003E-6</v>
      </c>
      <c r="K2">
        <v>8.1100000000000003E-6</v>
      </c>
    </row>
    <row r="3" spans="1:11" x14ac:dyDescent="0.25">
      <c r="A3">
        <v>2</v>
      </c>
      <c r="B3">
        <v>46.6</v>
      </c>
      <c r="C3">
        <v>47.3</v>
      </c>
      <c r="D3">
        <v>47.3</v>
      </c>
      <c r="E3">
        <v>47.3</v>
      </c>
      <c r="F3">
        <v>1.5999999999999999E-5</v>
      </c>
      <c r="G3">
        <v>1.5999999999999999E-5</v>
      </c>
      <c r="H3">
        <v>1.5999999999999999E-5</v>
      </c>
      <c r="I3">
        <v>2.1500000000000002E-6</v>
      </c>
      <c r="J3">
        <v>2.1500000000000002E-6</v>
      </c>
      <c r="K3">
        <v>2.1500000000000002E-6</v>
      </c>
    </row>
    <row r="4" spans="1:11" x14ac:dyDescent="0.25">
      <c r="A4">
        <v>3</v>
      </c>
      <c r="B4">
        <v>46.6</v>
      </c>
      <c r="C4">
        <v>47.3</v>
      </c>
      <c r="D4">
        <v>47.3</v>
      </c>
      <c r="E4">
        <v>47.3</v>
      </c>
      <c r="F4">
        <v>1.5E-5</v>
      </c>
      <c r="G4">
        <v>1.5E-5</v>
      </c>
      <c r="H4">
        <v>1.5E-5</v>
      </c>
      <c r="I4">
        <v>3.1E-6</v>
      </c>
      <c r="J4">
        <v>3.1E-6</v>
      </c>
      <c r="K4">
        <v>3.1E-6</v>
      </c>
    </row>
    <row r="5" spans="1:11" x14ac:dyDescent="0.25">
      <c r="A5">
        <v>4</v>
      </c>
      <c r="B5">
        <v>46.6</v>
      </c>
      <c r="C5">
        <v>47.3</v>
      </c>
      <c r="D5">
        <v>47.3</v>
      </c>
      <c r="E5">
        <v>47.3</v>
      </c>
      <c r="F5">
        <v>1.4100000000000001E-5</v>
      </c>
      <c r="G5">
        <v>1.4100000000000001E-5</v>
      </c>
      <c r="H5">
        <v>1.4100000000000001E-5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46.6</v>
      </c>
      <c r="C6">
        <v>47.3</v>
      </c>
      <c r="D6">
        <v>47.3</v>
      </c>
      <c r="E6">
        <v>47.3</v>
      </c>
      <c r="F6">
        <v>1.19E-5</v>
      </c>
      <c r="G6">
        <v>1.19E-5</v>
      </c>
      <c r="H6">
        <v>1.19E-5</v>
      </c>
      <c r="I6">
        <v>3.1E-6</v>
      </c>
      <c r="J6">
        <v>3.1E-6</v>
      </c>
      <c r="K6">
        <v>3.1E-6</v>
      </c>
    </row>
    <row r="7" spans="1:11" x14ac:dyDescent="0.25">
      <c r="A7">
        <v>6</v>
      </c>
      <c r="B7">
        <v>46.6</v>
      </c>
      <c r="C7">
        <v>47.3</v>
      </c>
      <c r="D7">
        <v>47.3</v>
      </c>
      <c r="E7">
        <v>47.3</v>
      </c>
      <c r="F7">
        <v>1.0000000000000001E-5</v>
      </c>
      <c r="G7">
        <v>1.0000000000000001E-5</v>
      </c>
      <c r="H7">
        <v>1.0000000000000001E-5</v>
      </c>
      <c r="I7">
        <v>3.1E-6</v>
      </c>
      <c r="J7">
        <v>3.1E-6</v>
      </c>
      <c r="K7">
        <v>3.1E-6</v>
      </c>
    </row>
    <row r="8" spans="1:11" x14ac:dyDescent="0.25">
      <c r="A8">
        <v>7</v>
      </c>
      <c r="B8">
        <v>46.6</v>
      </c>
      <c r="C8">
        <v>47.3</v>
      </c>
      <c r="D8">
        <v>47.3</v>
      </c>
      <c r="E8">
        <v>47.3</v>
      </c>
      <c r="F8">
        <v>1.38E-5</v>
      </c>
      <c r="G8">
        <v>1.38E-5</v>
      </c>
      <c r="H8">
        <v>1.38E-5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46.8</v>
      </c>
      <c r="C9">
        <v>47.5</v>
      </c>
      <c r="D9">
        <v>47.5</v>
      </c>
      <c r="E9">
        <v>47.5</v>
      </c>
      <c r="F9">
        <v>1.5E-5</v>
      </c>
      <c r="G9">
        <v>1.5E-5</v>
      </c>
      <c r="H9">
        <v>1.5E-5</v>
      </c>
      <c r="I9">
        <v>1.9099999999999999E-6</v>
      </c>
      <c r="J9">
        <v>1.9099999999999999E-6</v>
      </c>
      <c r="K9">
        <v>1.9099999999999999E-6</v>
      </c>
    </row>
    <row r="10" spans="1:11" x14ac:dyDescent="0.25">
      <c r="A10">
        <v>9</v>
      </c>
      <c r="B10">
        <v>46.6</v>
      </c>
      <c r="C10">
        <v>47.3</v>
      </c>
      <c r="D10">
        <v>47.3</v>
      </c>
      <c r="E10">
        <v>47.3</v>
      </c>
      <c r="F10">
        <v>1.34E-5</v>
      </c>
      <c r="G10">
        <v>1.34E-5</v>
      </c>
      <c r="H10">
        <v>1.34E-5</v>
      </c>
      <c r="I10">
        <v>2.8600000000000001E-6</v>
      </c>
      <c r="J10">
        <v>2.8600000000000001E-6</v>
      </c>
      <c r="K10">
        <v>2.8600000000000001E-6</v>
      </c>
    </row>
    <row r="11" spans="1:11" x14ac:dyDescent="0.25">
      <c r="A11">
        <v>10</v>
      </c>
      <c r="B11">
        <v>46.7</v>
      </c>
      <c r="C11">
        <v>47.4</v>
      </c>
      <c r="D11">
        <v>47.4</v>
      </c>
      <c r="E11">
        <v>47.4</v>
      </c>
      <c r="F11">
        <v>1.29E-5</v>
      </c>
      <c r="G11">
        <v>1.29E-5</v>
      </c>
      <c r="H11">
        <v>1.29E-5</v>
      </c>
      <c r="I11">
        <v>3.1E-6</v>
      </c>
      <c r="J11">
        <v>3.1E-6</v>
      </c>
      <c r="K11">
        <v>3.1E-6</v>
      </c>
    </row>
    <row r="12" spans="1:11" x14ac:dyDescent="0.25">
      <c r="A12" t="s">
        <v>11</v>
      </c>
      <c r="B12">
        <f>SUBTOTAL(101,_grav_1_20[total_time])</f>
        <v>46.63000000000001</v>
      </c>
      <c r="C12">
        <f>SUBTOTAL(101,_grav_1_20[work_time_min])</f>
        <v>47.33</v>
      </c>
      <c r="D12">
        <f>SUBTOTAL(101,_grav_1_20[work_time_avg])</f>
        <v>47.33</v>
      </c>
      <c r="E12">
        <f>SUBTOTAL(101,_grav_1_20[work_time_max])</f>
        <v>47.33</v>
      </c>
      <c r="F12">
        <f>SUBTOTAL(101,_grav_1_20[prep_time_min])</f>
        <v>1.56E-5</v>
      </c>
      <c r="G12">
        <f>SUBTOTAL(101,_grav_1_20[prep_time_avg])</f>
        <v>1.56E-5</v>
      </c>
      <c r="H12">
        <f>SUBTOTAL(101,_grav_1_20[prep_time_max])</f>
        <v>1.56E-5</v>
      </c>
      <c r="I12">
        <f>SUBTOTAL(101,_grav_1_20[comm_time_min])</f>
        <v>3.2440000000000002E-6</v>
      </c>
      <c r="J12">
        <f>SUBTOTAL(101,_grav_1_20[comm_time_avg])</f>
        <v>3.2440000000000002E-6</v>
      </c>
      <c r="K12">
        <f>SUBTOTAL(101,_grav_1_20[comm_time_max])</f>
        <v>3.2440000000000002E-6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28FB-3F74-4E4E-B00B-33976F925BAB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17.3</v>
      </c>
      <c r="C2">
        <v>17.7</v>
      </c>
      <c r="D2">
        <v>17.7</v>
      </c>
      <c r="E2">
        <v>17.7</v>
      </c>
      <c r="F2">
        <v>7.7999999999999999E-5</v>
      </c>
      <c r="G2">
        <v>7.7999999999999999E-5</v>
      </c>
      <c r="H2">
        <v>7.7999999999999999E-5</v>
      </c>
      <c r="I2">
        <v>6.1999999999999999E-6</v>
      </c>
      <c r="J2">
        <v>6.1999999999999999E-6</v>
      </c>
      <c r="K2">
        <v>6.1999999999999999E-6</v>
      </c>
    </row>
    <row r="3" spans="1:11" x14ac:dyDescent="0.25">
      <c r="A3">
        <v>2</v>
      </c>
      <c r="B3">
        <v>17.5</v>
      </c>
      <c r="C3">
        <v>17.899999999999999</v>
      </c>
      <c r="D3">
        <v>17.899999999999999</v>
      </c>
      <c r="E3">
        <v>17.899999999999999</v>
      </c>
      <c r="F3">
        <v>1.5299999999999999E-5</v>
      </c>
      <c r="G3">
        <v>1.5299999999999999E-5</v>
      </c>
      <c r="H3">
        <v>1.5299999999999999E-5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17.5</v>
      </c>
      <c r="C4">
        <v>17.899999999999999</v>
      </c>
      <c r="D4">
        <v>17.899999999999999</v>
      </c>
      <c r="E4">
        <v>17.899999999999999</v>
      </c>
      <c r="F4">
        <v>1.4100000000000001E-5</v>
      </c>
      <c r="G4">
        <v>1.4100000000000001E-5</v>
      </c>
      <c r="H4">
        <v>1.4100000000000001E-5</v>
      </c>
      <c r="I4">
        <v>2.8600000000000001E-6</v>
      </c>
      <c r="J4">
        <v>2.8600000000000001E-6</v>
      </c>
      <c r="K4">
        <v>2.8600000000000001E-6</v>
      </c>
    </row>
    <row r="5" spans="1:11" x14ac:dyDescent="0.25">
      <c r="A5">
        <v>4</v>
      </c>
      <c r="B5">
        <v>17.600000000000001</v>
      </c>
      <c r="C5">
        <v>18</v>
      </c>
      <c r="D5">
        <v>18</v>
      </c>
      <c r="E5">
        <v>18</v>
      </c>
      <c r="F5">
        <v>1.29E-5</v>
      </c>
      <c r="G5">
        <v>1.29E-5</v>
      </c>
      <c r="H5">
        <v>1.29E-5</v>
      </c>
      <c r="I5">
        <v>3.1E-6</v>
      </c>
      <c r="J5">
        <v>3.1E-6</v>
      </c>
      <c r="K5">
        <v>3.1E-6</v>
      </c>
    </row>
    <row r="6" spans="1:11" x14ac:dyDescent="0.25">
      <c r="A6">
        <v>5</v>
      </c>
      <c r="B6">
        <v>17.7</v>
      </c>
      <c r="C6">
        <v>18.100000000000001</v>
      </c>
      <c r="D6">
        <v>18.100000000000001</v>
      </c>
      <c r="E6">
        <v>18.100000000000001</v>
      </c>
      <c r="F6">
        <v>2.7900000000000001E-5</v>
      </c>
      <c r="G6">
        <v>2.7900000000000001E-5</v>
      </c>
      <c r="H6">
        <v>2.7900000000000001E-5</v>
      </c>
      <c r="I6">
        <v>4.0500000000000002E-6</v>
      </c>
      <c r="J6">
        <v>4.0500000000000002E-6</v>
      </c>
      <c r="K6">
        <v>4.0500000000000002E-6</v>
      </c>
    </row>
    <row r="7" spans="1:11" x14ac:dyDescent="0.25">
      <c r="A7">
        <v>6</v>
      </c>
      <c r="B7">
        <v>17.7</v>
      </c>
      <c r="C7">
        <v>18</v>
      </c>
      <c r="D7">
        <v>18</v>
      </c>
      <c r="E7">
        <v>18</v>
      </c>
      <c r="F7">
        <v>1.6900000000000001E-5</v>
      </c>
      <c r="G7">
        <v>1.6900000000000001E-5</v>
      </c>
      <c r="H7">
        <v>1.6900000000000001E-5</v>
      </c>
      <c r="I7">
        <v>3.1E-6</v>
      </c>
      <c r="J7">
        <v>3.1E-6</v>
      </c>
      <c r="K7">
        <v>3.1E-6</v>
      </c>
    </row>
    <row r="8" spans="1:11" x14ac:dyDescent="0.25">
      <c r="A8">
        <v>7</v>
      </c>
      <c r="B8">
        <v>17.399999999999999</v>
      </c>
      <c r="C8">
        <v>17.8</v>
      </c>
      <c r="D8">
        <v>17.8</v>
      </c>
      <c r="E8">
        <v>17.8</v>
      </c>
      <c r="F8">
        <v>1.7900000000000001E-5</v>
      </c>
      <c r="G8">
        <v>1.7900000000000001E-5</v>
      </c>
      <c r="H8">
        <v>1.7900000000000001E-5</v>
      </c>
      <c r="I8">
        <v>2.8600000000000001E-6</v>
      </c>
      <c r="J8">
        <v>2.8600000000000001E-6</v>
      </c>
      <c r="K8">
        <v>2.8600000000000001E-6</v>
      </c>
    </row>
    <row r="9" spans="1:11" x14ac:dyDescent="0.25">
      <c r="A9">
        <v>8</v>
      </c>
      <c r="B9">
        <v>17.5</v>
      </c>
      <c r="C9">
        <v>17.899999999999999</v>
      </c>
      <c r="D9">
        <v>17.899999999999999</v>
      </c>
      <c r="E9">
        <v>17.899999999999999</v>
      </c>
      <c r="F9">
        <v>1.5E-5</v>
      </c>
      <c r="G9">
        <v>1.5E-5</v>
      </c>
      <c r="H9">
        <v>1.5E-5</v>
      </c>
      <c r="I9">
        <v>1.9099999999999999E-6</v>
      </c>
      <c r="J9">
        <v>1.9099999999999999E-6</v>
      </c>
      <c r="K9">
        <v>1.9099999999999999E-6</v>
      </c>
    </row>
    <row r="10" spans="1:11" x14ac:dyDescent="0.25">
      <c r="A10">
        <v>9</v>
      </c>
      <c r="B10">
        <v>17.5</v>
      </c>
      <c r="C10">
        <v>17.8</v>
      </c>
      <c r="D10">
        <v>17.8</v>
      </c>
      <c r="E10">
        <v>17.8</v>
      </c>
      <c r="F10">
        <v>1.4800000000000001E-5</v>
      </c>
      <c r="G10">
        <v>1.4800000000000001E-5</v>
      </c>
      <c r="H10">
        <v>1.4800000000000001E-5</v>
      </c>
      <c r="I10">
        <v>2.1500000000000002E-6</v>
      </c>
      <c r="J10">
        <v>2.1500000000000002E-6</v>
      </c>
      <c r="K10">
        <v>2.1500000000000002E-6</v>
      </c>
    </row>
    <row r="11" spans="1:11" x14ac:dyDescent="0.25">
      <c r="A11">
        <v>10</v>
      </c>
      <c r="B11">
        <v>17.5</v>
      </c>
      <c r="C11">
        <v>17.899999999999999</v>
      </c>
      <c r="D11">
        <v>17.899999999999999</v>
      </c>
      <c r="E11">
        <v>17.899999999999999</v>
      </c>
      <c r="F11">
        <v>6.9099999999999999E-6</v>
      </c>
      <c r="G11">
        <v>6.9099999999999999E-6</v>
      </c>
      <c r="H11">
        <v>6.9099999999999999E-6</v>
      </c>
      <c r="I11">
        <v>2.1500000000000002E-6</v>
      </c>
      <c r="J11">
        <v>2.1500000000000002E-6</v>
      </c>
      <c r="K11">
        <v>2.1500000000000002E-6</v>
      </c>
    </row>
    <row r="12" spans="1:11" x14ac:dyDescent="0.25">
      <c r="A12" t="s">
        <v>11</v>
      </c>
      <c r="B12">
        <f>SUBTOTAL(101,_grav_1_19[total_time])</f>
        <v>17.520000000000003</v>
      </c>
      <c r="C12">
        <f>SUBTOTAL(101,_grav_1_19[work_time_min])</f>
        <v>17.899999999999999</v>
      </c>
      <c r="D12">
        <f>SUBTOTAL(101,_grav_1_19[work_time_avg])</f>
        <v>17.899999999999999</v>
      </c>
      <c r="E12">
        <f>SUBTOTAL(101,_grav_1_19[work_time_max])</f>
        <v>17.899999999999999</v>
      </c>
      <c r="F12">
        <f>SUBTOTAL(101,_grav_1_19[prep_time_min])</f>
        <v>2.1971000000000004E-5</v>
      </c>
      <c r="G12">
        <f>SUBTOTAL(101,_grav_1_19[prep_time_avg])</f>
        <v>2.1971000000000004E-5</v>
      </c>
      <c r="H12">
        <f>SUBTOTAL(101,_grav_1_19[prep_time_max])</f>
        <v>2.1971000000000004E-5</v>
      </c>
      <c r="I12">
        <f>SUBTOTAL(101,_grav_1_19[comm_time_min])</f>
        <v>3.0290000000000001E-6</v>
      </c>
      <c r="J12">
        <f>SUBTOTAL(101,_grav_1_19[comm_time_avg])</f>
        <v>3.0290000000000001E-6</v>
      </c>
      <c r="K12">
        <f>SUBTOTAL(101,_grav_1_19[comm_time_max])</f>
        <v>3.0290000000000001E-6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7CBE-E997-4475-8165-68C36BA98A9D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6.39</v>
      </c>
      <c r="C2">
        <v>6.57</v>
      </c>
      <c r="D2">
        <v>6.57</v>
      </c>
      <c r="E2">
        <v>6.57</v>
      </c>
      <c r="F2">
        <v>8.7000000000000001E-5</v>
      </c>
      <c r="G2">
        <v>8.7000000000000001E-5</v>
      </c>
      <c r="H2">
        <v>8.7000000000000001E-5</v>
      </c>
      <c r="I2">
        <v>6.9099999999999999E-6</v>
      </c>
      <c r="J2">
        <v>6.9099999999999999E-6</v>
      </c>
      <c r="K2">
        <v>6.9099999999999999E-6</v>
      </c>
    </row>
    <row r="3" spans="1:11" x14ac:dyDescent="0.25">
      <c r="A3">
        <v>2</v>
      </c>
      <c r="B3">
        <v>6.39</v>
      </c>
      <c r="C3">
        <v>6.57</v>
      </c>
      <c r="D3">
        <v>6.57</v>
      </c>
      <c r="E3">
        <v>6.57</v>
      </c>
      <c r="F3">
        <v>1.5299999999999999E-5</v>
      </c>
      <c r="G3">
        <v>1.5299999999999999E-5</v>
      </c>
      <c r="H3">
        <v>1.5299999999999999E-5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6.38</v>
      </c>
      <c r="C4">
        <v>6.56</v>
      </c>
      <c r="D4">
        <v>6.56</v>
      </c>
      <c r="E4">
        <v>6.56</v>
      </c>
      <c r="F4">
        <v>1.6200000000000001E-5</v>
      </c>
      <c r="G4">
        <v>1.6200000000000001E-5</v>
      </c>
      <c r="H4">
        <v>1.6200000000000001E-5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6.38</v>
      </c>
      <c r="C5">
        <v>6.55</v>
      </c>
      <c r="D5">
        <v>6.55</v>
      </c>
      <c r="E5">
        <v>6.55</v>
      </c>
      <c r="F5">
        <v>1.0000000000000001E-5</v>
      </c>
      <c r="G5">
        <v>1.0000000000000001E-5</v>
      </c>
      <c r="H5">
        <v>1.0000000000000001E-5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6.59</v>
      </c>
      <c r="C6">
        <v>6.76</v>
      </c>
      <c r="D6">
        <v>6.76</v>
      </c>
      <c r="E6">
        <v>6.76</v>
      </c>
      <c r="F6">
        <v>1.5999999999999999E-5</v>
      </c>
      <c r="G6">
        <v>1.5999999999999999E-5</v>
      </c>
      <c r="H6">
        <v>1.5999999999999999E-5</v>
      </c>
      <c r="I6">
        <v>1.9099999999999999E-6</v>
      </c>
      <c r="J6">
        <v>1.9099999999999999E-6</v>
      </c>
      <c r="K6">
        <v>1.9099999999999999E-6</v>
      </c>
    </row>
    <row r="7" spans="1:11" x14ac:dyDescent="0.25">
      <c r="A7">
        <v>6</v>
      </c>
      <c r="B7">
        <v>6.47</v>
      </c>
      <c r="C7">
        <v>6.66</v>
      </c>
      <c r="D7">
        <v>6.66</v>
      </c>
      <c r="E7">
        <v>6.66</v>
      </c>
      <c r="F7">
        <v>1.19E-5</v>
      </c>
      <c r="G7">
        <v>1.19E-5</v>
      </c>
      <c r="H7">
        <v>1.19E-5</v>
      </c>
      <c r="I7">
        <v>1.9099999999999999E-6</v>
      </c>
      <c r="J7">
        <v>1.9099999999999999E-6</v>
      </c>
      <c r="K7">
        <v>1.9099999999999999E-6</v>
      </c>
    </row>
    <row r="8" spans="1:11" x14ac:dyDescent="0.25">
      <c r="A8">
        <v>7</v>
      </c>
      <c r="B8">
        <v>6.46</v>
      </c>
      <c r="C8">
        <v>6.63</v>
      </c>
      <c r="D8">
        <v>6.63</v>
      </c>
      <c r="E8">
        <v>6.63</v>
      </c>
      <c r="F8">
        <v>1.31E-5</v>
      </c>
      <c r="G8">
        <v>1.31E-5</v>
      </c>
      <c r="H8">
        <v>1.31E-5</v>
      </c>
      <c r="I8">
        <v>1.9099999999999999E-6</v>
      </c>
      <c r="J8">
        <v>1.9099999999999999E-6</v>
      </c>
      <c r="K8">
        <v>1.9099999999999999E-6</v>
      </c>
    </row>
    <row r="9" spans="1:11" x14ac:dyDescent="0.25">
      <c r="A9">
        <v>8</v>
      </c>
      <c r="B9">
        <v>6.52</v>
      </c>
      <c r="C9">
        <v>6.7</v>
      </c>
      <c r="D9">
        <v>6.7</v>
      </c>
      <c r="E9">
        <v>6.7</v>
      </c>
      <c r="F9">
        <v>8.8200000000000003E-6</v>
      </c>
      <c r="G9">
        <v>8.8200000000000003E-6</v>
      </c>
      <c r="H9">
        <v>8.8200000000000003E-6</v>
      </c>
      <c r="I9">
        <v>2.1500000000000002E-6</v>
      </c>
      <c r="J9">
        <v>2.1500000000000002E-6</v>
      </c>
      <c r="K9">
        <v>2.1500000000000002E-6</v>
      </c>
    </row>
    <row r="10" spans="1:11" x14ac:dyDescent="0.25">
      <c r="A10">
        <v>9</v>
      </c>
      <c r="B10">
        <v>6.52</v>
      </c>
      <c r="C10">
        <v>6.7</v>
      </c>
      <c r="D10">
        <v>6.7</v>
      </c>
      <c r="E10">
        <v>6.7</v>
      </c>
      <c r="F10">
        <v>1.6900000000000001E-5</v>
      </c>
      <c r="G10">
        <v>1.6900000000000001E-5</v>
      </c>
      <c r="H10">
        <v>1.6900000000000001E-5</v>
      </c>
      <c r="I10">
        <v>2.8600000000000001E-6</v>
      </c>
      <c r="J10">
        <v>2.8600000000000001E-6</v>
      </c>
      <c r="K10">
        <v>2.8600000000000001E-6</v>
      </c>
    </row>
    <row r="11" spans="1:11" x14ac:dyDescent="0.25">
      <c r="A11">
        <v>10</v>
      </c>
      <c r="B11">
        <v>6.44</v>
      </c>
      <c r="C11">
        <v>6.62</v>
      </c>
      <c r="D11">
        <v>6.62</v>
      </c>
      <c r="E11">
        <v>6.62</v>
      </c>
      <c r="F11">
        <v>2.0299999999999999E-5</v>
      </c>
      <c r="G11">
        <v>2.0299999999999999E-5</v>
      </c>
      <c r="H11">
        <v>2.0299999999999999E-5</v>
      </c>
      <c r="I11">
        <v>2.8600000000000001E-6</v>
      </c>
      <c r="J11">
        <v>2.8600000000000001E-6</v>
      </c>
      <c r="K11">
        <v>2.8600000000000001E-6</v>
      </c>
    </row>
    <row r="12" spans="1:11" x14ac:dyDescent="0.25">
      <c r="A12" t="s">
        <v>11</v>
      </c>
      <c r="B12">
        <f>SUBTOTAL(101,_grav_1_18[total_time])</f>
        <v>6.4539999999999988</v>
      </c>
      <c r="C12">
        <f>SUBTOTAL(101,_grav_1_18[work_time_min])</f>
        <v>6.6320000000000006</v>
      </c>
      <c r="D12">
        <f>SUBTOTAL(101,_grav_1_18[work_time_avg])</f>
        <v>6.6320000000000006</v>
      </c>
      <c r="E12">
        <f>SUBTOTAL(101,_grav_1_18[work_time_max])</f>
        <v>6.6320000000000006</v>
      </c>
      <c r="F12">
        <f>SUBTOTAL(101,_grav_1_18[prep_time_min])</f>
        <v>2.1552E-5</v>
      </c>
      <c r="G12">
        <f>SUBTOTAL(101,_grav_1_18[prep_time_avg])</f>
        <v>2.1552E-5</v>
      </c>
      <c r="H12">
        <f>SUBTOTAL(101,_grav_1_18[prep_time_max])</f>
        <v>2.1552E-5</v>
      </c>
      <c r="I12">
        <f>SUBTOTAL(101,_grav_1_18[comm_time_min])</f>
        <v>2.6240000000000002E-6</v>
      </c>
      <c r="J12">
        <f>SUBTOTAL(101,_grav_1_18[comm_time_avg])</f>
        <v>2.6240000000000002E-6</v>
      </c>
      <c r="K12">
        <f>SUBTOTAL(101,_grav_1_18[comm_time_max])</f>
        <v>2.6240000000000002E-6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A593-7286-4B38-8E53-D93C2DB4023B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5.27</v>
      </c>
      <c r="C2">
        <v>5.36</v>
      </c>
      <c r="D2">
        <v>5.36</v>
      </c>
      <c r="E2">
        <v>5.36</v>
      </c>
      <c r="F2">
        <v>7.3899999999999994E-5</v>
      </c>
      <c r="G2">
        <v>7.3899999999999994E-5</v>
      </c>
      <c r="H2">
        <v>7.3899999999999994E-5</v>
      </c>
      <c r="I2">
        <v>5.9599999999999997E-6</v>
      </c>
      <c r="J2">
        <v>5.9599999999999997E-6</v>
      </c>
      <c r="K2">
        <v>5.9599999999999997E-6</v>
      </c>
    </row>
    <row r="3" spans="1:11" x14ac:dyDescent="0.25">
      <c r="A3">
        <v>2</v>
      </c>
      <c r="B3">
        <v>5.27</v>
      </c>
      <c r="C3">
        <v>5.36</v>
      </c>
      <c r="D3">
        <v>5.36</v>
      </c>
      <c r="E3">
        <v>5.36</v>
      </c>
      <c r="F3">
        <v>1.4100000000000001E-5</v>
      </c>
      <c r="G3">
        <v>1.4100000000000001E-5</v>
      </c>
      <c r="H3">
        <v>1.4100000000000001E-5</v>
      </c>
      <c r="I3">
        <v>1.9099999999999999E-6</v>
      </c>
      <c r="J3">
        <v>1.9099999999999999E-6</v>
      </c>
      <c r="K3">
        <v>1.9099999999999999E-6</v>
      </c>
    </row>
    <row r="4" spans="1:11" x14ac:dyDescent="0.25">
      <c r="A4">
        <v>3</v>
      </c>
      <c r="B4">
        <v>5.27</v>
      </c>
      <c r="C4">
        <v>5.36</v>
      </c>
      <c r="D4">
        <v>5.36</v>
      </c>
      <c r="E4">
        <v>5.36</v>
      </c>
      <c r="F4">
        <v>1.19E-5</v>
      </c>
      <c r="G4">
        <v>1.19E-5</v>
      </c>
      <c r="H4">
        <v>1.19E-5</v>
      </c>
      <c r="I4">
        <v>1.9099999999999999E-6</v>
      </c>
      <c r="J4">
        <v>1.9099999999999999E-6</v>
      </c>
      <c r="K4">
        <v>1.9099999999999999E-6</v>
      </c>
    </row>
    <row r="5" spans="1:11" x14ac:dyDescent="0.25">
      <c r="A5">
        <v>4</v>
      </c>
      <c r="B5">
        <v>5.33</v>
      </c>
      <c r="C5">
        <v>5.42</v>
      </c>
      <c r="D5">
        <v>5.42</v>
      </c>
      <c r="E5">
        <v>5.42</v>
      </c>
      <c r="F5">
        <v>1.29E-5</v>
      </c>
      <c r="G5">
        <v>1.29E-5</v>
      </c>
      <c r="H5">
        <v>1.29E-5</v>
      </c>
      <c r="I5">
        <v>1.9099999999999999E-6</v>
      </c>
      <c r="J5">
        <v>1.9099999999999999E-6</v>
      </c>
      <c r="K5">
        <v>1.9099999999999999E-6</v>
      </c>
    </row>
    <row r="6" spans="1:11" x14ac:dyDescent="0.25">
      <c r="A6">
        <v>5</v>
      </c>
      <c r="B6">
        <v>5.25</v>
      </c>
      <c r="C6">
        <v>5.34</v>
      </c>
      <c r="D6">
        <v>5.34</v>
      </c>
      <c r="E6">
        <v>5.34</v>
      </c>
      <c r="F6">
        <v>1.5999999999999999E-5</v>
      </c>
      <c r="G6">
        <v>1.5999999999999999E-5</v>
      </c>
      <c r="H6">
        <v>1.5999999999999999E-5</v>
      </c>
      <c r="I6">
        <v>9.540000000000001E-7</v>
      </c>
      <c r="J6">
        <v>9.540000000000001E-7</v>
      </c>
      <c r="K6">
        <v>9.540000000000001E-7</v>
      </c>
    </row>
    <row r="7" spans="1:11" x14ac:dyDescent="0.25">
      <c r="A7">
        <v>6</v>
      </c>
      <c r="B7">
        <v>5.27</v>
      </c>
      <c r="C7">
        <v>5.36</v>
      </c>
      <c r="D7">
        <v>5.36</v>
      </c>
      <c r="E7">
        <v>5.36</v>
      </c>
      <c r="F7">
        <v>1.19E-5</v>
      </c>
      <c r="G7">
        <v>1.19E-5</v>
      </c>
      <c r="H7">
        <v>1.19E-5</v>
      </c>
      <c r="I7">
        <v>1.19E-6</v>
      </c>
      <c r="J7">
        <v>1.19E-6</v>
      </c>
      <c r="K7">
        <v>1.19E-6</v>
      </c>
    </row>
    <row r="8" spans="1:11" x14ac:dyDescent="0.25">
      <c r="A8">
        <v>7</v>
      </c>
      <c r="B8">
        <v>5.26</v>
      </c>
      <c r="C8">
        <v>5.34</v>
      </c>
      <c r="D8">
        <v>5.34</v>
      </c>
      <c r="E8">
        <v>5.34</v>
      </c>
      <c r="F8">
        <v>1.29E-5</v>
      </c>
      <c r="G8">
        <v>1.29E-5</v>
      </c>
      <c r="H8">
        <v>1.29E-5</v>
      </c>
      <c r="I8">
        <v>2.1500000000000002E-6</v>
      </c>
      <c r="J8">
        <v>2.1500000000000002E-6</v>
      </c>
      <c r="K8">
        <v>2.1500000000000002E-6</v>
      </c>
    </row>
    <row r="9" spans="1:11" x14ac:dyDescent="0.25">
      <c r="A9">
        <v>8</v>
      </c>
      <c r="B9">
        <v>5.26</v>
      </c>
      <c r="C9">
        <v>5.35</v>
      </c>
      <c r="D9">
        <v>5.35</v>
      </c>
      <c r="E9">
        <v>5.35</v>
      </c>
      <c r="F9">
        <v>9.0599999999999997E-6</v>
      </c>
      <c r="G9">
        <v>9.0599999999999997E-6</v>
      </c>
      <c r="H9">
        <v>9.0599999999999997E-6</v>
      </c>
      <c r="I9">
        <v>1.9099999999999999E-6</v>
      </c>
      <c r="J9">
        <v>1.9099999999999999E-6</v>
      </c>
      <c r="K9">
        <v>1.9099999999999999E-6</v>
      </c>
    </row>
    <row r="10" spans="1:11" x14ac:dyDescent="0.25">
      <c r="A10">
        <v>9</v>
      </c>
      <c r="B10">
        <v>5.26</v>
      </c>
      <c r="C10">
        <v>5.34</v>
      </c>
      <c r="D10">
        <v>5.34</v>
      </c>
      <c r="E10">
        <v>5.34</v>
      </c>
      <c r="F10">
        <v>1.1E-5</v>
      </c>
      <c r="G10">
        <v>1.1E-5</v>
      </c>
      <c r="H10">
        <v>1.1E-5</v>
      </c>
      <c r="I10">
        <v>2.1500000000000002E-6</v>
      </c>
      <c r="J10">
        <v>2.1500000000000002E-6</v>
      </c>
      <c r="K10">
        <v>2.1500000000000002E-6</v>
      </c>
    </row>
    <row r="11" spans="1:11" x14ac:dyDescent="0.25">
      <c r="A11">
        <v>10</v>
      </c>
      <c r="B11">
        <v>5.27</v>
      </c>
      <c r="C11">
        <v>5.36</v>
      </c>
      <c r="D11">
        <v>5.36</v>
      </c>
      <c r="E11">
        <v>5.36</v>
      </c>
      <c r="F11">
        <v>3.8099999999999999E-6</v>
      </c>
      <c r="G11">
        <v>3.8099999999999999E-6</v>
      </c>
      <c r="H11">
        <v>3.8099999999999999E-6</v>
      </c>
      <c r="I11">
        <v>2.1500000000000002E-6</v>
      </c>
      <c r="J11">
        <v>2.1500000000000002E-6</v>
      </c>
      <c r="K11">
        <v>2.1500000000000002E-6</v>
      </c>
    </row>
    <row r="12" spans="1:11" x14ac:dyDescent="0.25">
      <c r="A12" t="s">
        <v>11</v>
      </c>
      <c r="B12">
        <f>SUBTOTAL(101,_grav_1_17[total_time])</f>
        <v>5.270999999999999</v>
      </c>
      <c r="C12">
        <f>SUBTOTAL(101,_grav_1_17[work_time_min])</f>
        <v>5.359</v>
      </c>
      <c r="D12">
        <f>SUBTOTAL(101,_grav_1_17[work_time_avg])</f>
        <v>5.359</v>
      </c>
      <c r="E12">
        <f>SUBTOTAL(101,_grav_1_17[work_time_max])</f>
        <v>5.359</v>
      </c>
      <c r="F12">
        <f>SUBTOTAL(101,_grav_1_17[prep_time_min])</f>
        <v>1.7746999999999998E-5</v>
      </c>
      <c r="G12">
        <f>SUBTOTAL(101,_grav_1_17[prep_time_avg])</f>
        <v>1.7746999999999998E-5</v>
      </c>
      <c r="H12">
        <f>SUBTOTAL(101,_grav_1_17[prep_time_max])</f>
        <v>1.7746999999999998E-5</v>
      </c>
      <c r="I12">
        <f>SUBTOTAL(101,_grav_1_17[comm_time_min])</f>
        <v>2.2194000000000003E-6</v>
      </c>
      <c r="J12">
        <f>SUBTOTAL(101,_grav_1_17[comm_time_avg])</f>
        <v>2.2194000000000003E-6</v>
      </c>
      <c r="K12">
        <f>SUBTOTAL(101,_grav_1_17[comm_time_max])</f>
        <v>2.2194000000000003E-6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O U P I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D l D y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Q 8 h M k X g 9 C j I C A A A F M A A A E w A c A E Z v c m 1 1 b G F z L 1 N l Y 3 R p b 2 4 x L m 0 g o h g A K K A U A A A A A A A A A A A A A A A A A A A A A A A A A A A A 7 d n B b h o x E A b g O x L v Y G 0 v I G 1 R 1 g G S N N p D B W n T Q 6 t G 0 F O 2 W p l l Q q x 4 b W R 7 a S O U t + k z 9 A X y Y n H Y S o s o c O w c O l x Y P J 6 R D d 8 B 6 X d Q e G k 0 m 9 T v y W W 7 1 W 6 5 e 2 F h z v K F F a s 8 y Z M T l j I F v t 1 i 4 X V T g V I Q V k Z u 1 R u b o i p B + 8 4 H q a A 3 M t q H D 6 4 T j d 9 l Y x G e s 7 F 5 2 G y A L L + S C 9 D A X t d l q H z T M v s s n A c r 7 A y k z y y 4 S n m X J V + t K Z K T t 3 y Q N S f o F W 4 V d e P b M S h Z y t C U R p d R z E Z G V a V 2 a Z L E 7 E o X Z i 7 1 I k 3 4 g M f h n M b D x D 8 q S J v H 3 h e j 4 X s 3 r q / y J r p + / n 0 P l i 3 A + e r O A 7 s G M Q c b h d t N x S x s D 0 c p Q 2 + 9 7 D r 1 3 W N 2 + 2 f 9 v V K T Q i h h X e p t t T 3 4 I z z / 0 q E n n J R N H 5 f N x K k V 2 t 0 Z W 9 Z H D z V w n Y M H i d f r K H x F y 3 D V T 9 o P + 7 3 X / U 8 x W 0 f e e K F y L 0 s I N R 9 W m a 7 K G d h N 8 Y e x D 5 t a X k p 9 t C 5 W i + P 9 4 u e e + t L C 8 t j 8 p r 5 / / l b / 3 v m F K c t j 8 5 v 6 / v l b / X / N f + q 2 W 1 I f + p 3 2 + k / Q / S f k n / y j + e f o / j n 5 J / 9 o / k / R / Z + S f / K P 5 r + P 7 r 9 P / s k / m v 8 B u v 8 B + S f / a P 6 H 6 P 6 H 5 J / 8 o / k / Q / d / R v 7 J P 5 r / c 3 T / 5 + S f / K P 5 v 0 D 3 f 0 H + y T + W f 4 6 e / 3 L K f 8 k / n n / 0 / J d T / k v + 8 f y j 5 7 + c 8 t + j / n d q u / w P l m s 9 h 7 s 3 e H b K / 5 l 9 9 O y X U / Z L 9 n H s o + e + n H J f s o 9 j H z 3 z 5 Z T 5 0 n / + f + P / B V B L A Q I t A B Q A A g A I A D l D y E w P H i x Q q A A A A P g A A A A S A A A A A A A A A A A A A A A A A A A A A A B D b 2 5 m a W c v U G F j a 2 F n Z S 5 4 b W x Q S w E C L Q A U A A I A C A A 5 Q 8 h M D 8 r p q 6 Q A A A D p A A A A E w A A A A A A A A A A A A A A A A D 0 A A A A W 0 N v b n R l b n R f V H l w Z X N d L n h t b F B L A Q I t A B Q A A g A I A D l D y E y R e D 0 K M g I A A A U w A A A T A A A A A A A A A A A A A A A A A O U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j U A A A A A A A A h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M z o z N C 4 z O T Q 1 N j M x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A v R 2 X D p G 5 k Z X J 0 Z X I g V H l w L n t z d G V w L D B 9 J n F 1 b 3 Q 7 L C Z x d W 9 0 O 1 N l Y 3 R p b 2 4 x L 1 9 n c m F 2 X z F f M T A v R 2 X D p G 5 k Z X J 0 Z X I g V H l w L n t 0 b 3 R h b F 9 0 a W 1 l L D F 9 J n F 1 b 3 Q 7 L C Z x d W 9 0 O 1 N l Y 3 R p b 2 4 x L 1 9 n c m F 2 X z F f M T A v R 2 X D p G 5 k Z X J 0 Z X I g V H l w L n t 3 b 3 J r X 3 R p b W V f b W l u L D J 9 J n F 1 b 3 Q 7 L C Z x d W 9 0 O 1 N l Y 3 R p b 2 4 x L 1 9 n c m F 2 X z F f M T A v R 2 X D p G 5 k Z X J 0 Z X I g V H l w L n t 3 b 3 J r X 3 R p b W V f Y X Z n L D N 9 J n F 1 b 3 Q 7 L C Z x d W 9 0 O 1 N l Y 3 R p b 2 4 x L 1 9 n c m F 2 X z F f M T A v R 2 X D p G 5 k Z X J 0 Z X I g V H l w L n t 3 b 3 J r X 3 R p b W V f b W F 4 L D R 9 J n F 1 b 3 Q 7 L C Z x d W 9 0 O 1 N l Y 3 R p b 2 4 x L 1 9 n c m F 2 X z F f M T A v R 2 X D p G 5 k Z X J 0 Z X I g V H l w L n t w c m V w X 3 R p b W V f b W l u L D V 9 J n F 1 b 3 Q 7 L C Z x d W 9 0 O 1 N l Y 3 R p b 2 4 x L 1 9 n c m F 2 X z F f M T A v R 2 X D p G 5 k Z X J 0 Z X I g V H l w L n t w c m V w X 3 R p b W V f Y X Z n L D Z 9 J n F 1 b 3 Q 7 L C Z x d W 9 0 O 1 N l Y 3 R p b 2 4 x L 1 9 n c m F 2 X z F f M T A v R 2 X D p G 5 k Z X J 0 Z X I g V H l w L n t w c m V w X 3 R p b W V f b W F 4 L D d 9 J n F 1 b 3 Q 7 L C Z x d W 9 0 O 1 N l Y 3 R p b 2 4 x L 1 9 n c m F 2 X z F f M T A v R 2 X D p G 5 k Z X J 0 Z X I g V H l w L n t j b 2 1 t X 3 R p b W V f b W l u L D h 9 J n F 1 b 3 Q 7 L C Z x d W 9 0 O 1 N l Y 3 R p b 2 4 x L 1 9 n c m F 2 X z F f M T A v R 2 X D p G 5 k Z X J 0 Z X I g V H l w L n t j b 2 1 t X 3 R p b W V f Y X Z n L D l 9 J n F 1 b 3 Q 7 L C Z x d W 9 0 O 1 N l Y 3 R p b 2 4 x L 1 9 n c m F 2 X z F f M T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M C 9 H Z c O k b m R l c n R l c i B U e X A u e 3 N 0 Z X A s M H 0 m c X V v d D s s J n F 1 b 3 Q 7 U 2 V j d G l v b j E v X 2 d y Y X Z f M V 8 x M C 9 H Z c O k b m R l c n R l c i B U e X A u e 3 R v d G F s X 3 R p b W U s M X 0 m c X V v d D s s J n F 1 b 3 Q 7 U 2 V j d G l v b j E v X 2 d y Y X Z f M V 8 x M C 9 H Z c O k b m R l c n R l c i B U e X A u e 3 d v c m t f d G l t Z V 9 t a W 4 s M n 0 m c X V v d D s s J n F 1 b 3 Q 7 U 2 V j d G l v b j E v X 2 d y Y X Z f M V 8 x M C 9 H Z c O k b m R l c n R l c i B U e X A u e 3 d v c m t f d G l t Z V 9 h d m c s M 3 0 m c X V v d D s s J n F 1 b 3 Q 7 U 2 V j d G l v b j E v X 2 d y Y X Z f M V 8 x M C 9 H Z c O k b m R l c n R l c i B U e X A u e 3 d v c m t f d G l t Z V 9 t Y X g s N H 0 m c X V v d D s s J n F 1 b 3 Q 7 U 2 V j d G l v b j E v X 2 d y Y X Z f M V 8 x M C 9 H Z c O k b m R l c n R l c i B U e X A u e 3 B y Z X B f d G l t Z V 9 t a W 4 s N X 0 m c X V v d D s s J n F 1 b 3 Q 7 U 2 V j d G l v b j E v X 2 d y Y X Z f M V 8 x M C 9 H Z c O k b m R l c n R l c i B U e X A u e 3 B y Z X B f d G l t Z V 9 h d m c s N n 0 m c X V v d D s s J n F 1 b 3 Q 7 U 2 V j d G l v b j E v X 2 d y Y X Z f M V 8 x M C 9 H Z c O k b m R l c n R l c i B U e X A u e 3 B y Z X B f d G l t Z V 9 t Y X g s N 3 0 m c X V v d D s s J n F 1 b 3 Q 7 U 2 V j d G l v b j E v X 2 d y Y X Z f M V 8 x M C 9 H Z c O k b m R l c n R l c i B U e X A u e 2 N v b W 1 f d G l t Z V 9 t a W 4 s O H 0 m c X V v d D s s J n F 1 b 3 Q 7 U 2 V j d G l v b j E v X 2 d y Y X Z f M V 8 x M C 9 H Z c O k b m R l c n R l c i B U e X A u e 2 N v b W 1 f d G l t Z V 9 h d m c s O X 0 m c X V v d D s s J n F 1 b 3 Q 7 U 2 V j d G l v b j E v X 2 d y Y X Z f M V 8 x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M z o 0 M y 4 w M z I y O D k z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E v R 2 X D p G 5 k Z X J 0 Z X I g V H l w L n t z d G V w L D B 9 J n F 1 b 3 Q 7 L C Z x d W 9 0 O 1 N l Y 3 R p b 2 4 x L 1 9 n c m F 2 X z F f M T E v R 2 X D p G 5 k Z X J 0 Z X I g V H l w L n t 0 b 3 R h b F 9 0 a W 1 l L D F 9 J n F 1 b 3 Q 7 L C Z x d W 9 0 O 1 N l Y 3 R p b 2 4 x L 1 9 n c m F 2 X z F f M T E v R 2 X D p G 5 k Z X J 0 Z X I g V H l w L n t 3 b 3 J r X 3 R p b W V f b W l u L D J 9 J n F 1 b 3 Q 7 L C Z x d W 9 0 O 1 N l Y 3 R p b 2 4 x L 1 9 n c m F 2 X z F f M T E v R 2 X D p G 5 k Z X J 0 Z X I g V H l w L n t 3 b 3 J r X 3 R p b W V f Y X Z n L D N 9 J n F 1 b 3 Q 7 L C Z x d W 9 0 O 1 N l Y 3 R p b 2 4 x L 1 9 n c m F 2 X z F f M T E v R 2 X D p G 5 k Z X J 0 Z X I g V H l w L n t 3 b 3 J r X 3 R p b W V f b W F 4 L D R 9 J n F 1 b 3 Q 7 L C Z x d W 9 0 O 1 N l Y 3 R p b 2 4 x L 1 9 n c m F 2 X z F f M T E v R 2 X D p G 5 k Z X J 0 Z X I g V H l w L n t w c m V w X 3 R p b W V f b W l u L D V 9 J n F 1 b 3 Q 7 L C Z x d W 9 0 O 1 N l Y 3 R p b 2 4 x L 1 9 n c m F 2 X z F f M T E v R 2 X D p G 5 k Z X J 0 Z X I g V H l w L n t w c m V w X 3 R p b W V f Y X Z n L D Z 9 J n F 1 b 3 Q 7 L C Z x d W 9 0 O 1 N l Y 3 R p b 2 4 x L 1 9 n c m F 2 X z F f M T E v R 2 X D p G 5 k Z X J 0 Z X I g V H l w L n t w c m V w X 3 R p b W V f b W F 4 L D d 9 J n F 1 b 3 Q 7 L C Z x d W 9 0 O 1 N l Y 3 R p b 2 4 x L 1 9 n c m F 2 X z F f M T E v R 2 X D p G 5 k Z X J 0 Z X I g V H l w L n t j b 2 1 t X 3 R p b W V f b W l u L D h 9 J n F 1 b 3 Q 7 L C Z x d W 9 0 O 1 N l Y 3 R p b 2 4 x L 1 9 n c m F 2 X z F f M T E v R 2 X D p G 5 k Z X J 0 Z X I g V H l w L n t j b 2 1 t X 3 R p b W V f Y X Z n L D l 9 J n F 1 b 3 Q 7 L C Z x d W 9 0 O 1 N l Y 3 R p b 2 4 x L 1 9 n c m F 2 X z F f M T E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M S 9 H Z c O k b m R l c n R l c i B U e X A u e 3 N 0 Z X A s M H 0 m c X V v d D s s J n F 1 b 3 Q 7 U 2 V j d G l v b j E v X 2 d y Y X Z f M V 8 x M S 9 H Z c O k b m R l c n R l c i B U e X A u e 3 R v d G F s X 3 R p b W U s M X 0 m c X V v d D s s J n F 1 b 3 Q 7 U 2 V j d G l v b j E v X 2 d y Y X Z f M V 8 x M S 9 H Z c O k b m R l c n R l c i B U e X A u e 3 d v c m t f d G l t Z V 9 t a W 4 s M n 0 m c X V v d D s s J n F 1 b 3 Q 7 U 2 V j d G l v b j E v X 2 d y Y X Z f M V 8 x M S 9 H Z c O k b m R l c n R l c i B U e X A u e 3 d v c m t f d G l t Z V 9 h d m c s M 3 0 m c X V v d D s s J n F 1 b 3 Q 7 U 2 V j d G l v b j E v X 2 d y Y X Z f M V 8 x M S 9 H Z c O k b m R l c n R l c i B U e X A u e 3 d v c m t f d G l t Z V 9 t Y X g s N H 0 m c X V v d D s s J n F 1 b 3 Q 7 U 2 V j d G l v b j E v X 2 d y Y X Z f M V 8 x M S 9 H Z c O k b m R l c n R l c i B U e X A u e 3 B y Z X B f d G l t Z V 9 t a W 4 s N X 0 m c X V v d D s s J n F 1 b 3 Q 7 U 2 V j d G l v b j E v X 2 d y Y X Z f M V 8 x M S 9 H Z c O k b m R l c n R l c i B U e X A u e 3 B y Z X B f d G l t Z V 9 h d m c s N n 0 m c X V v d D s s J n F 1 b 3 Q 7 U 2 V j d G l v b j E v X 2 d y Y X Z f M V 8 x M S 9 H Z c O k b m R l c n R l c i B U e X A u e 3 B y Z X B f d G l t Z V 9 t Y X g s N 3 0 m c X V v d D s s J n F 1 b 3 Q 7 U 2 V j d G l v b j E v X 2 d y Y X Z f M V 8 x M S 9 H Z c O k b m R l c n R l c i B U e X A u e 2 N v b W 1 f d G l t Z V 9 t a W 4 s O H 0 m c X V v d D s s J n F 1 b 3 Q 7 U 2 V j d G l v b j E v X 2 d y Y X Z f M V 8 x M S 9 H Z c O k b m R l c n R l c i B U e X A u e 2 N v b W 1 f d G l t Z V 9 h d m c s O X 0 m c X V v d D s s J n F 1 b 3 Q 7 U 2 V j d G l v b j E v X 2 d y Y X Z f M V 8 x M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x M C 4 z M j k 0 M j Y 3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I v R 2 X D p G 5 k Z X J 0 Z X I g V H l w L n t z d G V w L D B 9 J n F 1 b 3 Q 7 L C Z x d W 9 0 O 1 N l Y 3 R p b 2 4 x L 1 9 n c m F 2 X z F f M T I v R 2 X D p G 5 k Z X J 0 Z X I g V H l w L n t 0 b 3 R h b F 9 0 a W 1 l L D F 9 J n F 1 b 3 Q 7 L C Z x d W 9 0 O 1 N l Y 3 R p b 2 4 x L 1 9 n c m F 2 X z F f M T I v R 2 X D p G 5 k Z X J 0 Z X I g V H l w L n t 3 b 3 J r X 3 R p b W V f b W l u L D J 9 J n F 1 b 3 Q 7 L C Z x d W 9 0 O 1 N l Y 3 R p b 2 4 x L 1 9 n c m F 2 X z F f M T I v R 2 X D p G 5 k Z X J 0 Z X I g V H l w L n t 3 b 3 J r X 3 R p b W V f Y X Z n L D N 9 J n F 1 b 3 Q 7 L C Z x d W 9 0 O 1 N l Y 3 R p b 2 4 x L 1 9 n c m F 2 X z F f M T I v R 2 X D p G 5 k Z X J 0 Z X I g V H l w L n t 3 b 3 J r X 3 R p b W V f b W F 4 L D R 9 J n F 1 b 3 Q 7 L C Z x d W 9 0 O 1 N l Y 3 R p b 2 4 x L 1 9 n c m F 2 X z F f M T I v R 2 X D p G 5 k Z X J 0 Z X I g V H l w L n t w c m V w X 3 R p b W V f b W l u L D V 9 J n F 1 b 3 Q 7 L C Z x d W 9 0 O 1 N l Y 3 R p b 2 4 x L 1 9 n c m F 2 X z F f M T I v R 2 X D p G 5 k Z X J 0 Z X I g V H l w L n t w c m V w X 3 R p b W V f Y X Z n L D Z 9 J n F 1 b 3 Q 7 L C Z x d W 9 0 O 1 N l Y 3 R p b 2 4 x L 1 9 n c m F 2 X z F f M T I v R 2 X D p G 5 k Z X J 0 Z X I g V H l w L n t w c m V w X 3 R p b W V f b W F 4 L D d 9 J n F 1 b 3 Q 7 L C Z x d W 9 0 O 1 N l Y 3 R p b 2 4 x L 1 9 n c m F 2 X z F f M T I v R 2 X D p G 5 k Z X J 0 Z X I g V H l w L n t j b 2 1 t X 3 R p b W V f b W l u L D h 9 J n F 1 b 3 Q 7 L C Z x d W 9 0 O 1 N l Y 3 R p b 2 4 x L 1 9 n c m F 2 X z F f M T I v R 2 X D p G 5 k Z X J 0 Z X I g V H l w L n t j b 2 1 t X 3 R p b W V f Y X Z n L D l 9 J n F 1 b 3 Q 7 L C Z x d W 9 0 O 1 N l Y 3 R p b 2 4 x L 1 9 n c m F 2 X z F f M T I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M i 9 H Z c O k b m R l c n R l c i B U e X A u e 3 N 0 Z X A s M H 0 m c X V v d D s s J n F 1 b 3 Q 7 U 2 V j d G l v b j E v X 2 d y Y X Z f M V 8 x M i 9 H Z c O k b m R l c n R l c i B U e X A u e 3 R v d G F s X 3 R p b W U s M X 0 m c X V v d D s s J n F 1 b 3 Q 7 U 2 V j d G l v b j E v X 2 d y Y X Z f M V 8 x M i 9 H Z c O k b m R l c n R l c i B U e X A u e 3 d v c m t f d G l t Z V 9 t a W 4 s M n 0 m c X V v d D s s J n F 1 b 3 Q 7 U 2 V j d G l v b j E v X 2 d y Y X Z f M V 8 x M i 9 H Z c O k b m R l c n R l c i B U e X A u e 3 d v c m t f d G l t Z V 9 h d m c s M 3 0 m c X V v d D s s J n F 1 b 3 Q 7 U 2 V j d G l v b j E v X 2 d y Y X Z f M V 8 x M i 9 H Z c O k b m R l c n R l c i B U e X A u e 3 d v c m t f d G l t Z V 9 t Y X g s N H 0 m c X V v d D s s J n F 1 b 3 Q 7 U 2 V j d G l v b j E v X 2 d y Y X Z f M V 8 x M i 9 H Z c O k b m R l c n R l c i B U e X A u e 3 B y Z X B f d G l t Z V 9 t a W 4 s N X 0 m c X V v d D s s J n F 1 b 3 Q 7 U 2 V j d G l v b j E v X 2 d y Y X Z f M V 8 x M i 9 H Z c O k b m R l c n R l c i B U e X A u e 3 B y Z X B f d G l t Z V 9 h d m c s N n 0 m c X V v d D s s J n F 1 b 3 Q 7 U 2 V j d G l v b j E v X 2 d y Y X Z f M V 8 x M i 9 H Z c O k b m R l c n R l c i B U e X A u e 3 B y Z X B f d G l t Z V 9 t Y X g s N 3 0 m c X V v d D s s J n F 1 b 3 Q 7 U 2 V j d G l v b j E v X 2 d y Y X Z f M V 8 x M i 9 H Z c O k b m R l c n R l c i B U e X A u e 2 N v b W 1 f d G l t Z V 9 t a W 4 s O H 0 m c X V v d D s s J n F 1 b 3 Q 7 U 2 V j d G l v b j E v X 2 d y Y X Z f M V 8 x M i 9 H Z c O k b m R l c n R l c i B U e X A u e 2 N v b W 1 f d G l t Z V 9 h d m c s O X 0 m c X V v d D s s J n F 1 b 3 Q 7 U 2 V j d G l v b j E v X 2 d y Y X Z f M V 8 x M i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x N y 4 z O T Q 0 M D U 5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M v R 2 X D p G 5 k Z X J 0 Z X I g V H l w L n t z d G V w L D B 9 J n F 1 b 3 Q 7 L C Z x d W 9 0 O 1 N l Y 3 R p b 2 4 x L 1 9 n c m F 2 X z F f M T M v R 2 X D p G 5 k Z X J 0 Z X I g V H l w L n t 0 b 3 R h b F 9 0 a W 1 l L D F 9 J n F 1 b 3 Q 7 L C Z x d W 9 0 O 1 N l Y 3 R p b 2 4 x L 1 9 n c m F 2 X z F f M T M v R 2 X D p G 5 k Z X J 0 Z X I g V H l w L n t 3 b 3 J r X 3 R p b W V f b W l u L D J 9 J n F 1 b 3 Q 7 L C Z x d W 9 0 O 1 N l Y 3 R p b 2 4 x L 1 9 n c m F 2 X z F f M T M v R 2 X D p G 5 k Z X J 0 Z X I g V H l w L n t 3 b 3 J r X 3 R p b W V f Y X Z n L D N 9 J n F 1 b 3 Q 7 L C Z x d W 9 0 O 1 N l Y 3 R p b 2 4 x L 1 9 n c m F 2 X z F f M T M v R 2 X D p G 5 k Z X J 0 Z X I g V H l w L n t 3 b 3 J r X 3 R p b W V f b W F 4 L D R 9 J n F 1 b 3 Q 7 L C Z x d W 9 0 O 1 N l Y 3 R p b 2 4 x L 1 9 n c m F 2 X z F f M T M v R 2 X D p G 5 k Z X J 0 Z X I g V H l w L n t w c m V w X 3 R p b W V f b W l u L D V 9 J n F 1 b 3 Q 7 L C Z x d W 9 0 O 1 N l Y 3 R p b 2 4 x L 1 9 n c m F 2 X z F f M T M v R 2 X D p G 5 k Z X J 0 Z X I g V H l w L n t w c m V w X 3 R p b W V f Y X Z n L D Z 9 J n F 1 b 3 Q 7 L C Z x d W 9 0 O 1 N l Y 3 R p b 2 4 x L 1 9 n c m F 2 X z F f M T M v R 2 X D p G 5 k Z X J 0 Z X I g V H l w L n t w c m V w X 3 R p b W V f b W F 4 L D d 9 J n F 1 b 3 Q 7 L C Z x d W 9 0 O 1 N l Y 3 R p b 2 4 x L 1 9 n c m F 2 X z F f M T M v R 2 X D p G 5 k Z X J 0 Z X I g V H l w L n t j b 2 1 t X 3 R p b W V f b W l u L D h 9 J n F 1 b 3 Q 7 L C Z x d W 9 0 O 1 N l Y 3 R p b 2 4 x L 1 9 n c m F 2 X z F f M T M v R 2 X D p G 5 k Z X J 0 Z X I g V H l w L n t j b 2 1 t X 3 R p b W V f Y X Z n L D l 9 J n F 1 b 3 Q 7 L C Z x d W 9 0 O 1 N l Y 3 R p b 2 4 x L 1 9 n c m F 2 X z F f M T M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M y 9 H Z c O k b m R l c n R l c i B U e X A u e 3 N 0 Z X A s M H 0 m c X V v d D s s J n F 1 b 3 Q 7 U 2 V j d G l v b j E v X 2 d y Y X Z f M V 8 x M y 9 H Z c O k b m R l c n R l c i B U e X A u e 3 R v d G F s X 3 R p b W U s M X 0 m c X V v d D s s J n F 1 b 3 Q 7 U 2 V j d G l v b j E v X 2 d y Y X Z f M V 8 x M y 9 H Z c O k b m R l c n R l c i B U e X A u e 3 d v c m t f d G l t Z V 9 t a W 4 s M n 0 m c X V v d D s s J n F 1 b 3 Q 7 U 2 V j d G l v b j E v X 2 d y Y X Z f M V 8 x M y 9 H Z c O k b m R l c n R l c i B U e X A u e 3 d v c m t f d G l t Z V 9 h d m c s M 3 0 m c X V v d D s s J n F 1 b 3 Q 7 U 2 V j d G l v b j E v X 2 d y Y X Z f M V 8 x M y 9 H Z c O k b m R l c n R l c i B U e X A u e 3 d v c m t f d G l t Z V 9 t Y X g s N H 0 m c X V v d D s s J n F 1 b 3 Q 7 U 2 V j d G l v b j E v X 2 d y Y X Z f M V 8 x M y 9 H Z c O k b m R l c n R l c i B U e X A u e 3 B y Z X B f d G l t Z V 9 t a W 4 s N X 0 m c X V v d D s s J n F 1 b 3 Q 7 U 2 V j d G l v b j E v X 2 d y Y X Z f M V 8 x M y 9 H Z c O k b m R l c n R l c i B U e X A u e 3 B y Z X B f d G l t Z V 9 h d m c s N n 0 m c X V v d D s s J n F 1 b 3 Q 7 U 2 V j d G l v b j E v X 2 d y Y X Z f M V 8 x M y 9 H Z c O k b m R l c n R l c i B U e X A u e 3 B y Z X B f d G l t Z V 9 t Y X g s N 3 0 m c X V v d D s s J n F 1 b 3 Q 7 U 2 V j d G l v b j E v X 2 d y Y X Z f M V 8 x M y 9 H Z c O k b m R l c n R l c i B U e X A u e 2 N v b W 1 f d G l t Z V 9 t a W 4 s O H 0 m c X V v d D s s J n F 1 b 3 Q 7 U 2 V j d G l v b j E v X 2 d y Y X Z f M V 8 x M y 9 H Z c O k b m R l c n R l c i B U e X A u e 2 N v b W 1 f d G l t Z V 9 h d m c s O X 0 m c X V v d D s s J n F 1 b 3 Q 7 U 2 V j d G l v b j E v X 2 d y Y X Z f M V 8 x M y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y M y 4 4 M T I 5 O D Y x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Q v R 2 X D p G 5 k Z X J 0 Z X I g V H l w L n t z d G V w L D B 9 J n F 1 b 3 Q 7 L C Z x d W 9 0 O 1 N l Y 3 R p b 2 4 x L 1 9 n c m F 2 X z F f M T Q v R 2 X D p G 5 k Z X J 0 Z X I g V H l w L n t 0 b 3 R h b F 9 0 a W 1 l L D F 9 J n F 1 b 3 Q 7 L C Z x d W 9 0 O 1 N l Y 3 R p b 2 4 x L 1 9 n c m F 2 X z F f M T Q v R 2 X D p G 5 k Z X J 0 Z X I g V H l w L n t 3 b 3 J r X 3 R p b W V f b W l u L D J 9 J n F 1 b 3 Q 7 L C Z x d W 9 0 O 1 N l Y 3 R p b 2 4 x L 1 9 n c m F 2 X z F f M T Q v R 2 X D p G 5 k Z X J 0 Z X I g V H l w L n t 3 b 3 J r X 3 R p b W V f Y X Z n L D N 9 J n F 1 b 3 Q 7 L C Z x d W 9 0 O 1 N l Y 3 R p b 2 4 x L 1 9 n c m F 2 X z F f M T Q v R 2 X D p G 5 k Z X J 0 Z X I g V H l w L n t 3 b 3 J r X 3 R p b W V f b W F 4 L D R 9 J n F 1 b 3 Q 7 L C Z x d W 9 0 O 1 N l Y 3 R p b 2 4 x L 1 9 n c m F 2 X z F f M T Q v R 2 X D p G 5 k Z X J 0 Z X I g V H l w L n t w c m V w X 3 R p b W V f b W l u L D V 9 J n F 1 b 3 Q 7 L C Z x d W 9 0 O 1 N l Y 3 R p b 2 4 x L 1 9 n c m F 2 X z F f M T Q v R 2 X D p G 5 k Z X J 0 Z X I g V H l w L n t w c m V w X 3 R p b W V f Y X Z n L D Z 9 J n F 1 b 3 Q 7 L C Z x d W 9 0 O 1 N l Y 3 R p b 2 4 x L 1 9 n c m F 2 X z F f M T Q v R 2 X D p G 5 k Z X J 0 Z X I g V H l w L n t w c m V w X 3 R p b W V f b W F 4 L D d 9 J n F 1 b 3 Q 7 L C Z x d W 9 0 O 1 N l Y 3 R p b 2 4 x L 1 9 n c m F 2 X z F f M T Q v R 2 X D p G 5 k Z X J 0 Z X I g V H l w L n t j b 2 1 t X 3 R p b W V f b W l u L D h 9 J n F 1 b 3 Q 7 L C Z x d W 9 0 O 1 N l Y 3 R p b 2 4 x L 1 9 n c m F 2 X z F f M T Q v R 2 X D p G 5 k Z X J 0 Z X I g V H l w L n t j b 2 1 t X 3 R p b W V f Y X Z n L D l 9 J n F 1 b 3 Q 7 L C Z x d W 9 0 O 1 N l Y 3 R p b 2 4 x L 1 9 n c m F 2 X z F f M T Q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N C 9 H Z c O k b m R l c n R l c i B U e X A u e 3 N 0 Z X A s M H 0 m c X V v d D s s J n F 1 b 3 Q 7 U 2 V j d G l v b j E v X 2 d y Y X Z f M V 8 x N C 9 H Z c O k b m R l c n R l c i B U e X A u e 3 R v d G F s X 3 R p b W U s M X 0 m c X V v d D s s J n F 1 b 3 Q 7 U 2 V j d G l v b j E v X 2 d y Y X Z f M V 8 x N C 9 H Z c O k b m R l c n R l c i B U e X A u e 3 d v c m t f d G l t Z V 9 t a W 4 s M n 0 m c X V v d D s s J n F 1 b 3 Q 7 U 2 V j d G l v b j E v X 2 d y Y X Z f M V 8 x N C 9 H Z c O k b m R l c n R l c i B U e X A u e 3 d v c m t f d G l t Z V 9 h d m c s M 3 0 m c X V v d D s s J n F 1 b 3 Q 7 U 2 V j d G l v b j E v X 2 d y Y X Z f M V 8 x N C 9 H Z c O k b m R l c n R l c i B U e X A u e 3 d v c m t f d G l t Z V 9 t Y X g s N H 0 m c X V v d D s s J n F 1 b 3 Q 7 U 2 V j d G l v b j E v X 2 d y Y X Z f M V 8 x N C 9 H Z c O k b m R l c n R l c i B U e X A u e 3 B y Z X B f d G l t Z V 9 t a W 4 s N X 0 m c X V v d D s s J n F 1 b 3 Q 7 U 2 V j d G l v b j E v X 2 d y Y X Z f M V 8 x N C 9 H Z c O k b m R l c n R l c i B U e X A u e 3 B y Z X B f d G l t Z V 9 h d m c s N n 0 m c X V v d D s s J n F 1 b 3 Q 7 U 2 V j d G l v b j E v X 2 d y Y X Z f M V 8 x N C 9 H Z c O k b m R l c n R l c i B U e X A u e 3 B y Z X B f d G l t Z V 9 t Y X g s N 3 0 m c X V v d D s s J n F 1 b 3 Q 7 U 2 V j d G l v b j E v X 2 d y Y X Z f M V 8 x N C 9 H Z c O k b m R l c n R l c i B U e X A u e 2 N v b W 1 f d G l t Z V 9 t a W 4 s O H 0 m c X V v d D s s J n F 1 b 3 Q 7 U 2 V j d G l v b j E v X 2 d y Y X Z f M V 8 x N C 9 H Z c O k b m R l c n R l c i B U e X A u e 2 N v b W 1 f d G l t Z V 9 h d m c s O X 0 m c X V v d D s s J n F 1 b 3 Q 7 U 2 V j d G l v b j E v X 2 d y Y X Z f M V 8 x N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z M C 4 y O T U 4 M T k 4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U v R 2 X D p G 5 k Z X J 0 Z X I g V H l w L n t z d G V w L D B 9 J n F 1 b 3 Q 7 L C Z x d W 9 0 O 1 N l Y 3 R p b 2 4 x L 1 9 n c m F 2 X z F f M T U v R 2 X D p G 5 k Z X J 0 Z X I g V H l w L n t 0 b 3 R h b F 9 0 a W 1 l L D F 9 J n F 1 b 3 Q 7 L C Z x d W 9 0 O 1 N l Y 3 R p b 2 4 x L 1 9 n c m F 2 X z F f M T U v R 2 X D p G 5 k Z X J 0 Z X I g V H l w L n t 3 b 3 J r X 3 R p b W V f b W l u L D J 9 J n F 1 b 3 Q 7 L C Z x d W 9 0 O 1 N l Y 3 R p b 2 4 x L 1 9 n c m F 2 X z F f M T U v R 2 X D p G 5 k Z X J 0 Z X I g V H l w L n t 3 b 3 J r X 3 R p b W V f Y X Z n L D N 9 J n F 1 b 3 Q 7 L C Z x d W 9 0 O 1 N l Y 3 R p b 2 4 x L 1 9 n c m F 2 X z F f M T U v R 2 X D p G 5 k Z X J 0 Z X I g V H l w L n t 3 b 3 J r X 3 R p b W V f b W F 4 L D R 9 J n F 1 b 3 Q 7 L C Z x d W 9 0 O 1 N l Y 3 R p b 2 4 x L 1 9 n c m F 2 X z F f M T U v R 2 X D p G 5 k Z X J 0 Z X I g V H l w L n t w c m V w X 3 R p b W V f b W l u L D V 9 J n F 1 b 3 Q 7 L C Z x d W 9 0 O 1 N l Y 3 R p b 2 4 x L 1 9 n c m F 2 X z F f M T U v R 2 X D p G 5 k Z X J 0 Z X I g V H l w L n t w c m V w X 3 R p b W V f Y X Z n L D Z 9 J n F 1 b 3 Q 7 L C Z x d W 9 0 O 1 N l Y 3 R p b 2 4 x L 1 9 n c m F 2 X z F f M T U v R 2 X D p G 5 k Z X J 0 Z X I g V H l w L n t w c m V w X 3 R p b W V f b W F 4 L D d 9 J n F 1 b 3 Q 7 L C Z x d W 9 0 O 1 N l Y 3 R p b 2 4 x L 1 9 n c m F 2 X z F f M T U v R 2 X D p G 5 k Z X J 0 Z X I g V H l w L n t j b 2 1 t X 3 R p b W V f b W l u L D h 9 J n F 1 b 3 Q 7 L C Z x d W 9 0 O 1 N l Y 3 R p b 2 4 x L 1 9 n c m F 2 X z F f M T U v R 2 X D p G 5 k Z X J 0 Z X I g V H l w L n t j b 2 1 t X 3 R p b W V f Y X Z n L D l 9 J n F 1 b 3 Q 7 L C Z x d W 9 0 O 1 N l Y 3 R p b 2 4 x L 1 9 n c m F 2 X z F f M T U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N S 9 H Z c O k b m R l c n R l c i B U e X A u e 3 N 0 Z X A s M H 0 m c X V v d D s s J n F 1 b 3 Q 7 U 2 V j d G l v b j E v X 2 d y Y X Z f M V 8 x N S 9 H Z c O k b m R l c n R l c i B U e X A u e 3 R v d G F s X 3 R p b W U s M X 0 m c X V v d D s s J n F 1 b 3 Q 7 U 2 V j d G l v b j E v X 2 d y Y X Z f M V 8 x N S 9 H Z c O k b m R l c n R l c i B U e X A u e 3 d v c m t f d G l t Z V 9 t a W 4 s M n 0 m c X V v d D s s J n F 1 b 3 Q 7 U 2 V j d G l v b j E v X 2 d y Y X Z f M V 8 x N S 9 H Z c O k b m R l c n R l c i B U e X A u e 3 d v c m t f d G l t Z V 9 h d m c s M 3 0 m c X V v d D s s J n F 1 b 3 Q 7 U 2 V j d G l v b j E v X 2 d y Y X Z f M V 8 x N S 9 H Z c O k b m R l c n R l c i B U e X A u e 3 d v c m t f d G l t Z V 9 t Y X g s N H 0 m c X V v d D s s J n F 1 b 3 Q 7 U 2 V j d G l v b j E v X 2 d y Y X Z f M V 8 x N S 9 H Z c O k b m R l c n R l c i B U e X A u e 3 B y Z X B f d G l t Z V 9 t a W 4 s N X 0 m c X V v d D s s J n F 1 b 3 Q 7 U 2 V j d G l v b j E v X 2 d y Y X Z f M V 8 x N S 9 H Z c O k b m R l c n R l c i B U e X A u e 3 B y Z X B f d G l t Z V 9 h d m c s N n 0 m c X V v d D s s J n F 1 b 3 Q 7 U 2 V j d G l v b j E v X 2 d y Y X Z f M V 8 x N S 9 H Z c O k b m R l c n R l c i B U e X A u e 3 B y Z X B f d G l t Z V 9 t Y X g s N 3 0 m c X V v d D s s J n F 1 b 3 Q 7 U 2 V j d G l v b j E v X 2 d y Y X Z f M V 8 x N S 9 H Z c O k b m R l c n R l c i B U e X A u e 2 N v b W 1 f d G l t Z V 9 t a W 4 s O H 0 m c X V v d D s s J n F 1 b 3 Q 7 U 2 V j d G l v b j E v X 2 d y Y X Z f M V 8 x N S 9 H Z c O k b m R l c n R l c i B U e X A u e 2 N v b W 1 f d G l t Z V 9 h d m c s O X 0 m c X V v d D s s J n F 1 b 3 Q 7 U 2 V j d G l v b j E v X 2 d y Y X Z f M V 8 x N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1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z N y 4 w M z Q y N D I z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Y v R 2 X D p G 5 k Z X J 0 Z X I g V H l w L n t z d G V w L D B 9 J n F 1 b 3 Q 7 L C Z x d W 9 0 O 1 N l Y 3 R p b 2 4 x L 1 9 n c m F 2 X z F f M T Y v R 2 X D p G 5 k Z X J 0 Z X I g V H l w L n t 0 b 3 R h b F 9 0 a W 1 l L D F 9 J n F 1 b 3 Q 7 L C Z x d W 9 0 O 1 N l Y 3 R p b 2 4 x L 1 9 n c m F 2 X z F f M T Y v R 2 X D p G 5 k Z X J 0 Z X I g V H l w L n t 3 b 3 J r X 3 R p b W V f b W l u L D J 9 J n F 1 b 3 Q 7 L C Z x d W 9 0 O 1 N l Y 3 R p b 2 4 x L 1 9 n c m F 2 X z F f M T Y v R 2 X D p G 5 k Z X J 0 Z X I g V H l w L n t 3 b 3 J r X 3 R p b W V f Y X Z n L D N 9 J n F 1 b 3 Q 7 L C Z x d W 9 0 O 1 N l Y 3 R p b 2 4 x L 1 9 n c m F 2 X z F f M T Y v R 2 X D p G 5 k Z X J 0 Z X I g V H l w L n t 3 b 3 J r X 3 R p b W V f b W F 4 L D R 9 J n F 1 b 3 Q 7 L C Z x d W 9 0 O 1 N l Y 3 R p b 2 4 x L 1 9 n c m F 2 X z F f M T Y v R 2 X D p G 5 k Z X J 0 Z X I g V H l w L n t w c m V w X 3 R p b W V f b W l u L D V 9 J n F 1 b 3 Q 7 L C Z x d W 9 0 O 1 N l Y 3 R p b 2 4 x L 1 9 n c m F 2 X z F f M T Y v R 2 X D p G 5 k Z X J 0 Z X I g V H l w L n t w c m V w X 3 R p b W V f Y X Z n L D Z 9 J n F 1 b 3 Q 7 L C Z x d W 9 0 O 1 N l Y 3 R p b 2 4 x L 1 9 n c m F 2 X z F f M T Y v R 2 X D p G 5 k Z X J 0 Z X I g V H l w L n t w c m V w X 3 R p b W V f b W F 4 L D d 9 J n F 1 b 3 Q 7 L C Z x d W 9 0 O 1 N l Y 3 R p b 2 4 x L 1 9 n c m F 2 X z F f M T Y v R 2 X D p G 5 k Z X J 0 Z X I g V H l w L n t j b 2 1 t X 3 R p b W V f b W l u L D h 9 J n F 1 b 3 Q 7 L C Z x d W 9 0 O 1 N l Y 3 R p b 2 4 x L 1 9 n c m F 2 X z F f M T Y v R 2 X D p G 5 k Z X J 0 Z X I g V H l w L n t j b 2 1 t X 3 R p b W V f Y X Z n L D l 9 J n F 1 b 3 Q 7 L C Z x d W 9 0 O 1 N l Y 3 R p b 2 4 x L 1 9 n c m F 2 X z F f M T Y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N i 9 H Z c O k b m R l c n R l c i B U e X A u e 3 N 0 Z X A s M H 0 m c X V v d D s s J n F 1 b 3 Q 7 U 2 V j d G l v b j E v X 2 d y Y X Z f M V 8 x N i 9 H Z c O k b m R l c n R l c i B U e X A u e 3 R v d G F s X 3 R p b W U s M X 0 m c X V v d D s s J n F 1 b 3 Q 7 U 2 V j d G l v b j E v X 2 d y Y X Z f M V 8 x N i 9 H Z c O k b m R l c n R l c i B U e X A u e 3 d v c m t f d G l t Z V 9 t a W 4 s M n 0 m c X V v d D s s J n F 1 b 3 Q 7 U 2 V j d G l v b j E v X 2 d y Y X Z f M V 8 x N i 9 H Z c O k b m R l c n R l c i B U e X A u e 3 d v c m t f d G l t Z V 9 h d m c s M 3 0 m c X V v d D s s J n F 1 b 3 Q 7 U 2 V j d G l v b j E v X 2 d y Y X Z f M V 8 x N i 9 H Z c O k b m R l c n R l c i B U e X A u e 3 d v c m t f d G l t Z V 9 t Y X g s N H 0 m c X V v d D s s J n F 1 b 3 Q 7 U 2 V j d G l v b j E v X 2 d y Y X Z f M V 8 x N i 9 H Z c O k b m R l c n R l c i B U e X A u e 3 B y Z X B f d G l t Z V 9 t a W 4 s N X 0 m c X V v d D s s J n F 1 b 3 Q 7 U 2 V j d G l v b j E v X 2 d y Y X Z f M V 8 x N i 9 H Z c O k b m R l c n R l c i B U e X A u e 3 B y Z X B f d G l t Z V 9 h d m c s N n 0 m c X V v d D s s J n F 1 b 3 Q 7 U 2 V j d G l v b j E v X 2 d y Y X Z f M V 8 x N i 9 H Z c O k b m R l c n R l c i B U e X A u e 3 B y Z X B f d G l t Z V 9 t Y X g s N 3 0 m c X V v d D s s J n F 1 b 3 Q 7 U 2 V j d G l v b j E v X 2 d y Y X Z f M V 8 x N i 9 H Z c O k b m R l c n R l c i B U e X A u e 2 N v b W 1 f d G l t Z V 9 t a W 4 s O H 0 m c X V v d D s s J n F 1 b 3 Q 7 U 2 V j d G l v b j E v X 2 d y Y X Z f M V 8 x N i 9 H Z c O k b m R l c n R l c i B U e X A u e 2 N v b W 1 f d G l t Z V 9 h d m c s O X 0 m c X V v d D s s J n F 1 b 3 Q 7 U 2 V j d G l v b j E v X 2 d y Y X Z f M V 8 x N i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2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0 N C 4 4 M D A 3 N D U z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c v R 2 X D p G 5 k Z X J 0 Z X I g V H l w L n t z d G V w L D B 9 J n F 1 b 3 Q 7 L C Z x d W 9 0 O 1 N l Y 3 R p b 2 4 x L 1 9 n c m F 2 X z F f M T c v R 2 X D p G 5 k Z X J 0 Z X I g V H l w L n t 0 b 3 R h b F 9 0 a W 1 l L D F 9 J n F 1 b 3 Q 7 L C Z x d W 9 0 O 1 N l Y 3 R p b 2 4 x L 1 9 n c m F 2 X z F f M T c v R 2 X D p G 5 k Z X J 0 Z X I g V H l w L n t 3 b 3 J r X 3 R p b W V f b W l u L D J 9 J n F 1 b 3 Q 7 L C Z x d W 9 0 O 1 N l Y 3 R p b 2 4 x L 1 9 n c m F 2 X z F f M T c v R 2 X D p G 5 k Z X J 0 Z X I g V H l w L n t 3 b 3 J r X 3 R p b W V f Y X Z n L D N 9 J n F 1 b 3 Q 7 L C Z x d W 9 0 O 1 N l Y 3 R p b 2 4 x L 1 9 n c m F 2 X z F f M T c v R 2 X D p G 5 k Z X J 0 Z X I g V H l w L n t 3 b 3 J r X 3 R p b W V f b W F 4 L D R 9 J n F 1 b 3 Q 7 L C Z x d W 9 0 O 1 N l Y 3 R p b 2 4 x L 1 9 n c m F 2 X z F f M T c v R 2 X D p G 5 k Z X J 0 Z X I g V H l w L n t w c m V w X 3 R p b W V f b W l u L D V 9 J n F 1 b 3 Q 7 L C Z x d W 9 0 O 1 N l Y 3 R p b 2 4 x L 1 9 n c m F 2 X z F f M T c v R 2 X D p G 5 k Z X J 0 Z X I g V H l w L n t w c m V w X 3 R p b W V f Y X Z n L D Z 9 J n F 1 b 3 Q 7 L C Z x d W 9 0 O 1 N l Y 3 R p b 2 4 x L 1 9 n c m F 2 X z F f M T c v R 2 X D p G 5 k Z X J 0 Z X I g V H l w L n t w c m V w X 3 R p b W V f b W F 4 L D d 9 J n F 1 b 3 Q 7 L C Z x d W 9 0 O 1 N l Y 3 R p b 2 4 x L 1 9 n c m F 2 X z F f M T c v R 2 X D p G 5 k Z X J 0 Z X I g V H l w L n t j b 2 1 t X 3 R p b W V f b W l u L D h 9 J n F 1 b 3 Q 7 L C Z x d W 9 0 O 1 N l Y 3 R p b 2 4 x L 1 9 n c m F 2 X z F f M T c v R 2 X D p G 5 k Z X J 0 Z X I g V H l w L n t j b 2 1 t X 3 R p b W V f Y X Z n L D l 9 J n F 1 b 3 Q 7 L C Z x d W 9 0 O 1 N l Y 3 R p b 2 4 x L 1 9 n c m F 2 X z F f M T c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N y 9 H Z c O k b m R l c n R l c i B U e X A u e 3 N 0 Z X A s M H 0 m c X V v d D s s J n F 1 b 3 Q 7 U 2 V j d G l v b j E v X 2 d y Y X Z f M V 8 x N y 9 H Z c O k b m R l c n R l c i B U e X A u e 3 R v d G F s X 3 R p b W U s M X 0 m c X V v d D s s J n F 1 b 3 Q 7 U 2 V j d G l v b j E v X 2 d y Y X Z f M V 8 x N y 9 H Z c O k b m R l c n R l c i B U e X A u e 3 d v c m t f d G l t Z V 9 t a W 4 s M n 0 m c X V v d D s s J n F 1 b 3 Q 7 U 2 V j d G l v b j E v X 2 d y Y X Z f M V 8 x N y 9 H Z c O k b m R l c n R l c i B U e X A u e 3 d v c m t f d G l t Z V 9 h d m c s M 3 0 m c X V v d D s s J n F 1 b 3 Q 7 U 2 V j d G l v b j E v X 2 d y Y X Z f M V 8 x N y 9 H Z c O k b m R l c n R l c i B U e X A u e 3 d v c m t f d G l t Z V 9 t Y X g s N H 0 m c X V v d D s s J n F 1 b 3 Q 7 U 2 V j d G l v b j E v X 2 d y Y X Z f M V 8 x N y 9 H Z c O k b m R l c n R l c i B U e X A u e 3 B y Z X B f d G l t Z V 9 t a W 4 s N X 0 m c X V v d D s s J n F 1 b 3 Q 7 U 2 V j d G l v b j E v X 2 d y Y X Z f M V 8 x N y 9 H Z c O k b m R l c n R l c i B U e X A u e 3 B y Z X B f d G l t Z V 9 h d m c s N n 0 m c X V v d D s s J n F 1 b 3 Q 7 U 2 V j d G l v b j E v X 2 d y Y X Z f M V 8 x N y 9 H Z c O k b m R l c n R l c i B U e X A u e 3 B y Z X B f d G l t Z V 9 t Y X g s N 3 0 m c X V v d D s s J n F 1 b 3 Q 7 U 2 V j d G l v b j E v X 2 d y Y X Z f M V 8 x N y 9 H Z c O k b m R l c n R l c i B U e X A u e 2 N v b W 1 f d G l t Z V 9 t a W 4 s O H 0 m c X V v d D s s J n F 1 b 3 Q 7 U 2 V j d G l v b j E v X 2 d y Y X Z f M V 8 x N y 9 H Z c O k b m R l c n R l c i B U e X A u e 2 N v b W 1 f d G l t Z V 9 h d m c s O X 0 m c X V v d D s s J n F 1 b 3 Q 7 U 2 V j d G l v b j E v X 2 d y Y X Z f M V 8 x N y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1 M i 4 x N z c 0 N z I w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g v R 2 X D p G 5 k Z X J 0 Z X I g V H l w L n t z d G V w L D B 9 J n F 1 b 3 Q 7 L C Z x d W 9 0 O 1 N l Y 3 R p b 2 4 x L 1 9 n c m F 2 X z F f M T g v R 2 X D p G 5 k Z X J 0 Z X I g V H l w L n t 0 b 3 R h b F 9 0 a W 1 l L D F 9 J n F 1 b 3 Q 7 L C Z x d W 9 0 O 1 N l Y 3 R p b 2 4 x L 1 9 n c m F 2 X z F f M T g v R 2 X D p G 5 k Z X J 0 Z X I g V H l w L n t 3 b 3 J r X 3 R p b W V f b W l u L D J 9 J n F 1 b 3 Q 7 L C Z x d W 9 0 O 1 N l Y 3 R p b 2 4 x L 1 9 n c m F 2 X z F f M T g v R 2 X D p G 5 k Z X J 0 Z X I g V H l w L n t 3 b 3 J r X 3 R p b W V f Y X Z n L D N 9 J n F 1 b 3 Q 7 L C Z x d W 9 0 O 1 N l Y 3 R p b 2 4 x L 1 9 n c m F 2 X z F f M T g v R 2 X D p G 5 k Z X J 0 Z X I g V H l w L n t 3 b 3 J r X 3 R p b W V f b W F 4 L D R 9 J n F 1 b 3 Q 7 L C Z x d W 9 0 O 1 N l Y 3 R p b 2 4 x L 1 9 n c m F 2 X z F f M T g v R 2 X D p G 5 k Z X J 0 Z X I g V H l w L n t w c m V w X 3 R p b W V f b W l u L D V 9 J n F 1 b 3 Q 7 L C Z x d W 9 0 O 1 N l Y 3 R p b 2 4 x L 1 9 n c m F 2 X z F f M T g v R 2 X D p G 5 k Z X J 0 Z X I g V H l w L n t w c m V w X 3 R p b W V f Y X Z n L D Z 9 J n F 1 b 3 Q 7 L C Z x d W 9 0 O 1 N l Y 3 R p b 2 4 x L 1 9 n c m F 2 X z F f M T g v R 2 X D p G 5 k Z X J 0 Z X I g V H l w L n t w c m V w X 3 R p b W V f b W F 4 L D d 9 J n F 1 b 3 Q 7 L C Z x d W 9 0 O 1 N l Y 3 R p b 2 4 x L 1 9 n c m F 2 X z F f M T g v R 2 X D p G 5 k Z X J 0 Z X I g V H l w L n t j b 2 1 t X 3 R p b W V f b W l u L D h 9 J n F 1 b 3 Q 7 L C Z x d W 9 0 O 1 N l Y 3 R p b 2 4 x L 1 9 n c m F 2 X z F f M T g v R 2 X D p G 5 k Z X J 0 Z X I g V H l w L n t j b 2 1 t X 3 R p b W V f Y X Z n L D l 9 J n F 1 b 3 Q 7 L C Z x d W 9 0 O 1 N l Y 3 R p b 2 4 x L 1 9 n c m F 2 X z F f M T g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O C 9 H Z c O k b m R l c n R l c i B U e X A u e 3 N 0 Z X A s M H 0 m c X V v d D s s J n F 1 b 3 Q 7 U 2 V j d G l v b j E v X 2 d y Y X Z f M V 8 x O C 9 H Z c O k b m R l c n R l c i B U e X A u e 3 R v d G F s X 3 R p b W U s M X 0 m c X V v d D s s J n F 1 b 3 Q 7 U 2 V j d G l v b j E v X 2 d y Y X Z f M V 8 x O C 9 H Z c O k b m R l c n R l c i B U e X A u e 3 d v c m t f d G l t Z V 9 t a W 4 s M n 0 m c X V v d D s s J n F 1 b 3 Q 7 U 2 V j d G l v b j E v X 2 d y Y X Z f M V 8 x O C 9 H Z c O k b m R l c n R l c i B U e X A u e 3 d v c m t f d G l t Z V 9 h d m c s M 3 0 m c X V v d D s s J n F 1 b 3 Q 7 U 2 V j d G l v b j E v X 2 d y Y X Z f M V 8 x O C 9 H Z c O k b m R l c n R l c i B U e X A u e 3 d v c m t f d G l t Z V 9 t Y X g s N H 0 m c X V v d D s s J n F 1 b 3 Q 7 U 2 V j d G l v b j E v X 2 d y Y X Z f M V 8 x O C 9 H Z c O k b m R l c n R l c i B U e X A u e 3 B y Z X B f d G l t Z V 9 t a W 4 s N X 0 m c X V v d D s s J n F 1 b 3 Q 7 U 2 V j d G l v b j E v X 2 d y Y X Z f M V 8 x O C 9 H Z c O k b m R l c n R l c i B U e X A u e 3 B y Z X B f d G l t Z V 9 h d m c s N n 0 m c X V v d D s s J n F 1 b 3 Q 7 U 2 V j d G l v b j E v X 2 d y Y X Z f M V 8 x O C 9 H Z c O k b m R l c n R l c i B U e X A u e 3 B y Z X B f d G l t Z V 9 t Y X g s N 3 0 m c X V v d D s s J n F 1 b 3 Q 7 U 2 V j d G l v b j E v X 2 d y Y X Z f M V 8 x O C 9 H Z c O k b m R l c n R l c i B U e X A u e 2 N v b W 1 f d G l t Z V 9 t a W 4 s O H 0 m c X V v d D s s J n F 1 b 3 Q 7 U 2 V j d G l v b j E v X 2 d y Y X Z f M V 8 x O C 9 H Z c O k b m R l c n R l c i B U e X A u e 2 N v b W 1 f d G l t Z V 9 h d m c s O X 0 m c X V v d D s s J n F 1 b 3 Q 7 U 2 V j d G l v b j E v X 2 d y Y X Z f M V 8 x O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D o 1 O S 4 2 N D E 5 N T Q y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T k v R 2 X D p G 5 k Z X J 0 Z X I g V H l w L n t z d G V w L D B 9 J n F 1 b 3 Q 7 L C Z x d W 9 0 O 1 N l Y 3 R p b 2 4 x L 1 9 n c m F 2 X z F f M T k v R 2 X D p G 5 k Z X J 0 Z X I g V H l w L n t 0 b 3 R h b F 9 0 a W 1 l L D F 9 J n F 1 b 3 Q 7 L C Z x d W 9 0 O 1 N l Y 3 R p b 2 4 x L 1 9 n c m F 2 X z F f M T k v R 2 X D p G 5 k Z X J 0 Z X I g V H l w L n t 3 b 3 J r X 3 R p b W V f b W l u L D J 9 J n F 1 b 3 Q 7 L C Z x d W 9 0 O 1 N l Y 3 R p b 2 4 x L 1 9 n c m F 2 X z F f M T k v R 2 X D p G 5 k Z X J 0 Z X I g V H l w L n t 3 b 3 J r X 3 R p b W V f Y X Z n L D N 9 J n F 1 b 3 Q 7 L C Z x d W 9 0 O 1 N l Y 3 R p b 2 4 x L 1 9 n c m F 2 X z F f M T k v R 2 X D p G 5 k Z X J 0 Z X I g V H l w L n t 3 b 3 J r X 3 R p b W V f b W F 4 L D R 9 J n F 1 b 3 Q 7 L C Z x d W 9 0 O 1 N l Y 3 R p b 2 4 x L 1 9 n c m F 2 X z F f M T k v R 2 X D p G 5 k Z X J 0 Z X I g V H l w L n t w c m V w X 3 R p b W V f b W l u L D V 9 J n F 1 b 3 Q 7 L C Z x d W 9 0 O 1 N l Y 3 R p b 2 4 x L 1 9 n c m F 2 X z F f M T k v R 2 X D p G 5 k Z X J 0 Z X I g V H l w L n t w c m V w X 3 R p b W V f Y X Z n L D Z 9 J n F 1 b 3 Q 7 L C Z x d W 9 0 O 1 N l Y 3 R p b 2 4 x L 1 9 n c m F 2 X z F f M T k v R 2 X D p G 5 k Z X J 0 Z X I g V H l w L n t w c m V w X 3 R p b W V f b W F 4 L D d 9 J n F 1 b 3 Q 7 L C Z x d W 9 0 O 1 N l Y 3 R p b 2 4 x L 1 9 n c m F 2 X z F f M T k v R 2 X D p G 5 k Z X J 0 Z X I g V H l w L n t j b 2 1 t X 3 R p b W V f b W l u L D h 9 J n F 1 b 3 Q 7 L C Z x d W 9 0 O 1 N l Y 3 R p b 2 4 x L 1 9 n c m F 2 X z F f M T k v R 2 X D p G 5 k Z X J 0 Z X I g V H l w L n t j b 2 1 t X 3 R p b W V f Y X Z n L D l 9 J n F 1 b 3 Q 7 L C Z x d W 9 0 O 1 N l Y 3 R p b 2 4 x L 1 9 n c m F 2 X z F f M T k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x O S 9 H Z c O k b m R l c n R l c i B U e X A u e 3 N 0 Z X A s M H 0 m c X V v d D s s J n F 1 b 3 Q 7 U 2 V j d G l v b j E v X 2 d y Y X Z f M V 8 x O S 9 H Z c O k b m R l c n R l c i B U e X A u e 3 R v d G F s X 3 R p b W U s M X 0 m c X V v d D s s J n F 1 b 3 Q 7 U 2 V j d G l v b j E v X 2 d y Y X Z f M V 8 x O S 9 H Z c O k b m R l c n R l c i B U e X A u e 3 d v c m t f d G l t Z V 9 t a W 4 s M n 0 m c X V v d D s s J n F 1 b 3 Q 7 U 2 V j d G l v b j E v X 2 d y Y X Z f M V 8 x O S 9 H Z c O k b m R l c n R l c i B U e X A u e 3 d v c m t f d G l t Z V 9 h d m c s M 3 0 m c X V v d D s s J n F 1 b 3 Q 7 U 2 V j d G l v b j E v X 2 d y Y X Z f M V 8 x O S 9 H Z c O k b m R l c n R l c i B U e X A u e 3 d v c m t f d G l t Z V 9 t Y X g s N H 0 m c X V v d D s s J n F 1 b 3 Q 7 U 2 V j d G l v b j E v X 2 d y Y X Z f M V 8 x O S 9 H Z c O k b m R l c n R l c i B U e X A u e 3 B y Z X B f d G l t Z V 9 t a W 4 s N X 0 m c X V v d D s s J n F 1 b 3 Q 7 U 2 V j d G l v b j E v X 2 d y Y X Z f M V 8 x O S 9 H Z c O k b m R l c n R l c i B U e X A u e 3 B y Z X B f d G l t Z V 9 h d m c s N n 0 m c X V v d D s s J n F 1 b 3 Q 7 U 2 V j d G l v b j E v X 2 d y Y X Z f M V 8 x O S 9 H Z c O k b m R l c n R l c i B U e X A u e 3 B y Z X B f d G l t Z V 9 t Y X g s N 3 0 m c X V v d D s s J n F 1 b 3 Q 7 U 2 V j d G l v b j E v X 2 d y Y X Z f M V 8 x O S 9 H Z c O k b m R l c n R l c i B U e X A u e 2 N v b W 1 f d G l t Z V 9 t a W 4 s O H 0 m c X V v d D s s J n F 1 b 3 Q 7 U 2 V j d G l v b j E v X 2 d y Y X Z f M V 8 x O S 9 H Z c O k b m R l c n R l c i B U e X A u e 2 N v b W 1 f d G l t Z V 9 h d m c s O X 0 m c X V v d D s s J n F 1 b 3 Q 7 U 2 V j d G l v b j E v X 2 d y Y X Z f M V 8 x O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E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T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T o w N y 4 w M z M 3 O D Q 5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j A v R 2 X D p G 5 k Z X J 0 Z X I g V H l w L n t z d G V w L D B 9 J n F 1 b 3 Q 7 L C Z x d W 9 0 O 1 N l Y 3 R p b 2 4 x L 1 9 n c m F 2 X z F f M j A v R 2 X D p G 5 k Z X J 0 Z X I g V H l w L n t 0 b 3 R h b F 9 0 a W 1 l L D F 9 J n F 1 b 3 Q 7 L C Z x d W 9 0 O 1 N l Y 3 R p b 2 4 x L 1 9 n c m F 2 X z F f M j A v R 2 X D p G 5 k Z X J 0 Z X I g V H l w L n t 3 b 3 J r X 3 R p b W V f b W l u L D J 9 J n F 1 b 3 Q 7 L C Z x d W 9 0 O 1 N l Y 3 R p b 2 4 x L 1 9 n c m F 2 X z F f M j A v R 2 X D p G 5 k Z X J 0 Z X I g V H l w L n t 3 b 3 J r X 3 R p b W V f Y X Z n L D N 9 J n F 1 b 3 Q 7 L C Z x d W 9 0 O 1 N l Y 3 R p b 2 4 x L 1 9 n c m F 2 X z F f M j A v R 2 X D p G 5 k Z X J 0 Z X I g V H l w L n t 3 b 3 J r X 3 R p b W V f b W F 4 L D R 9 J n F 1 b 3 Q 7 L C Z x d W 9 0 O 1 N l Y 3 R p b 2 4 x L 1 9 n c m F 2 X z F f M j A v R 2 X D p G 5 k Z X J 0 Z X I g V H l w L n t w c m V w X 3 R p b W V f b W l u L D V 9 J n F 1 b 3 Q 7 L C Z x d W 9 0 O 1 N l Y 3 R p b 2 4 x L 1 9 n c m F 2 X z F f M j A v R 2 X D p G 5 k Z X J 0 Z X I g V H l w L n t w c m V w X 3 R p b W V f Y X Z n L D Z 9 J n F 1 b 3 Q 7 L C Z x d W 9 0 O 1 N l Y 3 R p b 2 4 x L 1 9 n c m F 2 X z F f M j A v R 2 X D p G 5 k Z X J 0 Z X I g V H l w L n t w c m V w X 3 R p b W V f b W F 4 L D d 9 J n F 1 b 3 Q 7 L C Z x d W 9 0 O 1 N l Y 3 R p b 2 4 x L 1 9 n c m F 2 X z F f M j A v R 2 X D p G 5 k Z X J 0 Z X I g V H l w L n t j b 2 1 t X 3 R p b W V f b W l u L D h 9 J n F 1 b 3 Q 7 L C Z x d W 9 0 O 1 N l Y 3 R p b 2 4 x L 1 9 n c m F 2 X z F f M j A v R 2 X D p G 5 k Z X J 0 Z X I g V H l w L n t j b 2 1 t X 3 R p b W V f Y X Z n L D l 9 J n F 1 b 3 Q 7 L C Z x d W 9 0 O 1 N l Y 3 R p b 2 4 x L 1 9 n c m F 2 X z F f M j A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y M C 9 H Z c O k b m R l c n R l c i B U e X A u e 3 N 0 Z X A s M H 0 m c X V v d D s s J n F 1 b 3 Q 7 U 2 V j d G l v b j E v X 2 d y Y X Z f M V 8 y M C 9 H Z c O k b m R l c n R l c i B U e X A u e 3 R v d G F s X 3 R p b W U s M X 0 m c X V v d D s s J n F 1 b 3 Q 7 U 2 V j d G l v b j E v X 2 d y Y X Z f M V 8 y M C 9 H Z c O k b m R l c n R l c i B U e X A u e 3 d v c m t f d G l t Z V 9 t a W 4 s M n 0 m c X V v d D s s J n F 1 b 3 Q 7 U 2 V j d G l v b j E v X 2 d y Y X Z f M V 8 y M C 9 H Z c O k b m R l c n R l c i B U e X A u e 3 d v c m t f d G l t Z V 9 h d m c s M 3 0 m c X V v d D s s J n F 1 b 3 Q 7 U 2 V j d G l v b j E v X 2 d y Y X Z f M V 8 y M C 9 H Z c O k b m R l c n R l c i B U e X A u e 3 d v c m t f d G l t Z V 9 t Y X g s N H 0 m c X V v d D s s J n F 1 b 3 Q 7 U 2 V j d G l v b j E v X 2 d y Y X Z f M V 8 y M C 9 H Z c O k b m R l c n R l c i B U e X A u e 3 B y Z X B f d G l t Z V 9 t a W 4 s N X 0 m c X V v d D s s J n F 1 b 3 Q 7 U 2 V j d G l v b j E v X 2 d y Y X Z f M V 8 y M C 9 H Z c O k b m R l c n R l c i B U e X A u e 3 B y Z X B f d G l t Z V 9 h d m c s N n 0 m c X V v d D s s J n F 1 b 3 Q 7 U 2 V j d G l v b j E v X 2 d y Y X Z f M V 8 y M C 9 H Z c O k b m R l c n R l c i B U e X A u e 3 B y Z X B f d G l t Z V 9 t Y X g s N 3 0 m c X V v d D s s J n F 1 b 3 Q 7 U 2 V j d G l v b j E v X 2 d y Y X Z f M V 8 y M C 9 H Z c O k b m R l c n R l c i B U e X A u e 2 N v b W 1 f d G l t Z V 9 t a W 4 s O H 0 m c X V v d D s s J n F 1 b 3 Q 7 U 2 V j d G l v b j E v X 2 d y Y X Z f M V 8 y M C 9 H Z c O k b m R l c n R l c i B U e X A u e 2 N v b W 1 f d G l t Z V 9 h d m c s O X 0 m c X V v d D s s J n F 1 b 3 Q 7 U 2 V j d G l v b j E v X 2 d y Y X Z f M V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I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T o x N C 4 x N z Y 5 M D I y W i I g L z 4 8 R W 5 0 c n k g V H l w Z T 0 i R m l s b E N v b H V t b l R 5 c G V z I i B W Y W x 1 Z T 0 i c 0 F 3 V U Z C U V V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j E v R 2 X D p G 5 k Z X J 0 Z X I g V H l w L n t z d G V w L D B 9 J n F 1 b 3 Q 7 L C Z x d W 9 0 O 1 N l Y 3 R p b 2 4 x L 1 9 n c m F 2 X z F f M j E v R 2 X D p G 5 k Z X J 0 Z X I g V H l w L n t 0 b 3 R h b F 9 0 a W 1 l L D F 9 J n F 1 b 3 Q 7 L C Z x d W 9 0 O 1 N l Y 3 R p b 2 4 x L 1 9 n c m F 2 X z F f M j E v R 2 X D p G 5 k Z X J 0 Z X I g V H l w L n t 3 b 3 J r X 3 R p b W V f b W l u L D J 9 J n F 1 b 3 Q 7 L C Z x d W 9 0 O 1 N l Y 3 R p b 2 4 x L 1 9 n c m F 2 X z F f M j E v R 2 X D p G 5 k Z X J 0 Z X I g V H l w L n t 3 b 3 J r X 3 R p b W V f Y X Z n L D N 9 J n F 1 b 3 Q 7 L C Z x d W 9 0 O 1 N l Y 3 R p b 2 4 x L 1 9 n c m F 2 X z F f M j E v R 2 X D p G 5 k Z X J 0 Z X I g V H l w L n t 3 b 3 J r X 3 R p b W V f b W F 4 L D R 9 J n F 1 b 3 Q 7 L C Z x d W 9 0 O 1 N l Y 3 R p b 2 4 x L 1 9 n c m F 2 X z F f M j E v R 2 X D p G 5 k Z X J 0 Z X I g V H l w L n t w c m V w X 3 R p b W V f b W l u L D V 9 J n F 1 b 3 Q 7 L C Z x d W 9 0 O 1 N l Y 3 R p b 2 4 x L 1 9 n c m F 2 X z F f M j E v R 2 X D p G 5 k Z X J 0 Z X I g V H l w L n t w c m V w X 3 R p b W V f Y X Z n L D Z 9 J n F 1 b 3 Q 7 L C Z x d W 9 0 O 1 N l Y 3 R p b 2 4 x L 1 9 n c m F 2 X z F f M j E v R 2 X D p G 5 k Z X J 0 Z X I g V H l w L n t w c m V w X 3 R p b W V f b W F 4 L D d 9 J n F 1 b 3 Q 7 L C Z x d W 9 0 O 1 N l Y 3 R p b 2 4 x L 1 9 n c m F 2 X z F f M j E v R 2 X D p G 5 k Z X J 0 Z X I g V H l w L n t j b 2 1 t X 3 R p b W V f b W l u L D h 9 J n F 1 b 3 Q 7 L C Z x d W 9 0 O 1 N l Y 3 R p b 2 4 x L 1 9 n c m F 2 X z F f M j E v R 2 X D p G 5 k Z X J 0 Z X I g V H l w L n t j b 2 1 t X 3 R p b W V f Y X Z n L D l 9 J n F 1 b 3 Q 7 L C Z x d W 9 0 O 1 N l Y 3 R p b 2 4 x L 1 9 n c m F 2 X z F f M j E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y M S 9 H Z c O k b m R l c n R l c i B U e X A u e 3 N 0 Z X A s M H 0 m c X V v d D s s J n F 1 b 3 Q 7 U 2 V j d G l v b j E v X 2 d y Y X Z f M V 8 y M S 9 H Z c O k b m R l c n R l c i B U e X A u e 3 R v d G F s X 3 R p b W U s M X 0 m c X V v d D s s J n F 1 b 3 Q 7 U 2 V j d G l v b j E v X 2 d y Y X Z f M V 8 y M S 9 H Z c O k b m R l c n R l c i B U e X A u e 3 d v c m t f d G l t Z V 9 t a W 4 s M n 0 m c X V v d D s s J n F 1 b 3 Q 7 U 2 V j d G l v b j E v X 2 d y Y X Z f M V 8 y M S 9 H Z c O k b m R l c n R l c i B U e X A u e 3 d v c m t f d G l t Z V 9 h d m c s M 3 0 m c X V v d D s s J n F 1 b 3 Q 7 U 2 V j d G l v b j E v X 2 d y Y X Z f M V 8 y M S 9 H Z c O k b m R l c n R l c i B U e X A u e 3 d v c m t f d G l t Z V 9 t Y X g s N H 0 m c X V v d D s s J n F 1 b 3 Q 7 U 2 V j d G l v b j E v X 2 d y Y X Z f M V 8 y M S 9 H Z c O k b m R l c n R l c i B U e X A u e 3 B y Z X B f d G l t Z V 9 t a W 4 s N X 0 m c X V v d D s s J n F 1 b 3 Q 7 U 2 V j d G l v b j E v X 2 d y Y X Z f M V 8 y M S 9 H Z c O k b m R l c n R l c i B U e X A u e 3 B y Z X B f d G l t Z V 9 h d m c s N n 0 m c X V v d D s s J n F 1 b 3 Q 7 U 2 V j d G l v b j E v X 2 d y Y X Z f M V 8 y M S 9 H Z c O k b m R l c n R l c i B U e X A u e 3 B y Z X B f d G l t Z V 9 t Y X g s N 3 0 m c X V v d D s s J n F 1 b 3 Q 7 U 2 V j d G l v b j E v X 2 d y Y X Z f M V 8 y M S 9 H Z c O k b m R l c n R l c i B U e X A u e 2 N v b W 1 f d G l t Z V 9 t a W 4 s O H 0 m c X V v d D s s J n F 1 b 3 Q 7 U 2 V j d G l v b j E v X 2 d y Y X Z f M V 8 y M S 9 H Z c O k b m R l c n R l c i B U e X A u e 2 N v b W 1 f d G l t Z V 9 h d m c s O X 0 m c X V v d D s s J n F 1 b 3 Q 7 U 2 V j d G l v b j E v X 2 d y Y X Z f M V 8 y M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I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T o z M C 4 y M z Q 5 N D c z W i I g L z 4 8 R W 5 0 c n k g V H l w Z T 0 i R m l s b E N v b H V t b l R 5 c G V z I i B W Y W x 1 Z T 0 i c 0 F 3 T U R B d 0 1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j I v R 2 X D p G 5 k Z X J 0 Z X I g V H l w L n t z d G V w L D B 9 J n F 1 b 3 Q 7 L C Z x d W 9 0 O 1 N l Y 3 R p b 2 4 x L 1 9 n c m F 2 X z F f M j I v R 2 X D p G 5 k Z X J 0 Z X I g V H l w L n t 0 b 3 R h b F 9 0 a W 1 l L D F 9 J n F 1 b 3 Q 7 L C Z x d W 9 0 O 1 N l Y 3 R p b 2 4 x L 1 9 n c m F 2 X z F f M j I v R 2 X D p G 5 k Z X J 0 Z X I g V H l w L n t 3 b 3 J r X 3 R p b W V f b W l u L D J 9 J n F 1 b 3 Q 7 L C Z x d W 9 0 O 1 N l Y 3 R p b 2 4 x L 1 9 n c m F 2 X z F f M j I v R 2 X D p G 5 k Z X J 0 Z X I g V H l w L n t 3 b 3 J r X 3 R p b W V f Y X Z n L D N 9 J n F 1 b 3 Q 7 L C Z x d W 9 0 O 1 N l Y 3 R p b 2 4 x L 1 9 n c m F 2 X z F f M j I v R 2 X D p G 5 k Z X J 0 Z X I g V H l w L n t 3 b 3 J r X 3 R p b W V f b W F 4 L D R 9 J n F 1 b 3 Q 7 L C Z x d W 9 0 O 1 N l Y 3 R p b 2 4 x L 1 9 n c m F 2 X z F f M j I v R 2 X D p G 5 k Z X J 0 Z X I g V H l w L n t w c m V w X 3 R p b W V f b W l u L D V 9 J n F 1 b 3 Q 7 L C Z x d W 9 0 O 1 N l Y 3 R p b 2 4 x L 1 9 n c m F 2 X z F f M j I v R 2 X D p G 5 k Z X J 0 Z X I g V H l w L n t w c m V w X 3 R p b W V f Y X Z n L D Z 9 J n F 1 b 3 Q 7 L C Z x d W 9 0 O 1 N l Y 3 R p b 2 4 x L 1 9 n c m F 2 X z F f M j I v R 2 X D p G 5 k Z X J 0 Z X I g V H l w L n t w c m V w X 3 R p b W V f b W F 4 L D d 9 J n F 1 b 3 Q 7 L C Z x d W 9 0 O 1 N l Y 3 R p b 2 4 x L 1 9 n c m F 2 X z F f M j I v R 2 X D p G 5 k Z X J 0 Z X I g V H l w L n t j b 2 1 t X 3 R p b W V f b W l u L D h 9 J n F 1 b 3 Q 7 L C Z x d W 9 0 O 1 N l Y 3 R p b 2 4 x L 1 9 n c m F 2 X z F f M j I v R 2 X D p G 5 k Z X J 0 Z X I g V H l w L n t j b 2 1 t X 3 R p b W V f Y X Z n L D l 9 J n F 1 b 3 Q 7 L C Z x d W 9 0 O 1 N l Y 3 R p b 2 4 x L 1 9 n c m F 2 X z F f M j I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y M i 9 H Z c O k b m R l c n R l c i B U e X A u e 3 N 0 Z X A s M H 0 m c X V v d D s s J n F 1 b 3 Q 7 U 2 V j d G l v b j E v X 2 d y Y X Z f M V 8 y M i 9 H Z c O k b m R l c n R l c i B U e X A u e 3 R v d G F s X 3 R p b W U s M X 0 m c X V v d D s s J n F 1 b 3 Q 7 U 2 V j d G l v b j E v X 2 d y Y X Z f M V 8 y M i 9 H Z c O k b m R l c n R l c i B U e X A u e 3 d v c m t f d G l t Z V 9 t a W 4 s M n 0 m c X V v d D s s J n F 1 b 3 Q 7 U 2 V j d G l v b j E v X 2 d y Y X Z f M V 8 y M i 9 H Z c O k b m R l c n R l c i B U e X A u e 3 d v c m t f d G l t Z V 9 h d m c s M 3 0 m c X V v d D s s J n F 1 b 3 Q 7 U 2 V j d G l v b j E v X 2 d y Y X Z f M V 8 y M i 9 H Z c O k b m R l c n R l c i B U e X A u e 3 d v c m t f d G l t Z V 9 t Y X g s N H 0 m c X V v d D s s J n F 1 b 3 Q 7 U 2 V j d G l v b j E v X 2 d y Y X Z f M V 8 y M i 9 H Z c O k b m R l c n R l c i B U e X A u e 3 B y Z X B f d G l t Z V 9 t a W 4 s N X 0 m c X V v d D s s J n F 1 b 3 Q 7 U 2 V j d G l v b j E v X 2 d y Y X Z f M V 8 y M i 9 H Z c O k b m R l c n R l c i B U e X A u e 3 B y Z X B f d G l t Z V 9 h d m c s N n 0 m c X V v d D s s J n F 1 b 3 Q 7 U 2 V j d G l v b j E v X 2 d y Y X Z f M V 8 y M i 9 H Z c O k b m R l c n R l c i B U e X A u e 3 B y Z X B f d G l t Z V 9 t Y X g s N 3 0 m c X V v d D s s J n F 1 b 3 Q 7 U 2 V j d G l v b j E v X 2 d y Y X Z f M V 8 y M i 9 H Z c O k b m R l c n R l c i B U e X A u e 2 N v b W 1 f d G l t Z V 9 t a W 4 s O H 0 m c X V v d D s s J n F 1 b 3 Q 7 U 2 V j d G l v b j E v X 2 d y Y X Z f M V 8 y M i 9 H Z c O k b m R l c n R l c i B U e X A u e 2 N v b W 1 f d G l t Z V 9 h d m c s O X 0 m c X V v d D s s J n F 1 b 3 Q 7 U 2 V j d G l v b j E v X 2 d y Y X Z f M V 8 y M i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I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T o z N y 4 x M j Y y N z M y W i I g L z 4 8 R W 5 0 c n k g V H l w Z T 0 i R m l s b E N v b H V t b l R 5 c G V z I i B W Y W x 1 Z T 0 i c 0 F 3 T U R B d 0 1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j M v R 2 X D p G 5 k Z X J 0 Z X I g V H l w L n t z d G V w L D B 9 J n F 1 b 3 Q 7 L C Z x d W 9 0 O 1 N l Y 3 R p b 2 4 x L 1 9 n c m F 2 X z F f M j M v R 2 X D p G 5 k Z X J 0 Z X I g V H l w L n t 0 b 3 R h b F 9 0 a W 1 l L D F 9 J n F 1 b 3 Q 7 L C Z x d W 9 0 O 1 N l Y 3 R p b 2 4 x L 1 9 n c m F 2 X z F f M j M v R 2 X D p G 5 k Z X J 0 Z X I g V H l w L n t 3 b 3 J r X 3 R p b W V f b W l u L D J 9 J n F 1 b 3 Q 7 L C Z x d W 9 0 O 1 N l Y 3 R p b 2 4 x L 1 9 n c m F 2 X z F f M j M v R 2 X D p G 5 k Z X J 0 Z X I g V H l w L n t 3 b 3 J r X 3 R p b W V f Y X Z n L D N 9 J n F 1 b 3 Q 7 L C Z x d W 9 0 O 1 N l Y 3 R p b 2 4 x L 1 9 n c m F 2 X z F f M j M v R 2 X D p G 5 k Z X J 0 Z X I g V H l w L n t 3 b 3 J r X 3 R p b W V f b W F 4 L D R 9 J n F 1 b 3 Q 7 L C Z x d W 9 0 O 1 N l Y 3 R p b 2 4 x L 1 9 n c m F 2 X z F f M j M v R 2 X D p G 5 k Z X J 0 Z X I g V H l w L n t w c m V w X 3 R p b W V f b W l u L D V 9 J n F 1 b 3 Q 7 L C Z x d W 9 0 O 1 N l Y 3 R p b 2 4 x L 1 9 n c m F 2 X z F f M j M v R 2 X D p G 5 k Z X J 0 Z X I g V H l w L n t w c m V w X 3 R p b W V f Y X Z n L D Z 9 J n F 1 b 3 Q 7 L C Z x d W 9 0 O 1 N l Y 3 R p b 2 4 x L 1 9 n c m F 2 X z F f M j M v R 2 X D p G 5 k Z X J 0 Z X I g V H l w L n t w c m V w X 3 R p b W V f b W F 4 L D d 9 J n F 1 b 3 Q 7 L C Z x d W 9 0 O 1 N l Y 3 R p b 2 4 x L 1 9 n c m F 2 X z F f M j M v R 2 X D p G 5 k Z X J 0 Z X I g V H l w L n t j b 2 1 t X 3 R p b W V f b W l u L D h 9 J n F 1 b 3 Q 7 L C Z x d W 9 0 O 1 N l Y 3 R p b 2 4 x L 1 9 n c m F 2 X z F f M j M v R 2 X D p G 5 k Z X J 0 Z X I g V H l w L n t j b 2 1 t X 3 R p b W V f Y X Z n L D l 9 J n F 1 b 3 Q 7 L C Z x d W 9 0 O 1 N l Y 3 R p b 2 4 x L 1 9 n c m F 2 X z F f M j M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y M y 9 H Z c O k b m R l c n R l c i B U e X A u e 3 N 0 Z X A s M H 0 m c X V v d D s s J n F 1 b 3 Q 7 U 2 V j d G l v b j E v X 2 d y Y X Z f M V 8 y M y 9 H Z c O k b m R l c n R l c i B U e X A u e 3 R v d G F s X 3 R p b W U s M X 0 m c X V v d D s s J n F 1 b 3 Q 7 U 2 V j d G l v b j E v X 2 d y Y X Z f M V 8 y M y 9 H Z c O k b m R l c n R l c i B U e X A u e 3 d v c m t f d G l t Z V 9 t a W 4 s M n 0 m c X V v d D s s J n F 1 b 3 Q 7 U 2 V j d G l v b j E v X 2 d y Y X Z f M V 8 y M y 9 H Z c O k b m R l c n R l c i B U e X A u e 3 d v c m t f d G l t Z V 9 h d m c s M 3 0 m c X V v d D s s J n F 1 b 3 Q 7 U 2 V j d G l v b j E v X 2 d y Y X Z f M V 8 y M y 9 H Z c O k b m R l c n R l c i B U e X A u e 3 d v c m t f d G l t Z V 9 t Y X g s N H 0 m c X V v d D s s J n F 1 b 3 Q 7 U 2 V j d G l v b j E v X 2 d y Y X Z f M V 8 y M y 9 H Z c O k b m R l c n R l c i B U e X A u e 3 B y Z X B f d G l t Z V 9 t a W 4 s N X 0 m c X V v d D s s J n F 1 b 3 Q 7 U 2 V j d G l v b j E v X 2 d y Y X Z f M V 8 y M y 9 H Z c O k b m R l c n R l c i B U e X A u e 3 B y Z X B f d G l t Z V 9 h d m c s N n 0 m c X V v d D s s J n F 1 b 3 Q 7 U 2 V j d G l v b j E v X 2 d y Y X Z f M V 8 y M y 9 H Z c O k b m R l c n R l c i B U e X A u e 3 B y Z X B f d G l t Z V 9 t Y X g s N 3 0 m c X V v d D s s J n F 1 b 3 Q 7 U 2 V j d G l v b j E v X 2 d y Y X Z f M V 8 y M y 9 H Z c O k b m R l c n R l c i B U e X A u e 2 N v b W 1 f d G l t Z V 9 t a W 4 s O H 0 m c X V v d D s s J n F 1 b 3 Q 7 U 2 V j d G l v b j E v X 2 d y Y X Z f M V 8 y M y 9 H Z c O k b m R l c n R l c i B U e X A u e 2 N v b W 1 f d G l t Z V 9 h d m c s O X 0 m c X V v d D s s J n F 1 b 3 Q 7 U 2 V j d G l v b j E v X 2 d y Y X Z f M V 8 y M y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I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O F Q w N j o y N T o 0 N C 4 2 N z c 5 M T g 1 W i I g L z 4 8 R W 5 0 c n k g V H l w Z T 0 i R m l s b E N v b H V t b l R 5 c G V z I i B W Y W x 1 Z T 0 i c 0 F 3 T U R B d 0 1 G Q l F V R k J R V T 0 i I C 8 + P E V u d H J 5 I F R 5 c G U 9 I k Z p b G x D b 2 x 1 b W 5 O Y W 1 l c y I g V m F s d W U 9 I n N b J n F 1 b 3 Q 7 c 3 R l c C Z x d W 9 0 O y w m c X V v d D t 0 b 3 R h b F 9 0 a W 1 l J n F 1 b 3 Q 7 L C Z x d W 9 0 O 3 d v c m t f d G l t Z V 9 t a W 4 m c X V v d D s s J n F 1 b 3 Q 7 d 2 9 y a 1 9 0 a W 1 l X 2 F 2 Z y Z x d W 9 0 O y w m c X V v d D t 3 b 3 J r X 3 R p b W V f b W F 4 J n F 1 b 3 Q 7 L C Z x d W 9 0 O 3 B y Z X B f d G l t Z V 9 t a W 4 m c X V v d D s s J n F 1 b 3 Q 7 c H J l c F 9 0 a W 1 l X 2 F 2 Z y Z x d W 9 0 O y w m c X V v d D t w c m V w X 3 R p b W V f b W F 4 J n F 1 b 3 Q 7 L C Z x d W 9 0 O 2 N v b W 1 f d G l t Z V 9 t a W 4 m c X V v d D s s J n F 1 b 3 Q 7 Y 2 9 t b V 9 0 a W 1 l X 2 F 2 Z y Z x d W 9 0 O y w m c X V v d D t j b 2 1 t X 3 R p b W V f b W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n c m F 2 X z F f M j Q v R 2 X D p G 5 k Z X J 0 Z X I g V H l w L n t z d G V w L D B 9 J n F 1 b 3 Q 7 L C Z x d W 9 0 O 1 N l Y 3 R p b 2 4 x L 1 9 n c m F 2 X z F f M j Q v R 2 X D p G 5 k Z X J 0 Z X I g V H l w L n t 0 b 3 R h b F 9 0 a W 1 l L D F 9 J n F 1 b 3 Q 7 L C Z x d W 9 0 O 1 N l Y 3 R p b 2 4 x L 1 9 n c m F 2 X z F f M j Q v R 2 X D p G 5 k Z X J 0 Z X I g V H l w L n t 3 b 3 J r X 3 R p b W V f b W l u L D J 9 J n F 1 b 3 Q 7 L C Z x d W 9 0 O 1 N l Y 3 R p b 2 4 x L 1 9 n c m F 2 X z F f M j Q v R 2 X D p G 5 k Z X J 0 Z X I g V H l w L n t 3 b 3 J r X 3 R p b W V f Y X Z n L D N 9 J n F 1 b 3 Q 7 L C Z x d W 9 0 O 1 N l Y 3 R p b 2 4 x L 1 9 n c m F 2 X z F f M j Q v R 2 X D p G 5 k Z X J 0 Z X I g V H l w L n t 3 b 3 J r X 3 R p b W V f b W F 4 L D R 9 J n F 1 b 3 Q 7 L C Z x d W 9 0 O 1 N l Y 3 R p b 2 4 x L 1 9 n c m F 2 X z F f M j Q v R 2 X D p G 5 k Z X J 0 Z X I g V H l w L n t w c m V w X 3 R p b W V f b W l u L D V 9 J n F 1 b 3 Q 7 L C Z x d W 9 0 O 1 N l Y 3 R p b 2 4 x L 1 9 n c m F 2 X z F f M j Q v R 2 X D p G 5 k Z X J 0 Z X I g V H l w L n t w c m V w X 3 R p b W V f Y X Z n L D Z 9 J n F 1 b 3 Q 7 L C Z x d W 9 0 O 1 N l Y 3 R p b 2 4 x L 1 9 n c m F 2 X z F f M j Q v R 2 X D p G 5 k Z X J 0 Z X I g V H l w L n t w c m V w X 3 R p b W V f b W F 4 L D d 9 J n F 1 b 3 Q 7 L C Z x d W 9 0 O 1 N l Y 3 R p b 2 4 x L 1 9 n c m F 2 X z F f M j Q v R 2 X D p G 5 k Z X J 0 Z X I g V H l w L n t j b 2 1 t X 3 R p b W V f b W l u L D h 9 J n F 1 b 3 Q 7 L C Z x d W 9 0 O 1 N l Y 3 R p b 2 4 x L 1 9 n c m F 2 X z F f M j Q v R 2 X D p G 5 k Z X J 0 Z X I g V H l w L n t j b 2 1 t X 3 R p b W V f Y X Z n L D l 9 J n F 1 b 3 Q 7 L C Z x d W 9 0 O 1 N l Y 3 R p b 2 4 x L 1 9 n c m F 2 X z F f M j Q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V 8 y N C 9 H Z c O k b m R l c n R l c i B U e X A u e 3 N 0 Z X A s M H 0 m c X V v d D s s J n F 1 b 3 Q 7 U 2 V j d G l v b j E v X 2 d y Y X Z f M V 8 y N C 9 H Z c O k b m R l c n R l c i B U e X A u e 3 R v d G F s X 3 R p b W U s M X 0 m c X V v d D s s J n F 1 b 3 Q 7 U 2 V j d G l v b j E v X 2 d y Y X Z f M V 8 y N C 9 H Z c O k b m R l c n R l c i B U e X A u e 3 d v c m t f d G l t Z V 9 t a W 4 s M n 0 m c X V v d D s s J n F 1 b 3 Q 7 U 2 V j d G l v b j E v X 2 d y Y X Z f M V 8 y N C 9 H Z c O k b m R l c n R l c i B U e X A u e 3 d v c m t f d G l t Z V 9 h d m c s M 3 0 m c X V v d D s s J n F 1 b 3 Q 7 U 2 V j d G l v b j E v X 2 d y Y X Z f M V 8 y N C 9 H Z c O k b m R l c n R l c i B U e X A u e 3 d v c m t f d G l t Z V 9 t Y X g s N H 0 m c X V v d D s s J n F 1 b 3 Q 7 U 2 V j d G l v b j E v X 2 d y Y X Z f M V 8 y N C 9 H Z c O k b m R l c n R l c i B U e X A u e 3 B y Z X B f d G l t Z V 9 t a W 4 s N X 0 m c X V v d D s s J n F 1 b 3 Q 7 U 2 V j d G l v b j E v X 2 d y Y X Z f M V 8 y N C 9 H Z c O k b m R l c n R l c i B U e X A u e 3 B y Z X B f d G l t Z V 9 h d m c s N n 0 m c X V v d D s s J n F 1 b 3 Q 7 U 2 V j d G l v b j E v X 2 d y Y X Z f M V 8 y N C 9 H Z c O k b m R l c n R l c i B U e X A u e 3 B y Z X B f d G l t Z V 9 t Y X g s N 3 0 m c X V v d D s s J n F 1 b 3 Q 7 U 2 V j d G l v b j E v X 2 d y Y X Z f M V 8 y N C 9 H Z c O k b m R l c n R l c i B U e X A u e 2 N v b W 1 f d G l t Z V 9 t a W 4 s O H 0 m c X V v d D s s J n F 1 b 3 Q 7 U 2 V j d G l v b j E v X 2 d y Y X Z f M V 8 y N C 9 H Z c O k b m R l c n R l c i B U e X A u e 2 N v b W 1 f d G l t Z V 9 h d m c s O X 0 m c X V v d D s s J n F 1 b 3 Q 7 U 2 V j d G l v b j E v X 2 d y Y X Z f M V 8 y N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x X z I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F f M j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V 8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2 O j I 1 O j U x L j M 1 M T c 4 M D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V 8 y N S 9 H Z c O k b m R l c n R l c i B U e X A u e 3 N 0 Z X A s M H 0 m c X V v d D s s J n F 1 b 3 Q 7 U 2 V j d G l v b j E v X 2 d y Y X Z f M V 8 y N S 9 H Z c O k b m R l c n R l c i B U e X A u e 3 R v d G F s X 3 R p b W U s M X 0 m c X V v d D s s J n F 1 b 3 Q 7 U 2 V j d G l v b j E v X 2 d y Y X Z f M V 8 y N S 9 H Z c O k b m R l c n R l c i B U e X A u e 3 d v c m t f d G l t Z V 9 t a W 4 s M n 0 m c X V v d D s s J n F 1 b 3 Q 7 U 2 V j d G l v b j E v X 2 d y Y X Z f M V 8 y N S 9 H Z c O k b m R l c n R l c i B U e X A u e 3 d v c m t f d G l t Z V 9 h d m c s M 3 0 m c X V v d D s s J n F 1 b 3 Q 7 U 2 V j d G l v b j E v X 2 d y Y X Z f M V 8 y N S 9 H Z c O k b m R l c n R l c i B U e X A u e 3 d v c m t f d G l t Z V 9 t Y X g s N H 0 m c X V v d D s s J n F 1 b 3 Q 7 U 2 V j d G l v b j E v X 2 d y Y X Z f M V 8 y N S 9 H Z c O k b m R l c n R l c i B U e X A u e 3 B y Z X B f d G l t Z V 9 t a W 4 s N X 0 m c X V v d D s s J n F 1 b 3 Q 7 U 2 V j d G l v b j E v X 2 d y Y X Z f M V 8 y N S 9 H Z c O k b m R l c n R l c i B U e X A u e 3 B y Z X B f d G l t Z V 9 h d m c s N n 0 m c X V v d D s s J n F 1 b 3 Q 7 U 2 V j d G l v b j E v X 2 d y Y X Z f M V 8 y N S 9 H Z c O k b m R l c n R l c i B U e X A u e 3 B y Z X B f d G l t Z V 9 t Y X g s N 3 0 m c X V v d D s s J n F 1 b 3 Q 7 U 2 V j d G l v b j E v X 2 d y Y X Z f M V 8 y N S 9 H Z c O k b m R l c n R l c i B U e X A u e 2 N v b W 1 f d G l t Z V 9 t a W 4 s O H 0 m c X V v d D s s J n F 1 b 3 Q 7 U 2 V j d G l v b j E v X 2 d y Y X Z f M V 8 y N S 9 H Z c O k b m R l c n R l c i B U e X A u e 2 N v b W 1 f d G l t Z V 9 h d m c s O X 0 m c X V v d D s s J n F 1 b 3 Q 7 U 2 V j d G l v b j E v X 2 d y Y X Z f M V 8 y N S 9 H Z c O k b m R l c n R l c i B U e X A u e 2 N v b W 1 f d G l t Z V 9 t Y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f Z 3 J h d l 8 x X z I 1 L 0 d l w 6 R u Z G V y d G V y I F R 5 c C 5 7 c 3 R l c C w w f S Z x d W 9 0 O y w m c X V v d D t T Z W N 0 a W 9 u M S 9 f Z 3 J h d l 8 x X z I 1 L 0 d l w 6 R u Z G V y d G V y I F R 5 c C 5 7 d G 9 0 Y W x f d G l t Z S w x f S Z x d W 9 0 O y w m c X V v d D t T Z W N 0 a W 9 u M S 9 f Z 3 J h d l 8 x X z I 1 L 0 d l w 6 R u Z G V y d G V y I F R 5 c C 5 7 d 2 9 y a 1 9 0 a W 1 l X 2 1 p b i w y f S Z x d W 9 0 O y w m c X V v d D t T Z W N 0 a W 9 u M S 9 f Z 3 J h d l 8 x X z I 1 L 0 d l w 6 R u Z G V y d G V y I F R 5 c C 5 7 d 2 9 y a 1 9 0 a W 1 l X 2 F 2 Z y w z f S Z x d W 9 0 O y w m c X V v d D t T Z W N 0 a W 9 u M S 9 f Z 3 J h d l 8 x X z I 1 L 0 d l w 6 R u Z G V y d G V y I F R 5 c C 5 7 d 2 9 y a 1 9 0 a W 1 l X 2 1 h e C w 0 f S Z x d W 9 0 O y w m c X V v d D t T Z W N 0 a W 9 u M S 9 f Z 3 J h d l 8 x X z I 1 L 0 d l w 6 R u Z G V y d G V y I F R 5 c C 5 7 c H J l c F 9 0 a W 1 l X 2 1 p b i w 1 f S Z x d W 9 0 O y w m c X V v d D t T Z W N 0 a W 9 u M S 9 f Z 3 J h d l 8 x X z I 1 L 0 d l w 6 R u Z G V y d G V y I F R 5 c C 5 7 c H J l c F 9 0 a W 1 l X 2 F 2 Z y w 2 f S Z x d W 9 0 O y w m c X V v d D t T Z W N 0 a W 9 u M S 9 f Z 3 J h d l 8 x X z I 1 L 0 d l w 6 R u Z G V y d G V y I F R 5 c C 5 7 c H J l c F 9 0 a W 1 l X 2 1 h e C w 3 f S Z x d W 9 0 O y w m c X V v d D t T Z W N 0 a W 9 u M S 9 f Z 3 J h d l 8 x X z I 1 L 0 d l w 6 R u Z G V y d G V y I F R 5 c C 5 7 Y 2 9 t b V 9 0 a W 1 l X 2 1 p b i w 4 f S Z x d W 9 0 O y w m c X V v d D t T Z W N 0 a W 9 u M S 9 f Z 3 J h d l 8 x X z I 1 L 0 d l w 6 R u Z G V y d G V y I F R 5 c C 5 7 Y 2 9 t b V 9 0 a W 1 l X 2 F 2 Z y w 5 f S Z x d W 9 0 O y w m c X V v d D t T Z W N 0 a W 9 u M S 9 f Z 3 J h d l 8 x X z I 1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F f M j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d y Y X Z f M V 8 y N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x X z I 1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P a R / 7 g / H T I j 3 h H 1 V z 4 B F A A A A A A I A A A A A A B B m A A A A A Q A A I A A A A M s 2 W 0 N O s q I u B I i H 9 C B X z x u l a R l F H / u + P 3 o l w X w 4 U k s x A A A A A A 6 A A A A A A g A A I A A A A K 9 V Y U C j x H a Y E a F W 5 o N Q u w Z K X 9 o r D R b c B R M x m T 0 6 X a h g U A A A A J 1 x 6 s M D m o N 2 U M d e U N + W 2 U e X r u u A 5 Y Y q + l I Q U 7 E J a G 9 i m Z W u P G K 9 I u y y b D P b L W X g B E 7 H Y 0 g W x h n B o r o i g / s 9 l B z V W Y P o F 7 7 0 L P H m W Q O 4 e c K b Q A A A A G o r g U 1 M f x j t E k w K 6 / b z E b 5 g k d t r H 2 I l a h f c c I g p B L V R Q H I m w W j F D Q J + U P 9 7 o R 9 x s Y / l F m k T v D R A n Q x O 1 N V + d P Q = < / D a t a M a s h u p > 
</file>

<file path=customXml/itemProps1.xml><?xml version="1.0" encoding="utf-8"?>
<ds:datastoreItem xmlns:ds="http://schemas.openxmlformats.org/officeDocument/2006/customXml" ds:itemID="{78C068D1-3E75-4448-A09F-A128EF04CB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25</vt:lpstr>
      <vt:lpstr>24</vt:lpstr>
      <vt:lpstr>23</vt:lpstr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2018-06-08T06:23:02Z</dcterms:created>
  <dcterms:modified xsi:type="dcterms:W3CDTF">2018-06-08T06:39:44Z</dcterms:modified>
</cp:coreProperties>
</file>