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Dokumente\_Eigene Dateien\Uni\Masterarbeit\results\"/>
    </mc:Choice>
  </mc:AlternateContent>
  <xr:revisionPtr revIDLastSave="0" documentId="13_ncr:1_{C9AE3C3E-FF31-4594-9011-086D9AEF149E}" xr6:coauthVersionLast="34" xr6:coauthVersionMax="34" xr10:uidLastSave="{00000000-0000-0000-0000-000000000000}"/>
  <bookViews>
    <workbookView xWindow="0" yWindow="0" windowWidth="28800" windowHeight="12810" activeTab="14" xr2:uid="{D8127D92-360B-4A22-921D-A15BFAC3923C}"/>
  </bookViews>
  <sheets>
    <sheet name="23" sheetId="15" r:id="rId1"/>
    <sheet name="22" sheetId="14" r:id="rId2"/>
    <sheet name="21" sheetId="13" r:id="rId3"/>
    <sheet name="20" sheetId="12" r:id="rId4"/>
    <sheet name="19" sheetId="11" r:id="rId5"/>
    <sheet name="18" sheetId="10" r:id="rId6"/>
    <sheet name="17" sheetId="9" r:id="rId7"/>
    <sheet name="16" sheetId="8" r:id="rId8"/>
    <sheet name="15" sheetId="7" r:id="rId9"/>
    <sheet name="14" sheetId="6" r:id="rId10"/>
    <sheet name="13" sheetId="5" r:id="rId11"/>
    <sheet name="12" sheetId="4" r:id="rId12"/>
    <sheet name="11" sheetId="3" r:id="rId13"/>
    <sheet name="10" sheetId="2" r:id="rId14"/>
    <sheet name="Tabelle1" sheetId="1" r:id="rId15"/>
  </sheets>
  <definedNames>
    <definedName name="ExterneDaten_1" localSheetId="13" hidden="1">'10'!$A$1:$L$11</definedName>
    <definedName name="ExterneDaten_10" localSheetId="4" hidden="1">'19'!$A$1:$L$11</definedName>
    <definedName name="ExterneDaten_11" localSheetId="3" hidden="1">'20'!$A$1:$L$11</definedName>
    <definedName name="ExterneDaten_12" localSheetId="2" hidden="1">'21'!$A$1:$L$10</definedName>
    <definedName name="ExterneDaten_13" localSheetId="1" hidden="1">'22'!$A$1:$L$11</definedName>
    <definedName name="ExterneDaten_14" localSheetId="0" hidden="1">'23'!$A$1:$L$11</definedName>
    <definedName name="ExterneDaten_2" localSheetId="12" hidden="1">'11'!$A$1:$L$11</definedName>
    <definedName name="ExterneDaten_3" localSheetId="11" hidden="1">'12'!$A$1:$L$11</definedName>
    <definedName name="ExterneDaten_4" localSheetId="10" hidden="1">'13'!$A$1:$L$11</definedName>
    <definedName name="ExterneDaten_5" localSheetId="9" hidden="1">'14'!$A$1:$L$11</definedName>
    <definedName name="ExterneDaten_6" localSheetId="8" hidden="1">'15'!$A$1:$L$11</definedName>
    <definedName name="ExterneDaten_7" localSheetId="7" hidden="1">'16'!$A$1:$L$11</definedName>
    <definedName name="ExterneDaten_8" localSheetId="6" hidden="1">'17'!$A$1:$L$11</definedName>
    <definedName name="ExterneDaten_9" localSheetId="5" hidden="1">'18'!$A$1:$L$11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0" i="1" s="1"/>
  <c r="H10" i="1" s="1"/>
  <c r="C12" i="10"/>
  <c r="D12" i="10"/>
  <c r="E12" i="10"/>
  <c r="F12" i="10"/>
  <c r="G12" i="10"/>
  <c r="D10" i="1" s="1"/>
  <c r="H12" i="10"/>
  <c r="I12" i="10"/>
  <c r="J12" i="10"/>
  <c r="E10" i="1" s="1"/>
  <c r="K12" i="10"/>
  <c r="L12" i="10"/>
  <c r="E15" i="1"/>
  <c r="D15" i="1"/>
  <c r="C15" i="1"/>
  <c r="B15" i="1"/>
  <c r="H15" i="1" s="1"/>
  <c r="E14" i="1"/>
  <c r="D14" i="1"/>
  <c r="C14" i="1"/>
  <c r="B14" i="1"/>
  <c r="H14" i="1" s="1"/>
  <c r="E12" i="1"/>
  <c r="D12" i="1"/>
  <c r="C12" i="1"/>
  <c r="B12" i="1"/>
  <c r="E11" i="1"/>
  <c r="D11" i="1"/>
  <c r="C11" i="1"/>
  <c r="B11" i="1"/>
  <c r="C10" i="1"/>
  <c r="E9" i="1"/>
  <c r="D9" i="1"/>
  <c r="C9" i="1"/>
  <c r="B9" i="1"/>
  <c r="H9" i="1" s="1"/>
  <c r="E8" i="1"/>
  <c r="D8" i="1"/>
  <c r="C8" i="1"/>
  <c r="B8" i="1"/>
  <c r="G8" i="1" s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H3" i="1" s="1"/>
  <c r="E2" i="1"/>
  <c r="D2" i="1"/>
  <c r="C2" i="1"/>
  <c r="B2" i="1"/>
  <c r="H2" i="1" s="1"/>
  <c r="H6" i="1"/>
  <c r="A17" i="1"/>
  <c r="A16" i="1"/>
  <c r="A15" i="1"/>
  <c r="A14" i="1"/>
  <c r="A13" i="1"/>
  <c r="A12" i="1"/>
  <c r="H11" i="1"/>
  <c r="A11" i="1"/>
  <c r="A10" i="1"/>
  <c r="A9" i="1"/>
  <c r="A8" i="1"/>
  <c r="H7" i="1"/>
  <c r="A7" i="1"/>
  <c r="A6" i="1"/>
  <c r="H5" i="1"/>
  <c r="A5" i="1"/>
  <c r="A4" i="1"/>
  <c r="A3" i="1"/>
  <c r="A2" i="1"/>
  <c r="G15" i="1" l="1"/>
  <c r="G10" i="1"/>
  <c r="H12" i="1"/>
  <c r="H4" i="1"/>
  <c r="G7" i="1"/>
  <c r="H8" i="1"/>
  <c r="G6" i="1"/>
  <c r="G5" i="1"/>
  <c r="G4" i="1"/>
  <c r="G12" i="1"/>
  <c r="G3" i="1"/>
  <c r="G11" i="1"/>
  <c r="G9" i="1"/>
  <c r="B12" i="2"/>
  <c r="C12" i="2"/>
  <c r="D12" i="2"/>
  <c r="E12" i="2"/>
  <c r="F12" i="2"/>
  <c r="G12" i="2"/>
  <c r="H12" i="2"/>
  <c r="I12" i="2"/>
  <c r="J12" i="2"/>
  <c r="K12" i="2"/>
  <c r="L12" i="2"/>
  <c r="B12" i="3"/>
  <c r="C12" i="3"/>
  <c r="D12" i="3"/>
  <c r="E12" i="3"/>
  <c r="F12" i="3"/>
  <c r="G12" i="3"/>
  <c r="H12" i="3"/>
  <c r="I12" i="3"/>
  <c r="J12" i="3"/>
  <c r="K12" i="3"/>
  <c r="L12" i="3"/>
  <c r="B12" i="4"/>
  <c r="C12" i="4"/>
  <c r="D12" i="4"/>
  <c r="E12" i="4"/>
  <c r="F12" i="4"/>
  <c r="G12" i="4"/>
  <c r="H12" i="4"/>
  <c r="I12" i="4"/>
  <c r="J12" i="4"/>
  <c r="K12" i="4"/>
  <c r="L12" i="4"/>
  <c r="B12" i="5"/>
  <c r="C12" i="5"/>
  <c r="D12" i="5"/>
  <c r="E12" i="5"/>
  <c r="F12" i="5"/>
  <c r="G12" i="5"/>
  <c r="H12" i="5"/>
  <c r="I12" i="5"/>
  <c r="J12" i="5"/>
  <c r="K12" i="5"/>
  <c r="L12" i="5"/>
  <c r="B12" i="6"/>
  <c r="C12" i="6"/>
  <c r="D12" i="6"/>
  <c r="E12" i="6"/>
  <c r="F12" i="6"/>
  <c r="G12" i="6"/>
  <c r="H12" i="6"/>
  <c r="I12" i="6"/>
  <c r="J12" i="6"/>
  <c r="K12" i="6"/>
  <c r="L12" i="6"/>
  <c r="B12" i="7"/>
  <c r="C12" i="7"/>
  <c r="D12" i="7"/>
  <c r="E12" i="7"/>
  <c r="F12" i="7"/>
  <c r="G12" i="7"/>
  <c r="H12" i="7"/>
  <c r="I12" i="7"/>
  <c r="J12" i="7"/>
  <c r="K12" i="7"/>
  <c r="L12" i="7"/>
  <c r="B12" i="8"/>
  <c r="C12" i="8"/>
  <c r="D12" i="8"/>
  <c r="E12" i="8"/>
  <c r="F12" i="8"/>
  <c r="G12" i="8"/>
  <c r="H12" i="8"/>
  <c r="I12" i="8"/>
  <c r="J12" i="8"/>
  <c r="K12" i="8"/>
  <c r="L12" i="8"/>
  <c r="B12" i="9"/>
  <c r="C12" i="9"/>
  <c r="D12" i="9"/>
  <c r="E12" i="9"/>
  <c r="F12" i="9"/>
  <c r="G12" i="9"/>
  <c r="H12" i="9"/>
  <c r="I12" i="9"/>
  <c r="J12" i="9"/>
  <c r="K12" i="9"/>
  <c r="L12" i="9"/>
  <c r="B12" i="11"/>
  <c r="C12" i="11"/>
  <c r="D12" i="11"/>
  <c r="E12" i="11"/>
  <c r="F12" i="11"/>
  <c r="G12" i="11"/>
  <c r="H12" i="11"/>
  <c r="I12" i="11"/>
  <c r="J12" i="11"/>
  <c r="K12" i="11"/>
  <c r="L12" i="11"/>
  <c r="B12" i="12"/>
  <c r="C12" i="12"/>
  <c r="D12" i="12"/>
  <c r="E12" i="12"/>
  <c r="F12" i="12"/>
  <c r="G12" i="12"/>
  <c r="H12" i="12"/>
  <c r="I12" i="12"/>
  <c r="J12" i="12"/>
  <c r="K12" i="12"/>
  <c r="L12" i="12"/>
  <c r="B11" i="13"/>
  <c r="B13" i="1" s="1"/>
  <c r="H13" i="1" s="1"/>
  <c r="C11" i="13"/>
  <c r="D11" i="13"/>
  <c r="C13" i="1" s="1"/>
  <c r="E11" i="13"/>
  <c r="F11" i="13"/>
  <c r="G11" i="13"/>
  <c r="D13" i="1" s="1"/>
  <c r="H11" i="13"/>
  <c r="I11" i="13"/>
  <c r="J11" i="13"/>
  <c r="E13" i="1" s="1"/>
  <c r="K11" i="13"/>
  <c r="L11" i="13"/>
  <c r="B12" i="14"/>
  <c r="C12" i="14"/>
  <c r="D12" i="14"/>
  <c r="E12" i="14"/>
  <c r="F12" i="14"/>
  <c r="G12" i="14"/>
  <c r="H12" i="14"/>
  <c r="I12" i="14"/>
  <c r="J12" i="14"/>
  <c r="K12" i="14"/>
  <c r="L12" i="14"/>
  <c r="B12" i="15"/>
  <c r="C12" i="15"/>
  <c r="D12" i="15"/>
  <c r="E12" i="15"/>
  <c r="F12" i="15"/>
  <c r="G12" i="15"/>
  <c r="H12" i="15"/>
  <c r="I12" i="15"/>
  <c r="J12" i="15"/>
  <c r="K12" i="15"/>
  <c r="L12" i="15"/>
  <c r="G14" i="1" l="1"/>
  <c r="G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1E017-0E96-4BA0-BC75-39F2B54F198B}" keepAlive="1" name="Abfrage - _grav_32_10" description="Verbindung mit der Abfrage '_grav_32_10' in der Arbeitsmappe." type="5" refreshedVersion="6" background="1" saveData="1">
    <dbPr connection="Provider=Microsoft.Mashup.OleDb.1;Data Source=$Workbook$;Location=_grav_32_10;Extended Properties=&quot;&quot;" command="SELECT * FROM [_grav_32_10]"/>
  </connection>
  <connection id="2" xr16:uid="{F6154B20-591E-4139-89FD-41A323CBCE60}" keepAlive="1" name="Abfrage - _grav_32_11" description="Verbindung mit der Abfrage '_grav_32_11' in der Arbeitsmappe." type="5" refreshedVersion="6" background="1" saveData="1">
    <dbPr connection="Provider=Microsoft.Mashup.OleDb.1;Data Source=$Workbook$;Location=_grav_32_11;Extended Properties=&quot;&quot;" command="SELECT * FROM [_grav_32_11]"/>
  </connection>
  <connection id="3" xr16:uid="{21E28F4E-FE69-41C7-8E90-9F2C4304CDE0}" keepAlive="1" name="Abfrage - _grav_32_12" description="Verbindung mit der Abfrage '_grav_32_12' in der Arbeitsmappe." type="5" refreshedVersion="6" background="1" saveData="1">
    <dbPr connection="Provider=Microsoft.Mashup.OleDb.1;Data Source=$Workbook$;Location=_grav_32_12;Extended Properties=&quot;&quot;" command="SELECT * FROM [_grav_32_12]"/>
  </connection>
  <connection id="4" xr16:uid="{29BC4594-793C-4F94-B3AF-0C06809AD186}" keepAlive="1" name="Abfrage - _grav_32_13" description="Verbindung mit der Abfrage '_grav_32_13' in der Arbeitsmappe." type="5" refreshedVersion="6" background="1" saveData="1">
    <dbPr connection="Provider=Microsoft.Mashup.OleDb.1;Data Source=$Workbook$;Location=_grav_32_13;Extended Properties=&quot;&quot;" command="SELECT * FROM [_grav_32_13]"/>
  </connection>
  <connection id="5" xr16:uid="{FBD86EDB-7D1A-4011-A363-FF1A83732FD5}" keepAlive="1" name="Abfrage - _grav_32_14" description="Verbindung mit der Abfrage '_grav_32_14' in der Arbeitsmappe." type="5" refreshedVersion="6" background="1" saveData="1">
    <dbPr connection="Provider=Microsoft.Mashup.OleDb.1;Data Source=$Workbook$;Location=_grav_32_14;Extended Properties=&quot;&quot;" command="SELECT * FROM [_grav_32_14]"/>
  </connection>
  <connection id="6" xr16:uid="{5DFD8BAF-BC04-4EF0-A4A8-C88C5897EE44}" keepAlive="1" name="Abfrage - _grav_32_15" description="Verbindung mit der Abfrage '_grav_32_15' in der Arbeitsmappe." type="5" refreshedVersion="6" background="1" saveData="1">
    <dbPr connection="Provider=Microsoft.Mashup.OleDb.1;Data Source=$Workbook$;Location=_grav_32_15;Extended Properties=&quot;&quot;" command="SELECT * FROM [_grav_32_15]"/>
  </connection>
  <connection id="7" xr16:uid="{402BDF3D-4334-45F1-B44B-7CA5A72FBAD5}" keepAlive="1" name="Abfrage - _grav_32_16" description="Verbindung mit der Abfrage '_grav_32_16' in der Arbeitsmappe." type="5" refreshedVersion="6" background="1" saveData="1">
    <dbPr connection="Provider=Microsoft.Mashup.OleDb.1;Data Source=$Workbook$;Location=_grav_32_16;Extended Properties=&quot;&quot;" command="SELECT * FROM [_grav_32_16]"/>
  </connection>
  <connection id="8" xr16:uid="{737558FC-75EC-46A3-8DCA-C29382452603}" keepAlive="1" name="Abfrage - _grav_32_17" description="Verbindung mit der Abfrage '_grav_32_17' in der Arbeitsmappe." type="5" refreshedVersion="6" background="1" saveData="1">
    <dbPr connection="Provider=Microsoft.Mashup.OleDb.1;Data Source=$Workbook$;Location=_grav_32_17;Extended Properties=&quot;&quot;" command="SELECT * FROM [_grav_32_17]"/>
  </connection>
  <connection id="9" xr16:uid="{5AAC6581-0CF0-4263-99FA-74F81AD065F5}" keepAlive="1" name="Abfrage - _grav_32_18" description="Verbindung mit der Abfrage '_grav_32_18' in der Arbeitsmappe." type="5" refreshedVersion="6" background="1" saveData="1">
    <dbPr connection="Provider=Microsoft.Mashup.OleDb.1;Data Source=$Workbook$;Location=_grav_32_18;Extended Properties=&quot;&quot;" command="SELECT * FROM [_grav_32_18]"/>
  </connection>
  <connection id="10" xr16:uid="{A6DD5B39-E7AA-4975-B534-256ED97256E6}" keepAlive="1" name="Abfrage - _grav_32_19" description="Verbindung mit der Abfrage '_grav_32_19' in der Arbeitsmappe." type="5" refreshedVersion="6" background="1" saveData="1">
    <dbPr connection="Provider=Microsoft.Mashup.OleDb.1;Data Source=$Workbook$;Location=_grav_32_19;Extended Properties=&quot;&quot;" command="SELECT * FROM [_grav_32_19]"/>
  </connection>
  <connection id="11" xr16:uid="{1B6B99C3-5D73-40F5-976E-E38D88D84341}" keepAlive="1" name="Abfrage - _grav_32_20" description="Verbindung mit der Abfrage '_grav_32_20' in der Arbeitsmappe." type="5" refreshedVersion="6" background="1" saveData="1">
    <dbPr connection="Provider=Microsoft.Mashup.OleDb.1;Data Source=$Workbook$;Location=_grav_32_20;Extended Properties=&quot;&quot;" command="SELECT * FROM [_grav_32_20]"/>
  </connection>
  <connection id="12" xr16:uid="{77801594-9CCC-4A0B-BAA0-027CBA53C29D}" keepAlive="1" name="Abfrage - _grav_32_21" description="Verbindung mit der Abfrage '_grav_32_21' in der Arbeitsmappe." type="5" refreshedVersion="6" background="1" saveData="1">
    <dbPr connection="Provider=Microsoft.Mashup.OleDb.1;Data Source=$Workbook$;Location=_grav_32_21;Extended Properties=&quot;&quot;" command="SELECT * FROM [_grav_32_21]"/>
  </connection>
  <connection id="13" xr16:uid="{9DC17940-535C-44FF-BCEA-581CF8B87354}" keepAlive="1" name="Abfrage - _grav_32_22" description="Verbindung mit der Abfrage '_grav_32_22' in der Arbeitsmappe." type="5" refreshedVersion="6" background="1" saveData="1">
    <dbPr connection="Provider=Microsoft.Mashup.OleDb.1;Data Source=$Workbook$;Location=_grav_32_22;Extended Properties=&quot;&quot;" command="SELECT * FROM [_grav_32_22]"/>
  </connection>
  <connection id="14" xr16:uid="{BB747A6D-CF9B-48FB-9DED-2CB3FB72F603}" keepAlive="1" name="Abfrage - _grav_32_23" description="Verbindung mit der Abfrage '_grav_32_23' in der Arbeitsmappe." type="5" refreshedVersion="6" background="1" saveData="1">
    <dbPr connection="Provider=Microsoft.Mashup.OleDb.1;Data Source=$Workbook$;Location=_grav_32_23;Extended Properties=&quot;&quot;" command="SELECT * FROM [_grav_32_23]"/>
  </connection>
</connections>
</file>

<file path=xl/sharedStrings.xml><?xml version="1.0" encoding="utf-8"?>
<sst xmlns="http://schemas.openxmlformats.org/spreadsheetml/2006/main" count="190" uniqueCount="21">
  <si>
    <t>step</t>
  </si>
  <si>
    <t>total_time</t>
  </si>
  <si>
    <t>work_time_min</t>
  </si>
  <si>
    <t>work_time_avg</t>
  </si>
  <si>
    <t>work_time_max</t>
  </si>
  <si>
    <t>prep_time_min</t>
  </si>
  <si>
    <t>prep_time_avg</t>
  </si>
  <si>
    <t>prep_time_max</t>
  </si>
  <si>
    <t>comm_time_min</t>
  </si>
  <si>
    <t>comm_time_avg</t>
  </si>
  <si>
    <t>comm_time_max</t>
  </si>
  <si>
    <t>max_alloced</t>
  </si>
  <si>
    <t>Ergebnis</t>
  </si>
  <si>
    <t># Elemente</t>
  </si>
  <si>
    <t>Zeit</t>
  </si>
  <si>
    <t>Arbeitszeit</t>
  </si>
  <si>
    <t>Prepzeit</t>
  </si>
  <si>
    <t>Commzeit</t>
  </si>
  <si>
    <t>Wachstum</t>
  </si>
  <si>
    <t>Zeit pro Element</t>
  </si>
  <si>
    <t>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</si>
</sst>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Standard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9" tint="0.39997558519241921"/>
        </left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theme="9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4" xr16:uid="{5DC521DD-3F35-42E7-849A-6D6D161D4997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C679A902-5AD1-4FCC-AEB4-7248D97DF61B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47073470-64C6-43CC-B682-618E3DF9907D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5AA41AFA-A4AA-40D9-92C8-64BEB22D793F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8E876DA7-75D7-4260-BC07-2FCDF8080191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4FC7D3E-7DF8-4A1E-9C9F-CAAB690CAD7A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13" xr16:uid="{BD1A690D-DE7F-4C6F-BC77-1D342DF7757B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12" xr16:uid="{220DCFAB-DF38-4864-8283-7F91DCA2E50B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11" xr16:uid="{74DF864C-38B9-4164-90CE-43C40A798C03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0" xr16:uid="{67F66761-E075-48AB-A69E-384A53BBA66D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FB1C83CD-9E26-4ABC-AF08-1F817D94D434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8" xr16:uid="{CDD6CBAC-D173-48FD-A846-0B37575D268A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A16ADAF1-6280-4A6D-B26E-2275A5C504B9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F50B8AD1-085A-4556-8902-D442E42E7CBA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  <queryTableField id="12" name="max_alloc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2047D-6D8F-4454-BA0D-B3FF228C985E}" name="_grav_32_23" displayName="_grav_32_23" ref="A1:L12" tableType="queryTable" totalsRowCount="1">
  <autoFilter ref="A1:L11" xr:uid="{98C8599D-0A5F-4018-98CB-875125930EDD}"/>
  <tableColumns count="12">
    <tableColumn id="1" xr3:uid="{1BD9A9C4-DAA1-4B3D-8DC4-CAE052E33901}" uniqueName="1" name="step" totalsRowLabel="Ergebnis" queryTableFieldId="1"/>
    <tableColumn id="2" xr3:uid="{78DB39CE-C61E-4267-B0F2-9E3D4B274392}" uniqueName="2" name="total_time" totalsRowFunction="average" queryTableFieldId="2"/>
    <tableColumn id="3" xr3:uid="{5D549E1B-AAE6-4B5C-9C92-4C622C3239BF}" uniqueName="3" name="work_time_min" totalsRowFunction="average" queryTableFieldId="3"/>
    <tableColumn id="4" xr3:uid="{38B4EAF9-5AB1-4087-AF7F-029F754A4C7C}" uniqueName="4" name="work_time_avg" totalsRowFunction="average" queryTableFieldId="4"/>
    <tableColumn id="5" xr3:uid="{72DC43AB-38D8-45A0-8EFB-DB791AB890BF}" uniqueName="5" name="work_time_max" totalsRowFunction="average" queryTableFieldId="5"/>
    <tableColumn id="6" xr3:uid="{B670F420-3977-4441-8FEB-3051FFFD6FBE}" uniqueName="6" name="prep_time_min" totalsRowFunction="average" queryTableFieldId="6"/>
    <tableColumn id="7" xr3:uid="{6F141275-4CC9-4189-98D7-2BCAAE0AC96B}" uniqueName="7" name="prep_time_avg" totalsRowFunction="average" queryTableFieldId="7"/>
    <tableColumn id="8" xr3:uid="{D4A685B0-E1AA-47C7-812C-39994E918F63}" uniqueName="8" name="prep_time_max" totalsRowFunction="average" queryTableFieldId="8"/>
    <tableColumn id="9" xr3:uid="{03BA41AC-A0B9-4E4D-A84A-98A66B76273F}" uniqueName="9" name="comm_time_min" totalsRowFunction="average" queryTableFieldId="9"/>
    <tableColumn id="10" xr3:uid="{280D5F7B-DF66-4348-960F-74AFEC7F1CF2}" uniqueName="10" name="comm_time_avg" totalsRowFunction="average" queryTableFieldId="10"/>
    <tableColumn id="11" xr3:uid="{34FC5FE9-63BE-4B9E-83F2-0726C646F3AB}" uniqueName="11" name="comm_time_max" totalsRowFunction="average" queryTableFieldId="11"/>
    <tableColumn id="12" xr3:uid="{5952A2ED-3CCF-4118-A230-342F299D51B1}" uniqueName="12" name="max_alloced" totalsRowFunction="average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AC6A82-E25E-44B7-A579-FEA46D93CFCE}" name="_grav_32_14" displayName="_grav_32_14" ref="A1:L12" tableType="queryTable" totalsRowCount="1">
  <autoFilter ref="A1:L11" xr:uid="{82204A90-83CA-4E3B-A71B-D6AECC98CDCF}"/>
  <tableColumns count="12">
    <tableColumn id="1" xr3:uid="{FD7BCF35-D8ED-400A-8A0C-736533CD6F79}" uniqueName="1" name="step" totalsRowLabel="Ergebnis" queryTableFieldId="1"/>
    <tableColumn id="2" xr3:uid="{79D2ED80-DD3A-45F7-AE19-78C2C522293F}" uniqueName="2" name="total_time" totalsRowFunction="average" queryTableFieldId="2"/>
    <tableColumn id="3" xr3:uid="{1944BF0A-047A-4AC8-A290-4B874236BC97}" uniqueName="3" name="work_time_min" totalsRowFunction="average" queryTableFieldId="3"/>
    <tableColumn id="4" xr3:uid="{82A57DCD-BC88-46E7-ACED-BC93FF85CB8B}" uniqueName="4" name="work_time_avg" totalsRowFunction="average" queryTableFieldId="4"/>
    <tableColumn id="5" xr3:uid="{3F47209F-5A29-421D-917C-54D10E83DED9}" uniqueName="5" name="work_time_max" totalsRowFunction="average" queryTableFieldId="5"/>
    <tableColumn id="6" xr3:uid="{C1B97AF6-7998-484C-8447-487610BCF8E5}" uniqueName="6" name="prep_time_min" totalsRowFunction="average" queryTableFieldId="6"/>
    <tableColumn id="7" xr3:uid="{0F52A6B1-F3D9-43FA-B3DA-743675B389EF}" uniqueName="7" name="prep_time_avg" totalsRowFunction="average" queryTableFieldId="7"/>
    <tableColumn id="8" xr3:uid="{67C16D50-177C-44F2-94D9-7D18A7119028}" uniqueName="8" name="prep_time_max" totalsRowFunction="average" queryTableFieldId="8"/>
    <tableColumn id="9" xr3:uid="{BCED5951-2FC9-4FC7-8AF2-A010B5385E9F}" uniqueName="9" name="comm_time_min" totalsRowFunction="average" queryTableFieldId="9"/>
    <tableColumn id="10" xr3:uid="{E717A8C7-7C05-4760-A5DE-BDD4DF888B7F}" uniqueName="10" name="comm_time_avg" totalsRowFunction="average" queryTableFieldId="10"/>
    <tableColumn id="11" xr3:uid="{34F42856-DF7B-4891-B651-8CD94B04C563}" uniqueName="11" name="comm_time_max" totalsRowFunction="average" queryTableFieldId="11"/>
    <tableColumn id="12" xr3:uid="{BBDB42C9-4A6D-4897-8A90-B39D72D0E354}" uniqueName="12" name="max_alloced" totalsRowFunction="average" queryTableField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962084-ADF5-4A01-A9D2-DA47FE01D897}" name="_grav_32_13" displayName="_grav_32_13" ref="A1:L12" tableType="queryTable" totalsRowCount="1">
  <autoFilter ref="A1:L11" xr:uid="{FD1E08CB-B885-4F63-BF8A-D49C00EB1F8B}"/>
  <tableColumns count="12">
    <tableColumn id="1" xr3:uid="{1A8A97FE-59C4-411F-84FE-FBF4A3CA1105}" uniqueName="1" name="step" totalsRowLabel="Ergebnis" queryTableFieldId="1"/>
    <tableColumn id="2" xr3:uid="{BD4238B9-2FBD-4848-B098-5008D219DBB0}" uniqueName="2" name="total_time" totalsRowFunction="average" queryTableFieldId="2"/>
    <tableColumn id="3" xr3:uid="{1142C38B-34FD-47E7-806F-68727F5F380A}" uniqueName="3" name="work_time_min" totalsRowFunction="average" queryTableFieldId="3"/>
    <tableColumn id="4" xr3:uid="{BDC599F0-847B-4CA5-A3C0-FDCD66357721}" uniqueName="4" name="work_time_avg" totalsRowFunction="average" queryTableFieldId="4"/>
    <tableColumn id="5" xr3:uid="{F42B2F05-7C76-45DF-9405-D96A009A8152}" uniqueName="5" name="work_time_max" totalsRowFunction="average" queryTableFieldId="5"/>
    <tableColumn id="6" xr3:uid="{FAE6ECD5-A71D-431F-B876-F3132F12DB00}" uniqueName="6" name="prep_time_min" totalsRowFunction="average" queryTableFieldId="6"/>
    <tableColumn id="7" xr3:uid="{3D01735F-E36B-4250-A736-C814763881F2}" uniqueName="7" name="prep_time_avg" totalsRowFunction="average" queryTableFieldId="7"/>
    <tableColumn id="8" xr3:uid="{9D581672-D3A2-465E-B7A0-15FE315C1ACE}" uniqueName="8" name="prep_time_max" totalsRowFunction="average" queryTableFieldId="8"/>
    <tableColumn id="9" xr3:uid="{50E893D1-8913-436E-BA19-E25446EBCF57}" uniqueName="9" name="comm_time_min" totalsRowFunction="average" queryTableFieldId="9"/>
    <tableColumn id="10" xr3:uid="{61032C36-6653-4A41-8F09-A32D930C34DC}" uniqueName="10" name="comm_time_avg" totalsRowFunction="average" queryTableFieldId="10"/>
    <tableColumn id="11" xr3:uid="{3146156B-746C-4863-A59D-CEF8EBA8704C}" uniqueName="11" name="comm_time_max" totalsRowFunction="average" queryTableFieldId="11"/>
    <tableColumn id="12" xr3:uid="{1CDDD3FD-D70F-4606-88DE-CD2010AF0CAB}" uniqueName="12" name="max_alloced" totalsRowFunction="average" queryTableField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8056EA-0000-48B3-8695-9B6A9D01B5C0}" name="_grav_32_12" displayName="_grav_32_12" ref="A1:L12" tableType="queryTable" totalsRowCount="1">
  <autoFilter ref="A1:L11" xr:uid="{797F15FF-02C4-4E9D-BFF6-CEA1579DB3F5}"/>
  <tableColumns count="12">
    <tableColumn id="1" xr3:uid="{24DC6518-CB84-47A6-BAEA-8687E1998A50}" uniqueName="1" name="step" totalsRowLabel="Ergebnis" queryTableFieldId="1"/>
    <tableColumn id="2" xr3:uid="{0BE8AC9E-564A-400B-BB54-348B143A0DFA}" uniqueName="2" name="total_time" totalsRowFunction="average" queryTableFieldId="2"/>
    <tableColumn id="3" xr3:uid="{EF538D5A-CCEB-472A-90FE-1B9B9A469E3F}" uniqueName="3" name="work_time_min" totalsRowFunction="average" queryTableFieldId="3"/>
    <tableColumn id="4" xr3:uid="{834246B6-B02C-4158-ACDE-8489900EB47C}" uniqueName="4" name="work_time_avg" totalsRowFunction="average" queryTableFieldId="4"/>
    <tableColumn id="5" xr3:uid="{B5E79264-752E-485C-BD83-E549FC75C998}" uniqueName="5" name="work_time_max" totalsRowFunction="average" queryTableFieldId="5"/>
    <tableColumn id="6" xr3:uid="{078C69AE-C4EC-4E40-9E20-E516F7FB3F81}" uniqueName="6" name="prep_time_min" totalsRowFunction="average" queryTableFieldId="6"/>
    <tableColumn id="7" xr3:uid="{B0B5E3DE-5135-43D0-9FE5-199028151FC1}" uniqueName="7" name="prep_time_avg" totalsRowFunction="average" queryTableFieldId="7"/>
    <tableColumn id="8" xr3:uid="{AD4AC7F5-9676-4631-8EFB-C07775A1FEEF}" uniqueName="8" name="prep_time_max" totalsRowFunction="average" queryTableFieldId="8"/>
    <tableColumn id="9" xr3:uid="{4D348E8E-C529-4500-9547-0CA302686051}" uniqueName="9" name="comm_time_min" totalsRowFunction="average" queryTableFieldId="9"/>
    <tableColumn id="10" xr3:uid="{784268BC-8847-412A-A1F1-DD5202283E0C}" uniqueName="10" name="comm_time_avg" totalsRowFunction="average" queryTableFieldId="10"/>
    <tableColumn id="11" xr3:uid="{1801FC03-0800-4362-B584-D17974DDA169}" uniqueName="11" name="comm_time_max" totalsRowFunction="average" queryTableFieldId="11"/>
    <tableColumn id="12" xr3:uid="{1542E5F9-059A-4117-B486-9A7A79242FAC}" uniqueName="12" name="max_alloced" totalsRowFunction="average" queryTableField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F23867-35F0-4572-9F8F-0230BEEAE838}" name="_grav_32_11" displayName="_grav_32_11" ref="A1:L12" tableType="queryTable" totalsRowCount="1">
  <autoFilter ref="A1:L11" xr:uid="{743CFE27-B521-4007-AC39-0A9B011E7CC4}"/>
  <tableColumns count="12">
    <tableColumn id="1" xr3:uid="{6CC74585-CB6D-49C7-B2D9-247AD5640CD6}" uniqueName="1" name="step" totalsRowLabel="Ergebnis" queryTableFieldId="1"/>
    <tableColumn id="2" xr3:uid="{A540F8B5-380F-42C2-A85D-D3D0A7598229}" uniqueName="2" name="total_time" totalsRowFunction="average" queryTableFieldId="2"/>
    <tableColumn id="3" xr3:uid="{652E6BD7-5F2E-4291-89C6-9F0F2A75C2BF}" uniqueName="3" name="work_time_min" totalsRowFunction="average" queryTableFieldId="3"/>
    <tableColumn id="4" xr3:uid="{F95264D7-C303-4737-A2D2-024A23EDAB13}" uniqueName="4" name="work_time_avg" totalsRowFunction="average" queryTableFieldId="4"/>
    <tableColumn id="5" xr3:uid="{868A4F29-6DF8-45C7-9F83-0536D1D85C4B}" uniqueName="5" name="work_time_max" totalsRowFunction="average" queryTableFieldId="5"/>
    <tableColumn id="6" xr3:uid="{4CE40942-E69C-40C9-9E50-7E26E497A28E}" uniqueName="6" name="prep_time_min" totalsRowFunction="average" queryTableFieldId="6"/>
    <tableColumn id="7" xr3:uid="{738C9938-28A0-47B2-9725-98B95F9E235B}" uniqueName="7" name="prep_time_avg" totalsRowFunction="average" queryTableFieldId="7"/>
    <tableColumn id="8" xr3:uid="{C7B8A74A-1E10-4825-8FB2-B43D4DE68AB2}" uniqueName="8" name="prep_time_max" totalsRowFunction="average" queryTableFieldId="8"/>
    <tableColumn id="9" xr3:uid="{9730B2AF-E8C1-4FF9-90D9-B2E605A38FA7}" uniqueName="9" name="comm_time_min" totalsRowFunction="average" queryTableFieldId="9"/>
    <tableColumn id="10" xr3:uid="{402E8502-D283-4E43-9B20-536BF30D5ED4}" uniqueName="10" name="comm_time_avg" totalsRowFunction="average" queryTableFieldId="10"/>
    <tableColumn id="11" xr3:uid="{052E3FBF-4193-425C-8DCD-A40217BFA07D}" uniqueName="11" name="comm_time_max" totalsRowFunction="average" queryTableFieldId="11"/>
    <tableColumn id="12" xr3:uid="{5593BFDB-F644-484E-94E9-6F3CF2730A09}" uniqueName="12" name="max_alloced" totalsRowFunction="average" queryTableFieldId="1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8C306-3F13-4592-87E4-792EDB5CEBAF}" name="_grav_32_10" displayName="_grav_32_10" ref="A1:L12" tableType="queryTable" totalsRowCount="1">
  <autoFilter ref="A1:L11" xr:uid="{45CDA5D5-BBB2-4CF1-B54D-8402046C98BF}"/>
  <tableColumns count="12">
    <tableColumn id="1" xr3:uid="{58AAD178-1D8A-47E5-8D5C-72028E3A6F7E}" uniqueName="1" name="step" totalsRowLabel="Ergebnis" queryTableFieldId="1"/>
    <tableColumn id="2" xr3:uid="{177C1C03-12BC-440C-9C33-6A8A2A5630E1}" uniqueName="2" name="total_time" totalsRowFunction="average" queryTableFieldId="2"/>
    <tableColumn id="3" xr3:uid="{EB5499BD-EC9F-41D2-B56B-AEA9AE250B58}" uniqueName="3" name="work_time_min" totalsRowFunction="average" queryTableFieldId="3"/>
    <tableColumn id="4" xr3:uid="{7E7616A2-D755-439C-A4C1-41D3AD0417E3}" uniqueName="4" name="work_time_avg" totalsRowFunction="average" queryTableFieldId="4"/>
    <tableColumn id="5" xr3:uid="{E5F30390-52CD-4D06-9C41-4B3D55FA4CA1}" uniqueName="5" name="work_time_max" totalsRowFunction="average" queryTableFieldId="5"/>
    <tableColumn id="6" xr3:uid="{6D5025D4-8605-4D9D-9AC2-9ECF63FF328C}" uniqueName="6" name="prep_time_min" totalsRowFunction="average" queryTableFieldId="6"/>
    <tableColumn id="7" xr3:uid="{916EDCCB-190F-4BE7-8402-FED36F11D8DE}" uniqueName="7" name="prep_time_avg" totalsRowFunction="average" queryTableFieldId="7"/>
    <tableColumn id="8" xr3:uid="{E15C76AA-F5BB-46E4-BBB5-49BEF7FA58CE}" uniqueName="8" name="prep_time_max" totalsRowFunction="average" queryTableFieldId="8"/>
    <tableColumn id="9" xr3:uid="{9C6937E2-D01B-4621-AACB-58E660AB2698}" uniqueName="9" name="comm_time_min" totalsRowFunction="average" queryTableFieldId="9"/>
    <tableColumn id="10" xr3:uid="{2BEBE204-888C-4358-ABBA-80DE88EE4B3E}" uniqueName="10" name="comm_time_avg" totalsRowFunction="average" queryTableFieldId="10"/>
    <tableColumn id="11" xr3:uid="{84BB866A-F8DF-4A2C-A246-DF0D69D37B09}" uniqueName="11" name="comm_time_max" totalsRowFunction="average" queryTableFieldId="11"/>
    <tableColumn id="12" xr3:uid="{7756B2CD-E350-41C9-A1C0-9E2423DC864E}" uniqueName="12" name="max_alloced" totalsRowFunction="averag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799754-3E54-48F3-BC04-89E9B5B4B6D3}" name="_grav_32_22" displayName="_grav_32_22" ref="A1:L12" tableType="queryTable" totalsRowCount="1">
  <autoFilter ref="A1:L11" xr:uid="{DF5F1CCA-A9A5-44C5-BD05-9FEC57D2AFA5}"/>
  <tableColumns count="12">
    <tableColumn id="1" xr3:uid="{8FEDF87D-2C69-4421-AC44-61CCC6678E0D}" uniqueName="1" name="step" totalsRowLabel="Ergebnis" queryTableFieldId="1"/>
    <tableColumn id="2" xr3:uid="{5683BB43-8093-4669-9383-AE4B56CE25F8}" uniqueName="2" name="total_time" totalsRowFunction="average" queryTableFieldId="2"/>
    <tableColumn id="3" xr3:uid="{AE31D1C9-BD85-4DA1-BB00-BB23F9FDCC02}" uniqueName="3" name="work_time_min" totalsRowFunction="average" queryTableFieldId="3"/>
    <tableColumn id="4" xr3:uid="{A8459493-2AEB-48DB-856A-771B9E3AE237}" uniqueName="4" name="work_time_avg" totalsRowFunction="average" queryTableFieldId="4"/>
    <tableColumn id="5" xr3:uid="{AC827CF6-7455-4845-BBF5-E4CCD459D647}" uniqueName="5" name="work_time_max" totalsRowFunction="average" queryTableFieldId="5"/>
    <tableColumn id="6" xr3:uid="{DBE281DF-909D-4DC6-A3B0-2754E5DEDC22}" uniqueName="6" name="prep_time_min" totalsRowFunction="average" queryTableFieldId="6"/>
    <tableColumn id="7" xr3:uid="{3D1D486D-1054-4EC7-A511-9289DAE222D8}" uniqueName="7" name="prep_time_avg" totalsRowFunction="average" queryTableFieldId="7"/>
    <tableColumn id="8" xr3:uid="{24B5E376-57D8-428C-9D33-93149B5DBE72}" uniqueName="8" name="prep_time_max" totalsRowFunction="average" queryTableFieldId="8"/>
    <tableColumn id="9" xr3:uid="{DCD320D8-7C32-464B-B277-DD5CE4FEA9CB}" uniqueName="9" name="comm_time_min" totalsRowFunction="average" queryTableFieldId="9"/>
    <tableColumn id="10" xr3:uid="{304B49F2-E53D-4976-B7DC-CC1DCA9ACE7B}" uniqueName="10" name="comm_time_avg" totalsRowFunction="average" queryTableFieldId="10"/>
    <tableColumn id="11" xr3:uid="{47102954-8AA2-4CFA-B6E3-8DEDC7D2BB1D}" uniqueName="11" name="comm_time_max" totalsRowFunction="average" queryTableFieldId="11"/>
    <tableColumn id="12" xr3:uid="{A7CBD96E-32C0-4C86-939C-32A2B22CEE49}" uniqueName="12" name="max_alloced" totalsRowFunction="averag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69A621-294B-43D0-BF15-C80881C462A6}" name="_grav_32_21" displayName="_grav_32_21" ref="A1:L11" tableType="queryTable" totalsRowCount="1" totalsRowDxfId="12" totalsRowBorderDxfId="13">
  <autoFilter ref="A1:L10" xr:uid="{F2002AAA-B43C-4829-B914-EAD1D724031E}"/>
  <tableColumns count="12">
    <tableColumn id="1" xr3:uid="{7226F8D6-0FC8-4F56-94B5-2239320415A1}" uniqueName="1" name="step" totalsRowLabel="Ergebnis" queryTableFieldId="1" totalsRowDxfId="11"/>
    <tableColumn id="2" xr3:uid="{D2390C65-576B-47EF-8AE4-3CCCC1443AF2}" uniqueName="2" name="total_time" totalsRowFunction="average" queryTableFieldId="2" totalsRowDxfId="10"/>
    <tableColumn id="3" xr3:uid="{0586AFF8-6052-4BC1-ACFD-7A3CD5001896}" uniqueName="3" name="work_time_min" totalsRowFunction="average" queryTableFieldId="3" totalsRowDxfId="9"/>
    <tableColumn id="4" xr3:uid="{EF1E1A07-F519-41B8-95DA-CAE6813B23A0}" uniqueName="4" name="work_time_avg" totalsRowFunction="average" queryTableFieldId="4" totalsRowDxfId="8"/>
    <tableColumn id="5" xr3:uid="{F441AE52-45D9-4E03-A888-FD4C49AAA40C}" uniqueName="5" name="work_time_max" totalsRowFunction="average" queryTableFieldId="5" totalsRowDxfId="7"/>
    <tableColumn id="6" xr3:uid="{6B211661-EF33-4CE8-8A1B-8F0F95D7670B}" uniqueName="6" name="prep_time_min" totalsRowFunction="average" queryTableFieldId="6" totalsRowDxfId="6"/>
    <tableColumn id="7" xr3:uid="{95B51751-FB28-4906-B229-A8D3C086962C}" uniqueName="7" name="prep_time_avg" totalsRowFunction="average" queryTableFieldId="7" totalsRowDxfId="5"/>
    <tableColumn id="8" xr3:uid="{83A4016E-FDB9-4E7D-A227-F1883D629EF5}" uniqueName="8" name="prep_time_max" totalsRowFunction="average" queryTableFieldId="8" totalsRowDxfId="4"/>
    <tableColumn id="9" xr3:uid="{F754559C-6457-4C7D-8994-D9A82C2C6482}" uniqueName="9" name="comm_time_min" totalsRowFunction="average" queryTableFieldId="9" totalsRowDxfId="3"/>
    <tableColumn id="10" xr3:uid="{C3087D8A-96D3-4D81-8535-02C0F26BAA1F}" uniqueName="10" name="comm_time_avg" totalsRowFunction="average" queryTableFieldId="10" totalsRowDxfId="2"/>
    <tableColumn id="11" xr3:uid="{6137456E-D485-4CD0-93D5-B20F113844C9}" uniqueName="11" name="comm_time_max" totalsRowFunction="average" queryTableFieldId="11" totalsRowDxfId="1"/>
    <tableColumn id="12" xr3:uid="{DE11F5C3-A461-4324-A19F-7E5D98CC62BD}" uniqueName="12" name="max_alloced" totalsRowFunction="average" queryTableFieldId="12" totalsRow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7AE393-4C9C-46F1-A2B0-C6D164740464}" name="_grav_32_20" displayName="_grav_32_20" ref="A1:L12" tableType="queryTable" totalsRowCount="1">
  <autoFilter ref="A1:L11" xr:uid="{A3A33E26-D2F5-4AC7-9EB1-C921BAB282AE}"/>
  <tableColumns count="12">
    <tableColumn id="1" xr3:uid="{6C284A5F-2815-4B2E-AD71-F8C576B00E62}" uniqueName="1" name="step" totalsRowLabel="Ergebnis" queryTableFieldId="1"/>
    <tableColumn id="2" xr3:uid="{86EFB250-1C39-44AD-BEF7-28574712CA0E}" uniqueName="2" name="total_time" totalsRowFunction="average" queryTableFieldId="2"/>
    <tableColumn id="3" xr3:uid="{2137468C-DAC1-428C-9887-1E8C50E74400}" uniqueName="3" name="work_time_min" totalsRowFunction="average" queryTableFieldId="3"/>
    <tableColumn id="4" xr3:uid="{1286ECCD-5F4B-4671-9AF8-CA02BA92A6FD}" uniqueName="4" name="work_time_avg" totalsRowFunction="average" queryTableFieldId="4"/>
    <tableColumn id="5" xr3:uid="{A2507A52-0199-4A8C-B530-3F62C2BFE9A8}" uniqueName="5" name="work_time_max" totalsRowFunction="average" queryTableFieldId="5"/>
    <tableColumn id="6" xr3:uid="{1D7D3048-7372-422D-B421-3AE265A20B7E}" uniqueName="6" name="prep_time_min" totalsRowFunction="average" queryTableFieldId="6"/>
    <tableColumn id="7" xr3:uid="{30FFB3F9-A4D0-4FA8-A124-E6670AAD3FE3}" uniqueName="7" name="prep_time_avg" totalsRowFunction="average" queryTableFieldId="7"/>
    <tableColumn id="8" xr3:uid="{DB28C1E5-F9ED-404C-8092-04965F74009B}" uniqueName="8" name="prep_time_max" totalsRowFunction="average" queryTableFieldId="8"/>
    <tableColumn id="9" xr3:uid="{131FB5E7-EBF4-4AF1-82B2-F9F34DE81339}" uniqueName="9" name="comm_time_min" totalsRowFunction="average" queryTableFieldId="9"/>
    <tableColumn id="10" xr3:uid="{81E65666-CD6B-44A5-B311-574D7D273335}" uniqueName="10" name="comm_time_avg" totalsRowFunction="average" queryTableFieldId="10"/>
    <tableColumn id="11" xr3:uid="{2C9A9FB8-72CC-4BB0-B988-421CD8CCEC44}" uniqueName="11" name="comm_time_max" totalsRowFunction="average" queryTableFieldId="11"/>
    <tableColumn id="12" xr3:uid="{B2C11D6E-8732-476B-81DD-EC718A4D621D}" uniqueName="12" name="max_alloced" totalsRowFunction="average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D5C859-5A76-4F99-98DF-96B4D2AE6C3C}" name="_grav_32_19" displayName="_grav_32_19" ref="A1:L12" tableType="queryTable" totalsRowCount="1">
  <autoFilter ref="A1:L11" xr:uid="{C2034077-0E0A-475B-8B9D-2D348F248EDC}"/>
  <tableColumns count="12">
    <tableColumn id="1" xr3:uid="{5418A27F-D3B4-404D-B7FC-072EEC1BB7E0}" uniqueName="1" name="step" totalsRowLabel="Ergebnis" queryTableFieldId="1"/>
    <tableColumn id="2" xr3:uid="{1D52C57E-EEB8-4E2F-8D13-A7EE6D7189F0}" uniqueName="2" name="total_time" totalsRowFunction="average" queryTableFieldId="2"/>
    <tableColumn id="3" xr3:uid="{865A0561-776B-449F-8624-E453640B10F1}" uniqueName="3" name="work_time_min" totalsRowFunction="average" queryTableFieldId="3"/>
    <tableColumn id="4" xr3:uid="{D41B4B9B-EA85-4B45-A0E5-7F4ADB837BE4}" uniqueName="4" name="work_time_avg" totalsRowFunction="average" queryTableFieldId="4"/>
    <tableColumn id="5" xr3:uid="{23420341-EE57-4DD1-BFFC-12D42A705211}" uniqueName="5" name="work_time_max" totalsRowFunction="average" queryTableFieldId="5"/>
    <tableColumn id="6" xr3:uid="{88F187B6-D8D7-4C6F-A36F-D4241DE66FA0}" uniqueName="6" name="prep_time_min" totalsRowFunction="average" queryTableFieldId="6"/>
    <tableColumn id="7" xr3:uid="{D67CA213-C294-487D-852C-A0BB2B2C98B8}" uniqueName="7" name="prep_time_avg" totalsRowFunction="average" queryTableFieldId="7"/>
    <tableColumn id="8" xr3:uid="{509F359E-E270-4D53-9F90-D8300D1D9C8B}" uniqueName="8" name="prep_time_max" totalsRowFunction="average" queryTableFieldId="8"/>
    <tableColumn id="9" xr3:uid="{9FA29E5B-5A37-446E-8B42-D1F02600FDFC}" uniqueName="9" name="comm_time_min" totalsRowFunction="average" queryTableFieldId="9"/>
    <tableColumn id="10" xr3:uid="{14E641DF-7BBE-4869-88B2-3AE07A1CEBEE}" uniqueName="10" name="comm_time_avg" totalsRowFunction="average" queryTableFieldId="10"/>
    <tableColumn id="11" xr3:uid="{2A5B5A45-D186-4828-85A8-F8B04C30C7DE}" uniqueName="11" name="comm_time_max" totalsRowFunction="average" queryTableFieldId="11"/>
    <tableColumn id="12" xr3:uid="{4C14D088-55EE-4DFE-B2D5-2F3DAE4C4437}" uniqueName="12" name="max_alloced" totalsRowFunction="average" queryTableField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467C9D-9E43-4A53-B654-FB697B1342E6}" name="_grav_32_18" displayName="_grav_32_18" ref="A1:L12" tableType="queryTable" totalsRowCount="1">
  <autoFilter ref="A1:L11" xr:uid="{BB89231F-F2C3-4F65-A599-7DCDA5AAC9D3}"/>
  <tableColumns count="12">
    <tableColumn id="1" xr3:uid="{73CC7C02-3F67-43C2-8D06-1700D8379543}" uniqueName="1" name="step" totalsRowLabel="Ergebnis" queryTableFieldId="1"/>
    <tableColumn id="2" xr3:uid="{539078B0-9049-4AC2-9F3B-786EB2EA0DA4}" uniqueName="2" name="total_time" totalsRowFunction="average" queryTableFieldId="2"/>
    <tableColumn id="3" xr3:uid="{CAB3D551-0D62-452B-A2F3-15BA5A172A46}" uniqueName="3" name="work_time_min" totalsRowFunction="average" queryTableFieldId="3"/>
    <tableColumn id="4" xr3:uid="{1684268F-0A2C-4604-9F34-5F325D814F28}" uniqueName="4" name="work_time_avg" totalsRowFunction="average" queryTableFieldId="4"/>
    <tableColumn id="5" xr3:uid="{B977C8A7-519E-4E21-9549-99FAC771B60A}" uniqueName="5" name="work_time_max" totalsRowFunction="average" queryTableFieldId="5"/>
    <tableColumn id="6" xr3:uid="{2CD88D5A-8300-4A51-9C90-3FB7F107651B}" uniqueName="6" name="prep_time_min" totalsRowFunction="average" queryTableFieldId="6"/>
    <tableColumn id="7" xr3:uid="{D4CC207E-B805-4BF2-A8A4-5D73829405A9}" uniqueName="7" name="prep_time_avg" totalsRowFunction="average" queryTableFieldId="7"/>
    <tableColumn id="8" xr3:uid="{1E8E4753-B76F-4C65-BB3B-71361918413E}" uniqueName="8" name="prep_time_max" totalsRowFunction="average" queryTableFieldId="8"/>
    <tableColumn id="9" xr3:uid="{8592B8A3-742B-4B76-B4F4-28246DB3DC60}" uniqueName="9" name="comm_time_min" totalsRowFunction="average" queryTableFieldId="9"/>
    <tableColumn id="10" xr3:uid="{5E5233E9-8378-4CB7-A443-73A710A352E9}" uniqueName="10" name="comm_time_avg" totalsRowFunction="average" queryTableFieldId="10"/>
    <tableColumn id="11" xr3:uid="{C418888D-5918-4E2A-98B8-94DCA8BB808F}" uniqueName="11" name="comm_time_max" totalsRowFunction="average" queryTableFieldId="11"/>
    <tableColumn id="12" xr3:uid="{8ADCCB15-DA59-4369-B2F0-F119E51D228B}" uniqueName="12" name="max_alloced" totalsRowFunction="average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16D5F1-40C6-47F1-A73C-682EBE580288}" name="_grav_32_17" displayName="_grav_32_17" ref="A1:L12" tableType="queryTable" totalsRowCount="1">
  <autoFilter ref="A1:L11" xr:uid="{9C733AFF-BECD-4502-B0F7-ADB047DF81CE}"/>
  <tableColumns count="12">
    <tableColumn id="1" xr3:uid="{C18FB1E8-3AF6-49DA-B5D1-403A2A60928D}" uniqueName="1" name="step" totalsRowLabel="Ergebnis" queryTableFieldId="1"/>
    <tableColumn id="2" xr3:uid="{44931907-11E7-4AC4-BE0A-98DBE3FB5647}" uniqueName="2" name="total_time" totalsRowFunction="average" queryTableFieldId="2"/>
    <tableColumn id="3" xr3:uid="{8CEEB4AD-C188-4A0E-B969-854A25AA8974}" uniqueName="3" name="work_time_min" totalsRowFunction="average" queryTableFieldId="3"/>
    <tableColumn id="4" xr3:uid="{A36C3C97-19F0-4CA5-8860-7F10C570CC9E}" uniqueName="4" name="work_time_avg" totalsRowFunction="average" queryTableFieldId="4"/>
    <tableColumn id="5" xr3:uid="{9B806D3A-7EC7-4B92-A23A-33F2A7DB973A}" uniqueName="5" name="work_time_max" totalsRowFunction="average" queryTableFieldId="5"/>
    <tableColumn id="6" xr3:uid="{70ED7D0A-5BC6-4791-ABBC-E012A40827FE}" uniqueName="6" name="prep_time_min" totalsRowFunction="average" queryTableFieldId="6"/>
    <tableColumn id="7" xr3:uid="{B81EF35C-B72A-4DA4-B45E-4C7DE15E3F3D}" uniqueName="7" name="prep_time_avg" totalsRowFunction="average" queryTableFieldId="7"/>
    <tableColumn id="8" xr3:uid="{2FB46FD0-EE29-4D7C-881F-061041D11898}" uniqueName="8" name="prep_time_max" totalsRowFunction="average" queryTableFieldId="8"/>
    <tableColumn id="9" xr3:uid="{2F77BD1A-6A3D-4D55-A678-F2F778DD1681}" uniqueName="9" name="comm_time_min" totalsRowFunction="average" queryTableFieldId="9"/>
    <tableColumn id="10" xr3:uid="{0A12B6D0-7E10-4CD4-854E-A024AC1377E0}" uniqueName="10" name="comm_time_avg" totalsRowFunction="average" queryTableFieldId="10"/>
    <tableColumn id="11" xr3:uid="{BB9BAB82-8B85-4ACD-8338-8C55CF549C2F}" uniqueName="11" name="comm_time_max" totalsRowFunction="average" queryTableFieldId="11"/>
    <tableColumn id="12" xr3:uid="{0323EBFE-619A-4EBA-8B7C-810641E18538}" uniqueName="12" name="max_alloced" totalsRowFunction="average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4E99C2-20FA-425C-ADEE-2EB442082B46}" name="_grav_32_16" displayName="_grav_32_16" ref="A1:L12" tableType="queryTable" totalsRowCount="1">
  <autoFilter ref="A1:L11" xr:uid="{447B5C80-AB9C-41C4-8B12-C65F653E0C40}"/>
  <tableColumns count="12">
    <tableColumn id="1" xr3:uid="{EBE0C362-186A-4538-82F6-7F7ABB031E96}" uniqueName="1" name="step" totalsRowLabel="Ergebnis" queryTableFieldId="1"/>
    <tableColumn id="2" xr3:uid="{68FF0A29-4BF7-485D-8571-EC2934859A72}" uniqueName="2" name="total_time" totalsRowFunction="average" queryTableFieldId="2"/>
    <tableColumn id="3" xr3:uid="{E01CF5A0-17B7-429B-9055-401E21D36D49}" uniqueName="3" name="work_time_min" totalsRowFunction="average" queryTableFieldId="3"/>
    <tableColumn id="4" xr3:uid="{6BC57BCA-FBA5-402A-94EF-5950DB9A68F0}" uniqueName="4" name="work_time_avg" totalsRowFunction="average" queryTableFieldId="4"/>
    <tableColumn id="5" xr3:uid="{954219B3-7339-44D1-8625-9DADE43D17E5}" uniqueName="5" name="work_time_max" totalsRowFunction="average" queryTableFieldId="5"/>
    <tableColumn id="6" xr3:uid="{E5076AC4-C957-47CD-A8DE-3875D80CBD75}" uniqueName="6" name="prep_time_min" totalsRowFunction="average" queryTableFieldId="6"/>
    <tableColumn id="7" xr3:uid="{999EB107-015B-4BB9-8CFC-D2440CB29FCC}" uniqueName="7" name="prep_time_avg" totalsRowFunction="average" queryTableFieldId="7"/>
    <tableColumn id="8" xr3:uid="{666A81B1-D18A-4534-B977-9EB956CF76AE}" uniqueName="8" name="prep_time_max" totalsRowFunction="average" queryTableFieldId="8"/>
    <tableColumn id="9" xr3:uid="{17A15EDB-7D23-4F67-81DB-F2FC291C3BBE}" uniqueName="9" name="comm_time_min" totalsRowFunction="average" queryTableFieldId="9"/>
    <tableColumn id="10" xr3:uid="{40A1CFA1-89DD-4B0D-984F-11B5A8243705}" uniqueName="10" name="comm_time_avg" totalsRowFunction="average" queryTableFieldId="10"/>
    <tableColumn id="11" xr3:uid="{4559F6D5-F9AC-4E7C-97BB-A89D279E4AD6}" uniqueName="11" name="comm_time_max" totalsRowFunction="average" queryTableFieldId="11"/>
    <tableColumn id="12" xr3:uid="{EF766520-D763-46A4-81BB-CBC2AB9F6949}" uniqueName="12" name="max_alloced" totalsRowFunction="average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D01E4-5CEF-44D4-A37F-4EF2E878A2AA}" name="_grav_32_15" displayName="_grav_32_15" ref="A1:L12" tableType="queryTable" totalsRowCount="1">
  <autoFilter ref="A1:L11" xr:uid="{BAC61506-06B7-4779-87EB-633121823650}"/>
  <tableColumns count="12">
    <tableColumn id="1" xr3:uid="{285D612C-3AAA-420F-8242-E0448258A376}" uniqueName="1" name="step" totalsRowLabel="Ergebnis" queryTableFieldId="1"/>
    <tableColumn id="2" xr3:uid="{4B42058D-8D7F-4A3F-B376-A3F9D38ADCC5}" uniqueName="2" name="total_time" totalsRowFunction="average" queryTableFieldId="2"/>
    <tableColumn id="3" xr3:uid="{49417BF9-FE2B-45E2-B635-ECC787199F7F}" uniqueName="3" name="work_time_min" totalsRowFunction="average" queryTableFieldId="3"/>
    <tableColumn id="4" xr3:uid="{23254A26-B17B-455F-89F9-E7F9AAD27060}" uniqueName="4" name="work_time_avg" totalsRowFunction="average" queryTableFieldId="4"/>
    <tableColumn id="5" xr3:uid="{9B593521-1F4D-4E9C-B45C-EE0BD72D3313}" uniqueName="5" name="work_time_max" totalsRowFunction="average" queryTableFieldId="5"/>
    <tableColumn id="6" xr3:uid="{CE7DD712-DE46-4B9A-9C95-2EAE01A5C9E1}" uniqueName="6" name="prep_time_min" totalsRowFunction="average" queryTableFieldId="6"/>
    <tableColumn id="7" xr3:uid="{46A1A552-F01F-42C6-869A-BE518D79FAFF}" uniqueName="7" name="prep_time_avg" totalsRowFunction="average" queryTableFieldId="7"/>
    <tableColumn id="8" xr3:uid="{A9F03C2A-41E7-4328-8878-1CF9CDF20B2F}" uniqueName="8" name="prep_time_max" totalsRowFunction="average" queryTableFieldId="8"/>
    <tableColumn id="9" xr3:uid="{BBD6CBFE-3EB1-4AE0-87CD-AE1E2CAE7E30}" uniqueName="9" name="comm_time_min" totalsRowFunction="average" queryTableFieldId="9"/>
    <tableColumn id="10" xr3:uid="{030B8CFD-8A9A-4CFB-8F5E-EECB087339CC}" uniqueName="10" name="comm_time_avg" totalsRowFunction="average" queryTableFieldId="10"/>
    <tableColumn id="11" xr3:uid="{806D05DD-5FAE-4D86-81D7-4B855C8549E0}" uniqueName="11" name="comm_time_max" totalsRowFunction="average" queryTableFieldId="11"/>
    <tableColumn id="12" xr3:uid="{49CDCA23-2566-43A9-80DF-5B48942DF4DD}" uniqueName="12" name="max_alloced" totalsRowFunction="averag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4267-05FA-4490-9F29-79B343C74B39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580</v>
      </c>
      <c r="C2">
        <v>584</v>
      </c>
      <c r="D2">
        <v>592</v>
      </c>
      <c r="E2">
        <v>599</v>
      </c>
      <c r="F2">
        <v>3.82</v>
      </c>
      <c r="G2">
        <v>4.55</v>
      </c>
      <c r="H2">
        <v>4.75</v>
      </c>
      <c r="I2">
        <v>2.4500000000000001E-2</v>
      </c>
      <c r="J2">
        <v>2.93E-2</v>
      </c>
      <c r="K2">
        <v>3.5299999999999998E-2</v>
      </c>
      <c r="L2">
        <v>2292320676</v>
      </c>
    </row>
    <row r="3" spans="1:12" x14ac:dyDescent="0.25">
      <c r="A3">
        <v>2</v>
      </c>
      <c r="B3">
        <v>580</v>
      </c>
      <c r="C3">
        <v>584</v>
      </c>
      <c r="D3">
        <v>592</v>
      </c>
      <c r="E3">
        <v>599</v>
      </c>
      <c r="F3">
        <v>4.29</v>
      </c>
      <c r="G3">
        <v>8.57</v>
      </c>
      <c r="H3">
        <v>17.7</v>
      </c>
      <c r="I3">
        <v>1.83E-2</v>
      </c>
      <c r="J3">
        <v>2.1999999999999999E-2</v>
      </c>
      <c r="K3">
        <v>2.69E-2</v>
      </c>
      <c r="L3">
        <v>2301730628</v>
      </c>
    </row>
    <row r="4" spans="1:12" x14ac:dyDescent="0.25">
      <c r="A4">
        <v>3</v>
      </c>
      <c r="B4">
        <v>580</v>
      </c>
      <c r="C4">
        <v>584</v>
      </c>
      <c r="D4">
        <v>592</v>
      </c>
      <c r="E4">
        <v>599</v>
      </c>
      <c r="F4">
        <v>4.3</v>
      </c>
      <c r="G4">
        <v>8.56</v>
      </c>
      <c r="H4">
        <v>17.7</v>
      </c>
      <c r="I4">
        <v>1.84E-2</v>
      </c>
      <c r="J4">
        <v>2.2100000000000002E-2</v>
      </c>
      <c r="K4">
        <v>2.7099999999999999E-2</v>
      </c>
      <c r="L4">
        <v>2311140580</v>
      </c>
    </row>
    <row r="5" spans="1:12" x14ac:dyDescent="0.25">
      <c r="A5">
        <v>4</v>
      </c>
      <c r="B5">
        <v>580</v>
      </c>
      <c r="C5">
        <v>584</v>
      </c>
      <c r="D5">
        <v>592</v>
      </c>
      <c r="E5">
        <v>599</v>
      </c>
      <c r="F5">
        <v>4.3</v>
      </c>
      <c r="G5">
        <v>8.56</v>
      </c>
      <c r="H5">
        <v>17.7</v>
      </c>
      <c r="I5">
        <v>1.78E-2</v>
      </c>
      <c r="J5">
        <v>2.2700000000000001E-2</v>
      </c>
      <c r="K5">
        <v>2.8000000000000001E-2</v>
      </c>
      <c r="L5">
        <v>2320550532</v>
      </c>
    </row>
    <row r="6" spans="1:12" x14ac:dyDescent="0.25">
      <c r="A6">
        <v>5</v>
      </c>
      <c r="B6">
        <v>580</v>
      </c>
      <c r="C6">
        <v>584</v>
      </c>
      <c r="D6">
        <v>592</v>
      </c>
      <c r="E6">
        <v>599</v>
      </c>
      <c r="F6">
        <v>4.3</v>
      </c>
      <c r="G6">
        <v>8.58</v>
      </c>
      <c r="H6">
        <v>17.7</v>
      </c>
      <c r="I6">
        <v>1.7399999999999999E-2</v>
      </c>
      <c r="J6">
        <v>2.2599999999999999E-2</v>
      </c>
      <c r="K6">
        <v>2.7799999999999998E-2</v>
      </c>
      <c r="L6">
        <v>2329960484</v>
      </c>
    </row>
    <row r="7" spans="1:12" x14ac:dyDescent="0.25">
      <c r="A7">
        <v>6</v>
      </c>
      <c r="B7">
        <v>580</v>
      </c>
      <c r="C7">
        <v>584</v>
      </c>
      <c r="D7">
        <v>592</v>
      </c>
      <c r="E7">
        <v>599</v>
      </c>
      <c r="F7">
        <v>4.3</v>
      </c>
      <c r="G7">
        <v>8.56</v>
      </c>
      <c r="H7">
        <v>17.7</v>
      </c>
      <c r="I7">
        <v>1.84E-2</v>
      </c>
      <c r="J7">
        <v>2.2200000000000001E-2</v>
      </c>
      <c r="K7">
        <v>2.69E-2</v>
      </c>
      <c r="L7">
        <v>2339370436</v>
      </c>
    </row>
    <row r="8" spans="1:12" x14ac:dyDescent="0.25">
      <c r="A8">
        <v>7</v>
      </c>
      <c r="B8">
        <v>580</v>
      </c>
      <c r="C8">
        <v>584</v>
      </c>
      <c r="D8">
        <v>592</v>
      </c>
      <c r="E8">
        <v>599</v>
      </c>
      <c r="F8">
        <v>4.3</v>
      </c>
      <c r="G8">
        <v>8.82</v>
      </c>
      <c r="H8">
        <v>18.3</v>
      </c>
      <c r="I8">
        <v>1.89E-2</v>
      </c>
      <c r="J8">
        <v>2.35E-2</v>
      </c>
      <c r="K8">
        <v>2.8899999999999999E-2</v>
      </c>
      <c r="L8">
        <v>2348780388</v>
      </c>
    </row>
    <row r="9" spans="1:12" x14ac:dyDescent="0.25">
      <c r="A9">
        <v>8</v>
      </c>
      <c r="B9">
        <v>583</v>
      </c>
      <c r="C9">
        <v>587</v>
      </c>
      <c r="D9">
        <v>595</v>
      </c>
      <c r="E9">
        <v>601</v>
      </c>
      <c r="F9">
        <v>4.3</v>
      </c>
      <c r="G9">
        <v>8.6</v>
      </c>
      <c r="H9">
        <v>17.7</v>
      </c>
      <c r="I9">
        <v>1.77E-2</v>
      </c>
      <c r="J9">
        <v>2.2499999999999999E-2</v>
      </c>
      <c r="K9">
        <v>2.7699999999999999E-2</v>
      </c>
      <c r="L9">
        <v>2358190340</v>
      </c>
    </row>
    <row r="10" spans="1:12" x14ac:dyDescent="0.25">
      <c r="A10">
        <v>9</v>
      </c>
      <c r="B10">
        <v>580</v>
      </c>
      <c r="C10">
        <v>584</v>
      </c>
      <c r="D10">
        <v>592</v>
      </c>
      <c r="E10">
        <v>599</v>
      </c>
      <c r="F10">
        <v>4.29</v>
      </c>
      <c r="G10">
        <v>8.41</v>
      </c>
      <c r="H10">
        <v>17.399999999999999</v>
      </c>
      <c r="I10">
        <v>1.7000000000000001E-2</v>
      </c>
      <c r="J10">
        <v>2.3300000000000001E-2</v>
      </c>
      <c r="K10">
        <v>2.86E-2</v>
      </c>
      <c r="L10">
        <v>2367600292</v>
      </c>
    </row>
    <row r="11" spans="1:12" x14ac:dyDescent="0.25">
      <c r="A11">
        <v>10</v>
      </c>
      <c r="B11">
        <v>581</v>
      </c>
      <c r="C11">
        <v>585</v>
      </c>
      <c r="D11">
        <v>593</v>
      </c>
      <c r="E11">
        <v>600</v>
      </c>
      <c r="F11">
        <v>4.3</v>
      </c>
      <c r="G11">
        <v>8.58</v>
      </c>
      <c r="H11">
        <v>17.600000000000001</v>
      </c>
      <c r="I11">
        <v>1.7000000000000001E-2</v>
      </c>
      <c r="J11">
        <v>2.1899999999999999E-2</v>
      </c>
      <c r="K11">
        <v>2.76E-2</v>
      </c>
      <c r="L11">
        <v>2377010244</v>
      </c>
    </row>
    <row r="12" spans="1:12" x14ac:dyDescent="0.25">
      <c r="A12" t="s">
        <v>12</v>
      </c>
      <c r="B12">
        <f>SUBTOTAL(101,_grav_32_23[total_time])</f>
        <v>580.4</v>
      </c>
      <c r="C12">
        <f>SUBTOTAL(101,_grav_32_23[work_time_min])</f>
        <v>584.4</v>
      </c>
      <c r="D12">
        <f>SUBTOTAL(101,_grav_32_23[work_time_avg])</f>
        <v>592.4</v>
      </c>
      <c r="E12">
        <f>SUBTOTAL(101,_grav_32_23[work_time_max])</f>
        <v>599.29999999999995</v>
      </c>
      <c r="F12">
        <f>SUBTOTAL(101,_grav_32_23[prep_time_min])</f>
        <v>4.25</v>
      </c>
      <c r="G12">
        <f>SUBTOTAL(101,_grav_32_23[prep_time_avg])</f>
        <v>8.1789999999999985</v>
      </c>
      <c r="H12">
        <f>SUBTOTAL(101,_grav_32_23[prep_time_max])</f>
        <v>16.425000000000001</v>
      </c>
      <c r="I12">
        <f>SUBTOTAL(101,_grav_32_23[comm_time_min])</f>
        <v>1.8540000000000001E-2</v>
      </c>
      <c r="J12">
        <f>SUBTOTAL(101,_grav_32_23[comm_time_avg])</f>
        <v>2.3210000000000001E-2</v>
      </c>
      <c r="K12">
        <f>SUBTOTAL(101,_grav_32_23[comm_time_max])</f>
        <v>2.8479999999999998E-2</v>
      </c>
      <c r="L12">
        <f>SUBTOTAL(101,_grav_32_23[max_alloced])</f>
        <v>2334665460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8D54-65BF-4D62-BA43-4509BD19669D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0.78300000000000003</v>
      </c>
      <c r="C2">
        <v>0.79200000000000004</v>
      </c>
      <c r="D2">
        <v>0.89</v>
      </c>
      <c r="E2">
        <v>1.07</v>
      </c>
      <c r="F2">
        <v>3.15E-3</v>
      </c>
      <c r="G2">
        <v>4.15E-3</v>
      </c>
      <c r="H2">
        <v>4.8399999999999997E-3</v>
      </c>
      <c r="I2">
        <v>2.4399999999999999E-3</v>
      </c>
      <c r="J2">
        <v>2.5400000000000002E-3</v>
      </c>
      <c r="K2">
        <v>2.7200000000000002E-3</v>
      </c>
      <c r="L2">
        <v>5653508</v>
      </c>
    </row>
    <row r="3" spans="1:12" x14ac:dyDescent="0.25">
      <c r="A3">
        <v>2</v>
      </c>
      <c r="B3">
        <v>0.78</v>
      </c>
      <c r="C3">
        <v>0.79200000000000004</v>
      </c>
      <c r="D3">
        <v>0.89</v>
      </c>
      <c r="E3">
        <v>1.07</v>
      </c>
      <c r="F3">
        <v>2.31E-3</v>
      </c>
      <c r="G3">
        <v>0.14599999999999999</v>
      </c>
      <c r="H3">
        <v>0.27700000000000002</v>
      </c>
      <c r="I3">
        <v>6.8099999999999996E-4</v>
      </c>
      <c r="J3">
        <v>7.2599999999999997E-4</v>
      </c>
      <c r="K3">
        <v>7.8799999999999996E-4</v>
      </c>
      <c r="L3">
        <v>5831748</v>
      </c>
    </row>
    <row r="4" spans="1:12" x14ac:dyDescent="0.25">
      <c r="A4">
        <v>3</v>
      </c>
      <c r="B4">
        <v>0.78</v>
      </c>
      <c r="C4">
        <v>0.79200000000000004</v>
      </c>
      <c r="D4">
        <v>0.89</v>
      </c>
      <c r="E4">
        <v>1.07</v>
      </c>
      <c r="F4">
        <v>2.0500000000000002E-3</v>
      </c>
      <c r="G4">
        <v>0.14599999999999999</v>
      </c>
      <c r="H4">
        <v>0.27800000000000002</v>
      </c>
      <c r="I4">
        <v>7.4700000000000005E-4</v>
      </c>
      <c r="J4">
        <v>8.6700000000000004E-4</v>
      </c>
      <c r="K4">
        <v>9.68E-4</v>
      </c>
      <c r="L4">
        <v>6009988</v>
      </c>
    </row>
    <row r="5" spans="1:12" x14ac:dyDescent="0.25">
      <c r="A5">
        <v>4</v>
      </c>
      <c r="B5">
        <v>0.78</v>
      </c>
      <c r="C5">
        <v>0.79200000000000004</v>
      </c>
      <c r="D5">
        <v>0.89</v>
      </c>
      <c r="E5">
        <v>1.07</v>
      </c>
      <c r="F5">
        <v>2.3500000000000001E-3</v>
      </c>
      <c r="G5">
        <v>0.14599999999999999</v>
      </c>
      <c r="H5">
        <v>0.27700000000000002</v>
      </c>
      <c r="I5">
        <v>6.7100000000000005E-4</v>
      </c>
      <c r="J5">
        <v>7.1100000000000004E-4</v>
      </c>
      <c r="K5">
        <v>7.6599999999999997E-4</v>
      </c>
      <c r="L5">
        <v>6188228</v>
      </c>
    </row>
    <row r="6" spans="1:12" x14ac:dyDescent="0.25">
      <c r="A6">
        <v>5</v>
      </c>
      <c r="B6">
        <v>0.78</v>
      </c>
      <c r="C6">
        <v>0.79200000000000004</v>
      </c>
      <c r="D6">
        <v>0.89</v>
      </c>
      <c r="E6">
        <v>1.07</v>
      </c>
      <c r="F6">
        <v>2.31E-3</v>
      </c>
      <c r="G6">
        <v>0.14599999999999999</v>
      </c>
      <c r="H6">
        <v>0.27700000000000002</v>
      </c>
      <c r="I6">
        <v>7.6599999999999997E-4</v>
      </c>
      <c r="J6">
        <v>8.4199999999999998E-4</v>
      </c>
      <c r="K6">
        <v>9.2699999999999998E-4</v>
      </c>
      <c r="L6">
        <v>6366468</v>
      </c>
    </row>
    <row r="7" spans="1:12" x14ac:dyDescent="0.25">
      <c r="A7">
        <v>6</v>
      </c>
      <c r="B7">
        <v>0.78</v>
      </c>
      <c r="C7">
        <v>0.79200000000000004</v>
      </c>
      <c r="D7">
        <v>0.89</v>
      </c>
      <c r="E7">
        <v>1.07</v>
      </c>
      <c r="F7">
        <v>2.2799999999999999E-3</v>
      </c>
      <c r="G7">
        <v>0.14499999999999999</v>
      </c>
      <c r="H7">
        <v>0.27700000000000002</v>
      </c>
      <c r="I7">
        <v>6.78E-4</v>
      </c>
      <c r="J7">
        <v>7.2800000000000002E-4</v>
      </c>
      <c r="K7">
        <v>7.9500000000000003E-4</v>
      </c>
      <c r="L7">
        <v>6544708</v>
      </c>
    </row>
    <row r="8" spans="1:12" x14ac:dyDescent="0.25">
      <c r="A8">
        <v>7</v>
      </c>
      <c r="B8">
        <v>0.78</v>
      </c>
      <c r="C8">
        <v>0.79200000000000004</v>
      </c>
      <c r="D8">
        <v>0.89</v>
      </c>
      <c r="E8">
        <v>1.07</v>
      </c>
      <c r="F8">
        <v>2.2899999999999999E-3</v>
      </c>
      <c r="G8">
        <v>0.14599999999999999</v>
      </c>
      <c r="H8">
        <v>0.27700000000000002</v>
      </c>
      <c r="I8">
        <v>6.8199999999999999E-4</v>
      </c>
      <c r="J8">
        <v>7.2999999999999996E-4</v>
      </c>
      <c r="K8">
        <v>7.8299999999999995E-4</v>
      </c>
      <c r="L8">
        <v>6722948</v>
      </c>
    </row>
    <row r="9" spans="1:12" x14ac:dyDescent="0.25">
      <c r="A9">
        <v>8</v>
      </c>
      <c r="B9">
        <v>0.78100000000000003</v>
      </c>
      <c r="C9">
        <v>0.79300000000000004</v>
      </c>
      <c r="D9">
        <v>0.89100000000000001</v>
      </c>
      <c r="E9">
        <v>1.08</v>
      </c>
      <c r="F9">
        <v>2.2100000000000002E-3</v>
      </c>
      <c r="G9">
        <v>0.14599999999999999</v>
      </c>
      <c r="H9">
        <v>0.27700000000000002</v>
      </c>
      <c r="I9">
        <v>9.1399999999999999E-4</v>
      </c>
      <c r="J9">
        <v>1.0200000000000001E-3</v>
      </c>
      <c r="K9">
        <v>1.1299999999999999E-3</v>
      </c>
      <c r="L9">
        <v>6901188</v>
      </c>
    </row>
    <row r="10" spans="1:12" x14ac:dyDescent="0.25">
      <c r="A10">
        <v>9</v>
      </c>
      <c r="B10">
        <v>0.77900000000000003</v>
      </c>
      <c r="C10">
        <v>0.79100000000000004</v>
      </c>
      <c r="D10">
        <v>0.89</v>
      </c>
      <c r="E10">
        <v>1.07</v>
      </c>
      <c r="F10">
        <v>2.2699999999999999E-3</v>
      </c>
      <c r="G10">
        <v>0.14799999999999999</v>
      </c>
      <c r="H10">
        <v>0.28100000000000003</v>
      </c>
      <c r="I10">
        <v>6.6799999999999997E-4</v>
      </c>
      <c r="J10">
        <v>7.18E-4</v>
      </c>
      <c r="K10">
        <v>7.6599999999999997E-4</v>
      </c>
      <c r="L10">
        <v>7079428</v>
      </c>
    </row>
    <row r="11" spans="1:12" x14ac:dyDescent="0.25">
      <c r="A11">
        <v>10</v>
      </c>
      <c r="B11">
        <v>0.78</v>
      </c>
      <c r="C11">
        <v>0.79200000000000004</v>
      </c>
      <c r="D11">
        <v>0.89</v>
      </c>
      <c r="E11">
        <v>1.08</v>
      </c>
      <c r="F11">
        <v>2.32E-3</v>
      </c>
      <c r="G11">
        <v>0.14499999999999999</v>
      </c>
      <c r="H11">
        <v>0.27700000000000002</v>
      </c>
      <c r="I11">
        <v>6.8300000000000001E-4</v>
      </c>
      <c r="J11">
        <v>7.27E-4</v>
      </c>
      <c r="K11">
        <v>7.9500000000000003E-4</v>
      </c>
      <c r="L11">
        <v>7257668</v>
      </c>
    </row>
    <row r="12" spans="1:12" x14ac:dyDescent="0.25">
      <c r="A12" t="s">
        <v>12</v>
      </c>
      <c r="B12">
        <f>SUBTOTAL(101,_grav_32_14[total_time])</f>
        <v>0.7803000000000001</v>
      </c>
      <c r="C12">
        <f>SUBTOTAL(101,_grav_32_14[work_time_min])</f>
        <v>0.79200000000000004</v>
      </c>
      <c r="D12">
        <f>SUBTOTAL(101,_grav_32_14[work_time_avg])</f>
        <v>0.8901</v>
      </c>
      <c r="E12">
        <f>SUBTOTAL(101,_grav_32_14[work_time_max])</f>
        <v>1.0720000000000001</v>
      </c>
      <c r="F12">
        <f>SUBTOTAL(101,_grav_32_14[prep_time_min])</f>
        <v>2.3539999999999998E-3</v>
      </c>
      <c r="G12">
        <f>SUBTOTAL(101,_grav_32_14[prep_time_avg])</f>
        <v>0.13181499999999999</v>
      </c>
      <c r="H12">
        <f>SUBTOTAL(101,_grav_32_14[prep_time_max])</f>
        <v>0.25028400000000006</v>
      </c>
      <c r="I12">
        <f>SUBTOTAL(101,_grav_32_14[comm_time_min])</f>
        <v>8.9299999999999991E-4</v>
      </c>
      <c r="J12">
        <f>SUBTOTAL(101,_grav_32_14[comm_time_avg])</f>
        <v>9.609000000000001E-4</v>
      </c>
      <c r="K12">
        <f>SUBTOTAL(101,_grav_32_14[comm_time_max])</f>
        <v>1.0437999999999999E-3</v>
      </c>
      <c r="L12">
        <f>SUBTOTAL(101,_grav_32_14[max_alloced])</f>
        <v>6455588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28E-B38E-488A-A972-5E8E7FB742A0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0.311</v>
      </c>
      <c r="C2">
        <v>0.314</v>
      </c>
      <c r="D2">
        <v>0.35899999999999999</v>
      </c>
      <c r="E2">
        <v>0.41299999999999998</v>
      </c>
      <c r="F2">
        <v>1.6000000000000001E-3</v>
      </c>
      <c r="G2">
        <v>2.1800000000000001E-3</v>
      </c>
      <c r="H2">
        <v>2.5600000000000002E-3</v>
      </c>
      <c r="I2">
        <v>2.0600000000000002E-3</v>
      </c>
      <c r="J2">
        <v>2.1199999999999999E-3</v>
      </c>
      <c r="K2">
        <v>2.1900000000000001E-3</v>
      </c>
      <c r="L2">
        <v>2990056</v>
      </c>
    </row>
    <row r="3" spans="1:12" x14ac:dyDescent="0.25">
      <c r="A3">
        <v>2</v>
      </c>
      <c r="B3">
        <v>0.308</v>
      </c>
      <c r="C3">
        <v>0.314</v>
      </c>
      <c r="D3">
        <v>0.35899999999999999</v>
      </c>
      <c r="E3">
        <v>0.41299999999999998</v>
      </c>
      <c r="F3">
        <v>1.56E-3</v>
      </c>
      <c r="G3">
        <v>0.04</v>
      </c>
      <c r="H3">
        <v>9.5799999999999996E-2</v>
      </c>
      <c r="I3">
        <v>4.3300000000000001E-4</v>
      </c>
      <c r="J3">
        <v>4.5300000000000001E-4</v>
      </c>
      <c r="K3">
        <v>4.6700000000000002E-4</v>
      </c>
      <c r="L3">
        <v>3133704</v>
      </c>
    </row>
    <row r="4" spans="1:12" x14ac:dyDescent="0.25">
      <c r="A4">
        <v>3</v>
      </c>
      <c r="B4">
        <v>0.309</v>
      </c>
      <c r="C4">
        <v>0.314</v>
      </c>
      <c r="D4">
        <v>0.35899999999999999</v>
      </c>
      <c r="E4">
        <v>0.41299999999999998</v>
      </c>
      <c r="F4">
        <v>1.56E-3</v>
      </c>
      <c r="G4">
        <v>0.04</v>
      </c>
      <c r="H4">
        <v>9.5899999999999999E-2</v>
      </c>
      <c r="I4">
        <v>4.35E-4</v>
      </c>
      <c r="J4">
        <v>4.5199999999999998E-4</v>
      </c>
      <c r="K4">
        <v>4.8000000000000001E-4</v>
      </c>
      <c r="L4">
        <v>3277352</v>
      </c>
    </row>
    <row r="5" spans="1:12" x14ac:dyDescent="0.25">
      <c r="A5">
        <v>4</v>
      </c>
      <c r="B5">
        <v>0.317</v>
      </c>
      <c r="C5">
        <v>0.317</v>
      </c>
      <c r="D5">
        <v>0.35899999999999999</v>
      </c>
      <c r="E5">
        <v>0.41299999999999998</v>
      </c>
      <c r="F5">
        <v>1.58E-3</v>
      </c>
      <c r="G5">
        <v>0.04</v>
      </c>
      <c r="H5">
        <v>9.5899999999999999E-2</v>
      </c>
      <c r="I5">
        <v>4.28E-4</v>
      </c>
      <c r="J5">
        <v>4.5100000000000001E-4</v>
      </c>
      <c r="K5">
        <v>4.86E-4</v>
      </c>
      <c r="L5">
        <v>3421000</v>
      </c>
    </row>
    <row r="6" spans="1:12" x14ac:dyDescent="0.25">
      <c r="A6">
        <v>5</v>
      </c>
      <c r="B6">
        <v>0.308</v>
      </c>
      <c r="C6">
        <v>0.314</v>
      </c>
      <c r="D6">
        <v>0.35899999999999999</v>
      </c>
      <c r="E6">
        <v>0.41299999999999998</v>
      </c>
      <c r="F6">
        <v>1.5900000000000001E-3</v>
      </c>
      <c r="G6">
        <v>4.0099999999999997E-2</v>
      </c>
      <c r="H6">
        <v>9.6000000000000002E-2</v>
      </c>
      <c r="I6">
        <v>4.4000000000000002E-4</v>
      </c>
      <c r="J6">
        <v>4.55E-4</v>
      </c>
      <c r="K6">
        <v>4.86E-4</v>
      </c>
      <c r="L6">
        <v>3564648</v>
      </c>
    </row>
    <row r="7" spans="1:12" x14ac:dyDescent="0.25">
      <c r="A7">
        <v>6</v>
      </c>
      <c r="B7">
        <v>0.309</v>
      </c>
      <c r="C7">
        <v>0.314</v>
      </c>
      <c r="D7">
        <v>0.35899999999999999</v>
      </c>
      <c r="E7">
        <v>0.41299999999999998</v>
      </c>
      <c r="F7">
        <v>1.5E-3</v>
      </c>
      <c r="G7">
        <v>4.0099999999999997E-2</v>
      </c>
      <c r="H7">
        <v>9.6000000000000002E-2</v>
      </c>
      <c r="I7">
        <v>4.7600000000000002E-4</v>
      </c>
      <c r="J7">
        <v>5.0699999999999996E-4</v>
      </c>
      <c r="K7">
        <v>5.3300000000000005E-4</v>
      </c>
      <c r="L7">
        <v>3708296</v>
      </c>
    </row>
    <row r="8" spans="1:12" x14ac:dyDescent="0.25">
      <c r="A8">
        <v>7</v>
      </c>
      <c r="B8">
        <v>0.308</v>
      </c>
      <c r="C8">
        <v>0.314</v>
      </c>
      <c r="D8">
        <v>0.35899999999999999</v>
      </c>
      <c r="E8">
        <v>0.41299999999999998</v>
      </c>
      <c r="F8">
        <v>1.57E-3</v>
      </c>
      <c r="G8">
        <v>0.04</v>
      </c>
      <c r="H8">
        <v>9.5799999999999996E-2</v>
      </c>
      <c r="I8">
        <v>4.3100000000000001E-4</v>
      </c>
      <c r="J8">
        <v>4.4799999999999999E-4</v>
      </c>
      <c r="K8">
        <v>4.7199999999999998E-4</v>
      </c>
      <c r="L8">
        <v>3851944</v>
      </c>
    </row>
    <row r="9" spans="1:12" x14ac:dyDescent="0.25">
      <c r="A9">
        <v>8</v>
      </c>
      <c r="B9">
        <v>0.309</v>
      </c>
      <c r="C9">
        <v>0.314</v>
      </c>
      <c r="D9">
        <v>0.35899999999999999</v>
      </c>
      <c r="E9">
        <v>0.41299999999999998</v>
      </c>
      <c r="F9">
        <v>1.5499999999999999E-3</v>
      </c>
      <c r="G9">
        <v>3.9899999999999998E-2</v>
      </c>
      <c r="H9">
        <v>9.5799999999999996E-2</v>
      </c>
      <c r="I9">
        <v>4.37E-4</v>
      </c>
      <c r="J9">
        <v>4.5399999999999998E-4</v>
      </c>
      <c r="K9">
        <v>4.8200000000000001E-4</v>
      </c>
      <c r="L9">
        <v>3995592</v>
      </c>
    </row>
    <row r="10" spans="1:12" x14ac:dyDescent="0.25">
      <c r="A10">
        <v>9</v>
      </c>
      <c r="B10">
        <v>0.309</v>
      </c>
      <c r="C10">
        <v>0.314</v>
      </c>
      <c r="D10">
        <v>0.35899999999999999</v>
      </c>
      <c r="E10">
        <v>0.41299999999999998</v>
      </c>
      <c r="F10">
        <v>1.57E-3</v>
      </c>
      <c r="G10">
        <v>0.04</v>
      </c>
      <c r="H10">
        <v>9.5899999999999999E-2</v>
      </c>
      <c r="I10">
        <v>4.3600000000000003E-4</v>
      </c>
      <c r="J10">
        <v>4.5600000000000003E-4</v>
      </c>
      <c r="K10">
        <v>4.86E-4</v>
      </c>
      <c r="L10">
        <v>4139240</v>
      </c>
    </row>
    <row r="11" spans="1:12" x14ac:dyDescent="0.25">
      <c r="A11">
        <v>10</v>
      </c>
      <c r="B11">
        <v>0.309</v>
      </c>
      <c r="C11">
        <v>0.314</v>
      </c>
      <c r="D11">
        <v>0.36</v>
      </c>
      <c r="E11">
        <v>0.41299999999999998</v>
      </c>
      <c r="F11">
        <v>1.57E-3</v>
      </c>
      <c r="G11">
        <v>0.04</v>
      </c>
      <c r="H11">
        <v>9.5799999999999996E-2</v>
      </c>
      <c r="I11">
        <v>4.3100000000000001E-4</v>
      </c>
      <c r="J11">
        <v>4.4799999999999999E-4</v>
      </c>
      <c r="K11">
        <v>4.7399999999999997E-4</v>
      </c>
      <c r="L11">
        <v>4282888</v>
      </c>
    </row>
    <row r="12" spans="1:12" x14ac:dyDescent="0.25">
      <c r="A12" t="s">
        <v>12</v>
      </c>
      <c r="B12">
        <f>SUBTOTAL(101,_grav_32_13[total_time])</f>
        <v>0.30970000000000003</v>
      </c>
      <c r="C12">
        <f>SUBTOTAL(101,_grav_32_13[work_time_min])</f>
        <v>0.31430000000000002</v>
      </c>
      <c r="D12">
        <f>SUBTOTAL(101,_grav_32_13[work_time_avg])</f>
        <v>0.35909999999999997</v>
      </c>
      <c r="E12">
        <f>SUBTOTAL(101,_grav_32_13[work_time_max])</f>
        <v>0.41299999999999992</v>
      </c>
      <c r="F12">
        <f>SUBTOTAL(101,_grav_32_13[prep_time_min])</f>
        <v>1.5649999999999998E-3</v>
      </c>
      <c r="G12">
        <f>SUBTOTAL(101,_grav_32_13[prep_time_avg])</f>
        <v>3.6227999999999996E-2</v>
      </c>
      <c r="H12">
        <f>SUBTOTAL(101,_grav_32_13[prep_time_max])</f>
        <v>8.6545999999999984E-2</v>
      </c>
      <c r="I12">
        <f>SUBTOTAL(101,_grav_32_13[comm_time_min])</f>
        <v>6.0070000000000002E-4</v>
      </c>
      <c r="J12">
        <f>SUBTOTAL(101,_grav_32_13[comm_time_avg])</f>
        <v>6.2439999999999989E-4</v>
      </c>
      <c r="K12">
        <f>SUBTOTAL(101,_grav_32_13[comm_time_max])</f>
        <v>6.556E-4</v>
      </c>
      <c r="L12">
        <f>SUBTOTAL(101,_grav_32_13[max_alloced])</f>
        <v>3636472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C566-6343-4A41-81BB-F8FF937FC172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0.19800000000000001</v>
      </c>
      <c r="C2">
        <v>0.19900000000000001</v>
      </c>
      <c r="D2">
        <v>0.23200000000000001</v>
      </c>
      <c r="E2">
        <v>0.27</v>
      </c>
      <c r="F2">
        <v>6.2100000000000002E-4</v>
      </c>
      <c r="G2">
        <v>1.14E-3</v>
      </c>
      <c r="H2">
        <v>1.42E-3</v>
      </c>
      <c r="I2">
        <v>1.75E-3</v>
      </c>
      <c r="J2">
        <v>1.81E-3</v>
      </c>
      <c r="K2">
        <v>1.91E-3</v>
      </c>
      <c r="L2">
        <v>1795404</v>
      </c>
    </row>
    <row r="3" spans="1:12" x14ac:dyDescent="0.25">
      <c r="A3">
        <v>2</v>
      </c>
      <c r="B3">
        <v>0.19600000000000001</v>
      </c>
      <c r="C3">
        <v>0.19800000000000001</v>
      </c>
      <c r="D3">
        <v>0.23200000000000001</v>
      </c>
      <c r="E3">
        <v>0.27</v>
      </c>
      <c r="F3">
        <v>6.1700000000000004E-4</v>
      </c>
      <c r="G3">
        <v>2.6700000000000002E-2</v>
      </c>
      <c r="H3">
        <v>6.8400000000000002E-2</v>
      </c>
      <c r="I3">
        <v>3.6699999999999998E-4</v>
      </c>
      <c r="J3">
        <v>3.8299999999999999E-4</v>
      </c>
      <c r="K3">
        <v>4.0700000000000003E-4</v>
      </c>
      <c r="L3">
        <v>1871276</v>
      </c>
    </row>
    <row r="4" spans="1:12" x14ac:dyDescent="0.25">
      <c r="A4">
        <v>3</v>
      </c>
      <c r="B4">
        <v>0.19600000000000001</v>
      </c>
      <c r="C4">
        <v>0.19900000000000001</v>
      </c>
      <c r="D4">
        <v>0.23200000000000001</v>
      </c>
      <c r="E4">
        <v>0.27</v>
      </c>
      <c r="F4">
        <v>6.0800000000000003E-4</v>
      </c>
      <c r="G4">
        <v>2.6700000000000002E-2</v>
      </c>
      <c r="H4">
        <v>6.83E-2</v>
      </c>
      <c r="I4">
        <v>3.4900000000000003E-4</v>
      </c>
      <c r="J4">
        <v>3.6099999999999999E-4</v>
      </c>
      <c r="K4">
        <v>3.8499999999999998E-4</v>
      </c>
      <c r="L4">
        <v>1947148</v>
      </c>
    </row>
    <row r="5" spans="1:12" x14ac:dyDescent="0.25">
      <c r="A5">
        <v>4</v>
      </c>
      <c r="B5">
        <v>0.19600000000000001</v>
      </c>
      <c r="C5">
        <v>0.19800000000000001</v>
      </c>
      <c r="D5">
        <v>0.23200000000000001</v>
      </c>
      <c r="E5">
        <v>0.27</v>
      </c>
      <c r="F5">
        <v>6.1899999999999998E-4</v>
      </c>
      <c r="G5">
        <v>2.6800000000000001E-2</v>
      </c>
      <c r="H5">
        <v>6.8500000000000005E-2</v>
      </c>
      <c r="I5">
        <v>3.7199999999999999E-4</v>
      </c>
      <c r="J5">
        <v>3.8299999999999999E-4</v>
      </c>
      <c r="K5">
        <v>4.0700000000000003E-4</v>
      </c>
      <c r="L5">
        <v>2023020</v>
      </c>
    </row>
    <row r="6" spans="1:12" x14ac:dyDescent="0.25">
      <c r="A6">
        <v>5</v>
      </c>
      <c r="B6">
        <v>0.19600000000000001</v>
      </c>
      <c r="C6">
        <v>0.19900000000000001</v>
      </c>
      <c r="D6">
        <v>0.23200000000000001</v>
      </c>
      <c r="E6">
        <v>0.27</v>
      </c>
      <c r="F6">
        <v>5.9599999999999996E-4</v>
      </c>
      <c r="G6">
        <v>2.6800000000000001E-2</v>
      </c>
      <c r="H6">
        <v>6.8500000000000005E-2</v>
      </c>
      <c r="I6">
        <v>4.1899999999999999E-4</v>
      </c>
      <c r="J6">
        <v>4.4900000000000002E-4</v>
      </c>
      <c r="K6">
        <v>4.6900000000000002E-4</v>
      </c>
      <c r="L6">
        <v>2098892</v>
      </c>
    </row>
    <row r="7" spans="1:12" x14ac:dyDescent="0.25">
      <c r="A7">
        <v>6</v>
      </c>
      <c r="B7">
        <v>0.19600000000000001</v>
      </c>
      <c r="C7">
        <v>0.19800000000000001</v>
      </c>
      <c r="D7">
        <v>0.23200000000000001</v>
      </c>
      <c r="E7">
        <v>0.27</v>
      </c>
      <c r="F7">
        <v>6.5899999999999997E-4</v>
      </c>
      <c r="G7">
        <v>2.6599999999999999E-2</v>
      </c>
      <c r="H7">
        <v>6.83E-2</v>
      </c>
      <c r="I7">
        <v>3.57E-4</v>
      </c>
      <c r="J7">
        <v>3.6999999999999999E-4</v>
      </c>
      <c r="K7">
        <v>3.8900000000000002E-4</v>
      </c>
      <c r="L7">
        <v>2174764</v>
      </c>
    </row>
    <row r="8" spans="1:12" x14ac:dyDescent="0.25">
      <c r="A8">
        <v>7</v>
      </c>
      <c r="B8">
        <v>0.19600000000000001</v>
      </c>
      <c r="C8">
        <v>0.19800000000000001</v>
      </c>
      <c r="D8">
        <v>0.23200000000000001</v>
      </c>
      <c r="E8">
        <v>0.27</v>
      </c>
      <c r="F8">
        <v>6.0700000000000001E-4</v>
      </c>
      <c r="G8">
        <v>2.6700000000000002E-2</v>
      </c>
      <c r="H8">
        <v>6.83E-2</v>
      </c>
      <c r="I8">
        <v>3.6499999999999998E-4</v>
      </c>
      <c r="J8">
        <v>3.8299999999999999E-4</v>
      </c>
      <c r="K8">
        <v>4.0200000000000001E-4</v>
      </c>
      <c r="L8">
        <v>2250636</v>
      </c>
    </row>
    <row r="9" spans="1:12" x14ac:dyDescent="0.25">
      <c r="A9">
        <v>8</v>
      </c>
      <c r="B9">
        <v>0.19600000000000001</v>
      </c>
      <c r="C9">
        <v>0.19900000000000001</v>
      </c>
      <c r="D9">
        <v>0.23300000000000001</v>
      </c>
      <c r="E9">
        <v>0.27</v>
      </c>
      <c r="F9">
        <v>6.3699999999999998E-4</v>
      </c>
      <c r="G9">
        <v>2.6700000000000002E-2</v>
      </c>
      <c r="H9">
        <v>6.83E-2</v>
      </c>
      <c r="I9">
        <v>3.6900000000000002E-4</v>
      </c>
      <c r="J9">
        <v>3.8200000000000002E-4</v>
      </c>
      <c r="K9">
        <v>4.17E-4</v>
      </c>
      <c r="L9">
        <v>2326508</v>
      </c>
    </row>
    <row r="10" spans="1:12" x14ac:dyDescent="0.25">
      <c r="A10">
        <v>9</v>
      </c>
      <c r="B10">
        <v>0.19600000000000001</v>
      </c>
      <c r="C10">
        <v>0.19900000000000001</v>
      </c>
      <c r="D10">
        <v>0.23200000000000001</v>
      </c>
      <c r="E10">
        <v>0.27</v>
      </c>
      <c r="F10">
        <v>6.7599999999999995E-4</v>
      </c>
      <c r="G10">
        <v>2.6800000000000001E-2</v>
      </c>
      <c r="H10">
        <v>6.8500000000000005E-2</v>
      </c>
      <c r="I10">
        <v>3.9899999999999999E-4</v>
      </c>
      <c r="J10">
        <v>4.3199999999999998E-4</v>
      </c>
      <c r="K10">
        <v>4.64E-4</v>
      </c>
      <c r="L10">
        <v>2402380</v>
      </c>
    </row>
    <row r="11" spans="1:12" x14ac:dyDescent="0.25">
      <c r="A11">
        <v>10</v>
      </c>
      <c r="B11">
        <v>0.19600000000000001</v>
      </c>
      <c r="C11">
        <v>0.19900000000000001</v>
      </c>
      <c r="D11">
        <v>0.23200000000000001</v>
      </c>
      <c r="E11">
        <v>0.27</v>
      </c>
      <c r="F11">
        <v>5.8299999999999997E-4</v>
      </c>
      <c r="G11">
        <v>2.6700000000000002E-2</v>
      </c>
      <c r="H11">
        <v>6.83E-2</v>
      </c>
      <c r="I11">
        <v>3.4400000000000001E-4</v>
      </c>
      <c r="J11">
        <v>3.68E-4</v>
      </c>
      <c r="K11">
        <v>3.9500000000000001E-4</v>
      </c>
      <c r="L11">
        <v>2478252</v>
      </c>
    </row>
    <row r="12" spans="1:12" x14ac:dyDescent="0.25">
      <c r="A12" t="s">
        <v>12</v>
      </c>
      <c r="B12">
        <f>SUBTOTAL(101,_grav_32_12[total_time])</f>
        <v>0.19619999999999999</v>
      </c>
      <c r="C12">
        <f>SUBTOTAL(101,_grav_32_12[work_time_min])</f>
        <v>0.19860000000000003</v>
      </c>
      <c r="D12">
        <f>SUBTOTAL(101,_grav_32_12[work_time_avg])</f>
        <v>0.23210000000000006</v>
      </c>
      <c r="E12">
        <f>SUBTOTAL(101,_grav_32_12[work_time_max])</f>
        <v>0.27</v>
      </c>
      <c r="F12">
        <f>SUBTOTAL(101,_grav_32_12[prep_time_min])</f>
        <v>6.2229999999999989E-4</v>
      </c>
      <c r="G12">
        <f>SUBTOTAL(101,_grav_32_12[prep_time_avg])</f>
        <v>2.4164000000000001E-2</v>
      </c>
      <c r="H12">
        <f>SUBTOTAL(101,_grav_32_12[prep_time_max])</f>
        <v>6.1682000000000015E-2</v>
      </c>
      <c r="I12">
        <f>SUBTOTAL(101,_grav_32_12[comm_time_min])</f>
        <v>5.0909999999999996E-4</v>
      </c>
      <c r="J12">
        <f>SUBTOTAL(101,_grav_32_12[comm_time_avg])</f>
        <v>5.3210000000000009E-4</v>
      </c>
      <c r="K12">
        <f>SUBTOTAL(101,_grav_32_12[comm_time_max])</f>
        <v>5.6450000000000001E-4</v>
      </c>
      <c r="L12">
        <f>SUBTOTAL(101,_grav_32_12[max_alloced])</f>
        <v>2136828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A73C-4A7F-48A2-9EE6-283CDEE10CCA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6.8000000000000005E-2</v>
      </c>
      <c r="C2">
        <v>6.8000000000000005E-2</v>
      </c>
      <c r="D2">
        <v>8.5699999999999998E-2</v>
      </c>
      <c r="E2">
        <v>0.10199999999999999</v>
      </c>
      <c r="F2">
        <v>4.2099999999999999E-4</v>
      </c>
      <c r="G2">
        <v>6.2299999999999996E-4</v>
      </c>
      <c r="H2">
        <v>7.6800000000000002E-4</v>
      </c>
      <c r="I2">
        <v>8.1400000000000005E-4</v>
      </c>
      <c r="J2">
        <v>8.4800000000000001E-4</v>
      </c>
      <c r="K2">
        <v>9.0700000000000004E-4</v>
      </c>
      <c r="L2">
        <v>952680</v>
      </c>
    </row>
    <row r="3" spans="1:12" x14ac:dyDescent="0.25">
      <c r="A3">
        <v>2</v>
      </c>
      <c r="B3">
        <v>6.6900000000000001E-2</v>
      </c>
      <c r="C3">
        <v>6.8000000000000005E-2</v>
      </c>
      <c r="D3">
        <v>8.5699999999999998E-2</v>
      </c>
      <c r="E3">
        <v>0.10199999999999999</v>
      </c>
      <c r="F3">
        <v>2.9E-4</v>
      </c>
      <c r="G3">
        <v>1.2E-2</v>
      </c>
      <c r="H3">
        <v>3.0499999999999999E-2</v>
      </c>
      <c r="I3">
        <v>2.33E-4</v>
      </c>
      <c r="J3">
        <v>2.42E-4</v>
      </c>
      <c r="K3">
        <v>2.7E-4</v>
      </c>
      <c r="L3">
        <v>992840</v>
      </c>
    </row>
    <row r="4" spans="1:12" x14ac:dyDescent="0.25">
      <c r="A4">
        <v>3</v>
      </c>
      <c r="B4">
        <v>6.6900000000000001E-2</v>
      </c>
      <c r="C4">
        <v>6.8000000000000005E-2</v>
      </c>
      <c r="D4">
        <v>8.5699999999999998E-2</v>
      </c>
      <c r="E4">
        <v>0.10199999999999999</v>
      </c>
      <c r="F4">
        <v>3.2000000000000003E-4</v>
      </c>
      <c r="G4">
        <v>1.2E-2</v>
      </c>
      <c r="H4">
        <v>3.0499999999999999E-2</v>
      </c>
      <c r="I4">
        <v>2.2100000000000001E-4</v>
      </c>
      <c r="J4">
        <v>2.4399999999999999E-4</v>
      </c>
      <c r="K4">
        <v>2.7E-4</v>
      </c>
      <c r="L4">
        <v>1033000</v>
      </c>
    </row>
    <row r="5" spans="1:12" x14ac:dyDescent="0.25">
      <c r="A5">
        <v>4</v>
      </c>
      <c r="B5">
        <v>6.6900000000000001E-2</v>
      </c>
      <c r="C5">
        <v>6.8000000000000005E-2</v>
      </c>
      <c r="D5">
        <v>8.5699999999999998E-2</v>
      </c>
      <c r="E5">
        <v>0.10199999999999999</v>
      </c>
      <c r="F5">
        <v>3.1100000000000002E-4</v>
      </c>
      <c r="G5">
        <v>1.2200000000000001E-2</v>
      </c>
      <c r="H5">
        <v>3.0700000000000002E-2</v>
      </c>
      <c r="I5">
        <v>2.23E-4</v>
      </c>
      <c r="J5">
        <v>2.32E-4</v>
      </c>
      <c r="K5">
        <v>2.5300000000000002E-4</v>
      </c>
      <c r="L5">
        <v>1073160</v>
      </c>
    </row>
    <row r="6" spans="1:12" x14ac:dyDescent="0.25">
      <c r="A6">
        <v>5</v>
      </c>
      <c r="B6">
        <v>6.6900000000000001E-2</v>
      </c>
      <c r="C6">
        <v>6.8000000000000005E-2</v>
      </c>
      <c r="D6">
        <v>8.5699999999999998E-2</v>
      </c>
      <c r="E6">
        <v>0.10199999999999999</v>
      </c>
      <c r="F6">
        <v>3.01E-4</v>
      </c>
      <c r="G6">
        <v>1.2E-2</v>
      </c>
      <c r="H6">
        <v>3.0499999999999999E-2</v>
      </c>
      <c r="I6">
        <v>2.2699999999999999E-4</v>
      </c>
      <c r="J6">
        <v>2.3499999999999999E-4</v>
      </c>
      <c r="K6">
        <v>2.6600000000000001E-4</v>
      </c>
      <c r="L6">
        <v>1113320</v>
      </c>
    </row>
    <row r="7" spans="1:12" x14ac:dyDescent="0.25">
      <c r="A7">
        <v>6</v>
      </c>
      <c r="B7">
        <v>6.6900000000000001E-2</v>
      </c>
      <c r="C7">
        <v>6.8099999999999994E-2</v>
      </c>
      <c r="D7">
        <v>8.5699999999999998E-2</v>
      </c>
      <c r="E7">
        <v>0.10199999999999999</v>
      </c>
      <c r="F7">
        <v>3.01E-4</v>
      </c>
      <c r="G7">
        <v>1.2E-2</v>
      </c>
      <c r="H7">
        <v>3.0499999999999999E-2</v>
      </c>
      <c r="I7">
        <v>2.2699999999999999E-4</v>
      </c>
      <c r="J7">
        <v>2.3800000000000001E-4</v>
      </c>
      <c r="K7">
        <v>2.5900000000000001E-4</v>
      </c>
      <c r="L7">
        <v>1153480</v>
      </c>
    </row>
    <row r="8" spans="1:12" x14ac:dyDescent="0.25">
      <c r="A8">
        <v>7</v>
      </c>
      <c r="B8">
        <v>6.6900000000000001E-2</v>
      </c>
      <c r="C8">
        <v>6.8000000000000005E-2</v>
      </c>
      <c r="D8">
        <v>8.5699999999999998E-2</v>
      </c>
      <c r="E8">
        <v>0.10199999999999999</v>
      </c>
      <c r="F8">
        <v>3.0200000000000002E-4</v>
      </c>
      <c r="G8">
        <v>1.21E-2</v>
      </c>
      <c r="H8">
        <v>3.0599999999999999E-2</v>
      </c>
      <c r="I8">
        <v>2.23E-4</v>
      </c>
      <c r="J8">
        <v>2.31E-4</v>
      </c>
      <c r="K8">
        <v>2.52E-4</v>
      </c>
      <c r="L8">
        <v>1193640</v>
      </c>
    </row>
    <row r="9" spans="1:12" x14ac:dyDescent="0.25">
      <c r="A9">
        <v>8</v>
      </c>
      <c r="B9">
        <v>6.6900000000000001E-2</v>
      </c>
      <c r="C9">
        <v>6.8000000000000005E-2</v>
      </c>
      <c r="D9">
        <v>8.5699999999999998E-2</v>
      </c>
      <c r="E9">
        <v>0.10199999999999999</v>
      </c>
      <c r="F9">
        <v>3.3399999999999999E-4</v>
      </c>
      <c r="G9">
        <v>1.2E-2</v>
      </c>
      <c r="H9">
        <v>3.0499999999999999E-2</v>
      </c>
      <c r="I9">
        <v>2.1599999999999999E-4</v>
      </c>
      <c r="J9">
        <v>2.2900000000000001E-4</v>
      </c>
      <c r="K9">
        <v>2.5599999999999999E-4</v>
      </c>
      <c r="L9">
        <v>1233800</v>
      </c>
    </row>
    <row r="10" spans="1:12" x14ac:dyDescent="0.25">
      <c r="A10">
        <v>9</v>
      </c>
      <c r="B10">
        <v>6.6900000000000001E-2</v>
      </c>
      <c r="C10">
        <v>6.8000000000000005E-2</v>
      </c>
      <c r="D10">
        <v>8.5699999999999998E-2</v>
      </c>
      <c r="E10">
        <v>0.10199999999999999</v>
      </c>
      <c r="F10">
        <v>3.0699999999999998E-4</v>
      </c>
      <c r="G10">
        <v>1.2E-2</v>
      </c>
      <c r="H10">
        <v>3.0499999999999999E-2</v>
      </c>
      <c r="I10">
        <v>2.24E-4</v>
      </c>
      <c r="J10">
        <v>2.3699999999999999E-4</v>
      </c>
      <c r="K10">
        <v>2.6200000000000003E-4</v>
      </c>
      <c r="L10">
        <v>1273960</v>
      </c>
    </row>
    <row r="11" spans="1:12" x14ac:dyDescent="0.25">
      <c r="A11">
        <v>10</v>
      </c>
      <c r="B11">
        <v>6.6900000000000001E-2</v>
      </c>
      <c r="C11">
        <v>6.8000000000000005E-2</v>
      </c>
      <c r="D11">
        <v>8.5800000000000001E-2</v>
      </c>
      <c r="E11">
        <v>0.10199999999999999</v>
      </c>
      <c r="F11">
        <v>2.9599999999999998E-4</v>
      </c>
      <c r="G11">
        <v>1.2E-2</v>
      </c>
      <c r="H11">
        <v>3.0499999999999999E-2</v>
      </c>
      <c r="I11">
        <v>2.1699999999999999E-4</v>
      </c>
      <c r="J11">
        <v>2.2599999999999999E-4</v>
      </c>
      <c r="K11">
        <v>2.52E-4</v>
      </c>
      <c r="L11">
        <v>1314120</v>
      </c>
    </row>
    <row r="12" spans="1:12" x14ac:dyDescent="0.25">
      <c r="A12" t="s">
        <v>12</v>
      </c>
      <c r="B12">
        <f>SUBTOTAL(101,_grav_32_11[total_time])</f>
        <v>6.701E-2</v>
      </c>
      <c r="C12">
        <f>SUBTOTAL(101,_grav_32_11[work_time_min])</f>
        <v>6.8010000000000015E-2</v>
      </c>
      <c r="D12">
        <f>SUBTOTAL(101,_grav_32_11[work_time_avg])</f>
        <v>8.5709999999999995E-2</v>
      </c>
      <c r="E12">
        <f>SUBTOTAL(101,_grav_32_11[work_time_max])</f>
        <v>0.10200000000000001</v>
      </c>
      <c r="F12">
        <f>SUBTOTAL(101,_grav_32_11[prep_time_min])</f>
        <v>3.1829999999999998E-4</v>
      </c>
      <c r="G12">
        <f>SUBTOTAL(101,_grav_32_11[prep_time_avg])</f>
        <v>1.0892299999999999E-2</v>
      </c>
      <c r="H12">
        <f>SUBTOTAL(101,_grav_32_11[prep_time_max])</f>
        <v>2.7556799999999999E-2</v>
      </c>
      <c r="I12">
        <f>SUBTOTAL(101,_grav_32_11[comm_time_min])</f>
        <v>2.8250000000000004E-4</v>
      </c>
      <c r="J12">
        <f>SUBTOTAL(101,_grav_32_11[comm_time_avg])</f>
        <v>2.9619999999999999E-4</v>
      </c>
      <c r="K12">
        <f>SUBTOTAL(101,_grav_32_11[comm_time_max])</f>
        <v>3.2470000000000009E-4</v>
      </c>
      <c r="L12">
        <f>SUBTOTAL(101,_grav_32_11[max_alloced])</f>
        <v>1133400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5989-4A16-47CF-998A-8982676F4C15}">
  <dimension ref="A1:L12"/>
  <sheetViews>
    <sheetView workbookViewId="0">
      <selection activeCell="L12" sqref="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2.93E-2</v>
      </c>
      <c r="C2">
        <v>2.6599999999999999E-2</v>
      </c>
      <c r="D2">
        <v>3.4799999999999998E-2</v>
      </c>
      <c r="E2">
        <v>4.4200000000000003E-2</v>
      </c>
      <c r="F2">
        <v>3.1799999999999998E-4</v>
      </c>
      <c r="G2">
        <v>4.7800000000000002E-4</v>
      </c>
      <c r="H2">
        <v>5.6999999999999998E-4</v>
      </c>
      <c r="I2">
        <v>6.11E-4</v>
      </c>
      <c r="J2">
        <v>6.3199999999999997E-4</v>
      </c>
      <c r="K2">
        <v>6.7000000000000002E-4</v>
      </c>
      <c r="L2">
        <v>550992</v>
      </c>
    </row>
    <row r="3" spans="1:12" x14ac:dyDescent="0.25">
      <c r="A3">
        <v>2</v>
      </c>
      <c r="B3">
        <v>2.87E-2</v>
      </c>
      <c r="C3">
        <v>2.6599999999999999E-2</v>
      </c>
      <c r="D3">
        <v>3.4799999999999998E-2</v>
      </c>
      <c r="E3">
        <v>4.4200000000000003E-2</v>
      </c>
      <c r="F3">
        <v>1.8000000000000001E-4</v>
      </c>
      <c r="G3">
        <v>6.3299999999999997E-3</v>
      </c>
      <c r="H3">
        <v>1.7500000000000002E-2</v>
      </c>
      <c r="I3">
        <v>1.7799999999999999E-4</v>
      </c>
      <c r="J3">
        <v>1.8699999999999999E-4</v>
      </c>
      <c r="K3">
        <v>2.14E-4</v>
      </c>
      <c r="L3">
        <v>590384</v>
      </c>
    </row>
    <row r="4" spans="1:12" x14ac:dyDescent="0.25">
      <c r="A4">
        <v>3</v>
      </c>
      <c r="B4">
        <v>2.87E-2</v>
      </c>
      <c r="C4">
        <v>2.6599999999999999E-2</v>
      </c>
      <c r="D4">
        <v>3.4799999999999998E-2</v>
      </c>
      <c r="E4">
        <v>4.4200000000000003E-2</v>
      </c>
      <c r="F4">
        <v>2.0100000000000001E-4</v>
      </c>
      <c r="G4">
        <v>6.3200000000000001E-3</v>
      </c>
      <c r="H4">
        <v>1.7500000000000002E-2</v>
      </c>
      <c r="I4">
        <v>1.7200000000000001E-4</v>
      </c>
      <c r="J4">
        <v>1.84E-4</v>
      </c>
      <c r="K4">
        <v>2.0799999999999999E-4</v>
      </c>
      <c r="L4">
        <v>629776</v>
      </c>
    </row>
    <row r="5" spans="1:12" x14ac:dyDescent="0.25">
      <c r="A5">
        <v>4</v>
      </c>
      <c r="B5">
        <v>2.87E-2</v>
      </c>
      <c r="C5">
        <v>2.6599999999999999E-2</v>
      </c>
      <c r="D5">
        <v>3.4799999999999998E-2</v>
      </c>
      <c r="E5">
        <v>4.4200000000000003E-2</v>
      </c>
      <c r="F5">
        <v>2.0100000000000001E-4</v>
      </c>
      <c r="G5">
        <v>6.3E-3</v>
      </c>
      <c r="H5">
        <v>1.7399999999999999E-2</v>
      </c>
      <c r="I5">
        <v>1.6699999999999999E-4</v>
      </c>
      <c r="J5">
        <v>1.8200000000000001E-4</v>
      </c>
      <c r="K5">
        <v>2.05E-4</v>
      </c>
      <c r="L5">
        <v>669168</v>
      </c>
    </row>
    <row r="6" spans="1:12" x14ac:dyDescent="0.25">
      <c r="A6">
        <v>5</v>
      </c>
      <c r="B6">
        <v>2.87E-2</v>
      </c>
      <c r="C6">
        <v>2.6599999999999999E-2</v>
      </c>
      <c r="D6">
        <v>3.4799999999999998E-2</v>
      </c>
      <c r="E6">
        <v>4.4200000000000003E-2</v>
      </c>
      <c r="F6">
        <v>2.04E-4</v>
      </c>
      <c r="G6">
        <v>6.2899999999999996E-3</v>
      </c>
      <c r="H6">
        <v>1.7399999999999999E-2</v>
      </c>
      <c r="I6">
        <v>1.7200000000000001E-4</v>
      </c>
      <c r="J6">
        <v>1.83E-4</v>
      </c>
      <c r="K6">
        <v>2.24E-4</v>
      </c>
      <c r="L6">
        <v>708560</v>
      </c>
    </row>
    <row r="7" spans="1:12" x14ac:dyDescent="0.25">
      <c r="A7">
        <v>6</v>
      </c>
      <c r="B7">
        <v>2.87E-2</v>
      </c>
      <c r="C7">
        <v>2.6599999999999999E-2</v>
      </c>
      <c r="D7">
        <v>3.4799999999999998E-2</v>
      </c>
      <c r="E7">
        <v>4.4200000000000003E-2</v>
      </c>
      <c r="F7">
        <v>2.0799999999999999E-4</v>
      </c>
      <c r="G7">
        <v>6.3099999999999996E-3</v>
      </c>
      <c r="H7">
        <v>1.7399999999999999E-2</v>
      </c>
      <c r="I7">
        <v>1.73E-4</v>
      </c>
      <c r="J7">
        <v>1.83E-4</v>
      </c>
      <c r="K7">
        <v>2.0900000000000001E-4</v>
      </c>
      <c r="L7">
        <v>747952</v>
      </c>
    </row>
    <row r="8" spans="1:12" x14ac:dyDescent="0.25">
      <c r="A8">
        <v>7</v>
      </c>
      <c r="B8">
        <v>2.87E-2</v>
      </c>
      <c r="C8">
        <v>2.6599999999999999E-2</v>
      </c>
      <c r="D8">
        <v>3.4799999999999998E-2</v>
      </c>
      <c r="E8">
        <v>4.4200000000000003E-2</v>
      </c>
      <c r="F8">
        <v>2.0599999999999999E-4</v>
      </c>
      <c r="G8">
        <v>6.3099999999999996E-3</v>
      </c>
      <c r="H8">
        <v>1.7399999999999999E-2</v>
      </c>
      <c r="I8">
        <v>1.6799999999999999E-4</v>
      </c>
      <c r="J8">
        <v>1.7899999999999999E-4</v>
      </c>
      <c r="K8">
        <v>2.02E-4</v>
      </c>
      <c r="L8">
        <v>787344</v>
      </c>
    </row>
    <row r="9" spans="1:12" x14ac:dyDescent="0.25">
      <c r="A9">
        <v>8</v>
      </c>
      <c r="B9">
        <v>2.87E-2</v>
      </c>
      <c r="C9">
        <v>2.6599999999999999E-2</v>
      </c>
      <c r="D9">
        <v>3.4799999999999998E-2</v>
      </c>
      <c r="E9">
        <v>4.4200000000000003E-2</v>
      </c>
      <c r="F9">
        <v>1.94E-4</v>
      </c>
      <c r="G9">
        <v>6.3200000000000001E-3</v>
      </c>
      <c r="H9">
        <v>1.7399999999999999E-2</v>
      </c>
      <c r="I9">
        <v>1.7100000000000001E-4</v>
      </c>
      <c r="J9">
        <v>1.8000000000000001E-4</v>
      </c>
      <c r="K9">
        <v>1.9900000000000001E-4</v>
      </c>
      <c r="L9">
        <v>826736</v>
      </c>
    </row>
    <row r="10" spans="1:12" x14ac:dyDescent="0.25">
      <c r="A10">
        <v>9</v>
      </c>
      <c r="B10">
        <v>2.87E-2</v>
      </c>
      <c r="C10">
        <v>2.6599999999999999E-2</v>
      </c>
      <c r="D10">
        <v>3.4799999999999998E-2</v>
      </c>
      <c r="E10">
        <v>4.4299999999999999E-2</v>
      </c>
      <c r="F10">
        <v>2.03E-4</v>
      </c>
      <c r="G10">
        <v>6.3099999999999996E-3</v>
      </c>
      <c r="H10">
        <v>1.7399999999999999E-2</v>
      </c>
      <c r="I10">
        <v>1.74E-4</v>
      </c>
      <c r="J10">
        <v>2.03E-4</v>
      </c>
      <c r="K10">
        <v>2.3599999999999999E-4</v>
      </c>
      <c r="L10">
        <v>866128</v>
      </c>
    </row>
    <row r="11" spans="1:12" x14ac:dyDescent="0.25">
      <c r="A11">
        <v>10</v>
      </c>
      <c r="B11">
        <v>2.8799999999999999E-2</v>
      </c>
      <c r="C11">
        <v>2.6599999999999999E-2</v>
      </c>
      <c r="D11">
        <v>3.4799999999999998E-2</v>
      </c>
      <c r="E11">
        <v>4.4299999999999999E-2</v>
      </c>
      <c r="F11">
        <v>2.1900000000000001E-4</v>
      </c>
      <c r="G11">
        <v>6.4400000000000004E-3</v>
      </c>
      <c r="H11">
        <v>1.7600000000000001E-2</v>
      </c>
      <c r="I11">
        <v>1.7000000000000001E-4</v>
      </c>
      <c r="J11">
        <v>1.8100000000000001E-4</v>
      </c>
      <c r="K11">
        <v>2.03E-4</v>
      </c>
      <c r="L11">
        <v>905520</v>
      </c>
    </row>
    <row r="12" spans="1:12" x14ac:dyDescent="0.25">
      <c r="A12" t="s">
        <v>12</v>
      </c>
      <c r="B12">
        <f>SUBTOTAL(101,_grav_32_10[total_time])</f>
        <v>2.877E-2</v>
      </c>
      <c r="C12">
        <f>SUBTOTAL(101,_grav_32_10[work_time_min])</f>
        <v>2.6600000000000006E-2</v>
      </c>
      <c r="D12">
        <f>SUBTOTAL(101,_grav_32_10[work_time_avg])</f>
        <v>3.4799999999999998E-2</v>
      </c>
      <c r="E12">
        <f>SUBTOTAL(101,_grav_32_10[work_time_max])</f>
        <v>4.4220000000000009E-2</v>
      </c>
      <c r="F12">
        <f>SUBTOTAL(101,_grav_32_10[prep_time_min])</f>
        <v>2.1340000000000001E-4</v>
      </c>
      <c r="G12">
        <f>SUBTOTAL(101,_grav_32_10[prep_time_avg])</f>
        <v>5.7407999999999999E-3</v>
      </c>
      <c r="H12">
        <f>SUBTOTAL(101,_grav_32_10[prep_time_max])</f>
        <v>1.5757E-2</v>
      </c>
      <c r="I12">
        <f>SUBTOTAL(101,_grav_32_10[comm_time_min])</f>
        <v>2.1559999999999998E-4</v>
      </c>
      <c r="J12">
        <f>SUBTOTAL(101,_grav_32_10[comm_time_avg])</f>
        <v>2.2939999999999999E-4</v>
      </c>
      <c r="K12">
        <f>SUBTOTAL(101,_grav_32_10[comm_time_max])</f>
        <v>2.5700000000000001E-4</v>
      </c>
      <c r="L12">
        <f>SUBTOTAL(101,_grav_32_10[max_alloced])</f>
        <v>728256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EAA4-6DE3-40BF-BBFC-85E125C37D5C}">
  <dimension ref="A1:M17"/>
  <sheetViews>
    <sheetView tabSelected="1" workbookViewId="0">
      <selection activeCell="A2" sqref="A2:E15"/>
    </sheetView>
  </sheetViews>
  <sheetFormatPr baseColWidth="10"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G1" t="s">
        <v>18</v>
      </c>
      <c r="H1" t="s">
        <v>19</v>
      </c>
      <c r="M1" t="s">
        <v>20</v>
      </c>
    </row>
    <row r="2" spans="1:13" x14ac:dyDescent="0.25">
      <c r="A2">
        <f>POWER(2,M2)</f>
        <v>1024</v>
      </c>
      <c r="B2">
        <f>_grav_32_10[[#Totals],[total_time]]</f>
        <v>2.877E-2</v>
      </c>
      <c r="C2">
        <f>_grav_32_10[[#Totals],[work_time_avg]]</f>
        <v>3.4799999999999998E-2</v>
      </c>
      <c r="D2">
        <f>_grav_32_10[[#Totals],[prep_time_avg]]</f>
        <v>5.7407999999999999E-3</v>
      </c>
      <c r="E2">
        <f>_grav_32_10[[#Totals],[comm_time_avg]]</f>
        <v>2.2939999999999999E-4</v>
      </c>
      <c r="H2">
        <f>B2/A2</f>
        <v>2.8095703125E-5</v>
      </c>
      <c r="M2">
        <v>10</v>
      </c>
    </row>
    <row r="3" spans="1:13" x14ac:dyDescent="0.25">
      <c r="A3">
        <f t="shared" ref="A3:A17" si="0">POWER(2,M3)</f>
        <v>2048</v>
      </c>
      <c r="B3">
        <f>_grav_32_11[[#Totals],[total_time]]</f>
        <v>6.701E-2</v>
      </c>
      <c r="C3">
        <f>_grav_32_11[[#Totals],[work_time_avg]]</f>
        <v>8.5709999999999995E-2</v>
      </c>
      <c r="D3">
        <f>_grav_32_11[[#Totals],[prep_time_avg]]</f>
        <v>1.0892299999999999E-2</v>
      </c>
      <c r="E3">
        <f>_grav_32_11[[#Totals],[comm_time_avg]]</f>
        <v>2.9619999999999999E-4</v>
      </c>
      <c r="G3">
        <f>B3/B2</f>
        <v>2.3291623218630519</v>
      </c>
      <c r="H3">
        <f t="shared" ref="H3:H17" si="1">B3/A3</f>
        <v>3.27197265625E-5</v>
      </c>
      <c r="M3">
        <v>11</v>
      </c>
    </row>
    <row r="4" spans="1:13" x14ac:dyDescent="0.25">
      <c r="A4">
        <f t="shared" si="0"/>
        <v>4096</v>
      </c>
      <c r="B4">
        <f>_grav_32_12[[#Totals],[total_time]]</f>
        <v>0.19619999999999999</v>
      </c>
      <c r="C4">
        <f>_grav_32_12[[#Totals],[work_time_avg]]</f>
        <v>0.23210000000000006</v>
      </c>
      <c r="D4">
        <f>_grav_32_12[[#Totals],[prep_time_avg]]</f>
        <v>2.4164000000000001E-2</v>
      </c>
      <c r="E4">
        <f>_grav_32_12[[#Totals],[comm_time_avg]]</f>
        <v>5.3210000000000009E-4</v>
      </c>
      <c r="G4">
        <f t="shared" ref="G4:G17" si="2">B4/B3</f>
        <v>2.9279212057901804</v>
      </c>
      <c r="H4">
        <f t="shared" si="1"/>
        <v>4.7900390624999996E-5</v>
      </c>
      <c r="M4">
        <v>12</v>
      </c>
    </row>
    <row r="5" spans="1:13" x14ac:dyDescent="0.25">
      <c r="A5">
        <f t="shared" si="0"/>
        <v>8192</v>
      </c>
      <c r="B5">
        <f>_grav_32_13[[#Totals],[total_time]]</f>
        <v>0.30970000000000003</v>
      </c>
      <c r="C5">
        <f>_grav_32_13[[#Totals],[work_time_avg]]</f>
        <v>0.35909999999999997</v>
      </c>
      <c r="D5">
        <f>_grav_32_13[[#Totals],[prep_time_avg]]</f>
        <v>3.6227999999999996E-2</v>
      </c>
      <c r="E5">
        <f>_grav_32_13[[#Totals],[comm_time_avg]]</f>
        <v>6.2439999999999989E-4</v>
      </c>
      <c r="G5">
        <f t="shared" si="2"/>
        <v>1.5784913353720695</v>
      </c>
      <c r="H5">
        <f t="shared" si="1"/>
        <v>3.7805175781250004E-5</v>
      </c>
      <c r="M5">
        <v>13</v>
      </c>
    </row>
    <row r="6" spans="1:13" x14ac:dyDescent="0.25">
      <c r="A6">
        <f t="shared" si="0"/>
        <v>16384</v>
      </c>
      <c r="B6">
        <f>_grav_32_14[[#Totals],[total_time]]</f>
        <v>0.7803000000000001</v>
      </c>
      <c r="C6">
        <f>_grav_32_14[[#Totals],[work_time_avg]]</f>
        <v>0.8901</v>
      </c>
      <c r="D6">
        <f>_grav_32_14[[#Totals],[prep_time_avg]]</f>
        <v>0.13181499999999999</v>
      </c>
      <c r="E6">
        <f>_grav_32_14[[#Totals],[comm_time_avg]]</f>
        <v>9.609000000000001E-4</v>
      </c>
      <c r="G6">
        <f t="shared" si="2"/>
        <v>2.5195350339037779</v>
      </c>
      <c r="H6">
        <f t="shared" si="1"/>
        <v>4.7625732421875006E-5</v>
      </c>
      <c r="M6">
        <v>14</v>
      </c>
    </row>
    <row r="7" spans="1:13" x14ac:dyDescent="0.25">
      <c r="A7">
        <f t="shared" si="0"/>
        <v>32768</v>
      </c>
      <c r="B7">
        <f>_grav_32_15[[#Totals],[total_time]]</f>
        <v>2.4020000000000001</v>
      </c>
      <c r="C7">
        <f>_grav_32_15[[#Totals],[work_time_avg]]</f>
        <v>2.5220000000000002</v>
      </c>
      <c r="D7">
        <f>_grav_32_15[[#Totals],[prep_time_avg]]</f>
        <v>0.17061299999999999</v>
      </c>
      <c r="E7">
        <f>_grav_32_15[[#Totals],[comm_time_avg]]</f>
        <v>1.6719999999999999E-3</v>
      </c>
      <c r="G7">
        <f t="shared" si="2"/>
        <v>3.0783032167115212</v>
      </c>
      <c r="H7">
        <f t="shared" si="1"/>
        <v>7.3303222656250004E-5</v>
      </c>
      <c r="M7">
        <v>15</v>
      </c>
    </row>
    <row r="8" spans="1:13" x14ac:dyDescent="0.25">
      <c r="A8">
        <f t="shared" si="0"/>
        <v>65536</v>
      </c>
      <c r="B8">
        <f>_grav_32_16[[#Totals],[total_time]]</f>
        <v>3.2880000000000003</v>
      </c>
      <c r="C8">
        <f>_grav_32_16[[#Totals],[work_time_avg]]</f>
        <v>3.4519999999999995</v>
      </c>
      <c r="D8">
        <f>_grav_32_16[[#Totals],[prep_time_avg]]</f>
        <v>0.18592999999999998</v>
      </c>
      <c r="E8">
        <f>_grav_32_16[[#Totals],[comm_time_avg]]</f>
        <v>1.634E-3</v>
      </c>
      <c r="G8">
        <f t="shared" si="2"/>
        <v>1.3688592839300584</v>
      </c>
      <c r="H8">
        <f t="shared" si="1"/>
        <v>5.0170898437500004E-5</v>
      </c>
      <c r="M8">
        <v>16</v>
      </c>
    </row>
    <row r="9" spans="1:13" x14ac:dyDescent="0.25">
      <c r="A9">
        <f t="shared" si="0"/>
        <v>131072</v>
      </c>
      <c r="B9">
        <f>_grav_32_17[[#Totals],[total_time]]</f>
        <v>8.5399999999999991</v>
      </c>
      <c r="C9">
        <f>_grav_32_17[[#Totals],[work_time_avg]]</f>
        <v>8.4320000000000004</v>
      </c>
      <c r="D9">
        <f>_grav_32_17[[#Totals],[prep_time_avg]]</f>
        <v>0.51350999999999991</v>
      </c>
      <c r="E9">
        <f>_grav_32_17[[#Totals],[comm_time_avg]]</f>
        <v>2.3280000000000006E-3</v>
      </c>
      <c r="G9">
        <f t="shared" si="2"/>
        <v>2.5973236009732354</v>
      </c>
      <c r="H9">
        <f t="shared" si="1"/>
        <v>6.5155029296874993E-5</v>
      </c>
      <c r="M9">
        <v>17</v>
      </c>
    </row>
    <row r="10" spans="1:13" x14ac:dyDescent="0.25">
      <c r="A10">
        <f t="shared" si="0"/>
        <v>262144</v>
      </c>
      <c r="B10">
        <f>_grav_32_18[[#Totals],[total_time]]</f>
        <v>19.900000000000002</v>
      </c>
      <c r="C10">
        <f>_grav_32_18[[#Totals],[work_time_avg]]</f>
        <v>27.939999999999998</v>
      </c>
      <c r="D10">
        <f>_grav_32_18[[#Totals],[prep_time_avg]]</f>
        <v>10.045369999999998</v>
      </c>
      <c r="E10">
        <f>_grav_32_18[[#Totals],[comm_time_avg]]</f>
        <v>5.1840000000000011E-3</v>
      </c>
      <c r="G10">
        <f t="shared" si="2"/>
        <v>2.3302107728337242</v>
      </c>
      <c r="H10">
        <f t="shared" si="1"/>
        <v>7.5912475585937508E-5</v>
      </c>
      <c r="M10">
        <v>18</v>
      </c>
    </row>
    <row r="11" spans="1:13" x14ac:dyDescent="0.25">
      <c r="A11">
        <f t="shared" si="0"/>
        <v>524288</v>
      </c>
      <c r="B11">
        <f>_grav_32_19[[#Totals],[total_time]]</f>
        <v>27.01</v>
      </c>
      <c r="C11">
        <f>_grav_32_19[[#Totals],[work_time_avg]]</f>
        <v>36.44</v>
      </c>
      <c r="D11">
        <f>_grav_32_19[[#Totals],[prep_time_avg]]</f>
        <v>9.9601000000000006</v>
      </c>
      <c r="E11">
        <f>_grav_32_19[[#Totals],[comm_time_avg]]</f>
        <v>5.0489999999999997E-3</v>
      </c>
      <c r="G11">
        <f t="shared" si="2"/>
        <v>1.357286432160804</v>
      </c>
      <c r="H11">
        <f t="shared" si="1"/>
        <v>5.1517486572265628E-5</v>
      </c>
      <c r="M11">
        <v>19</v>
      </c>
    </row>
    <row r="12" spans="1:13" x14ac:dyDescent="0.25">
      <c r="A12">
        <f t="shared" si="0"/>
        <v>1048576</v>
      </c>
      <c r="B12">
        <f>_grav_32_20[[#Totals],[total_time]]</f>
        <v>65.41</v>
      </c>
      <c r="C12">
        <f>_grav_32_20[[#Totals],[work_time_avg]]</f>
        <v>88.109999999999985</v>
      </c>
      <c r="D12">
        <f>_grav_32_20[[#Totals],[prep_time_avg]]</f>
        <v>38.092800000000004</v>
      </c>
      <c r="E12">
        <f>_grav_32_20[[#Totals],[comm_time_avg]]</f>
        <v>9.0240000000000008E-3</v>
      </c>
      <c r="G12">
        <f t="shared" si="2"/>
        <v>2.4216956682710107</v>
      </c>
      <c r="H12">
        <f t="shared" si="1"/>
        <v>6.2379837036132809E-5</v>
      </c>
      <c r="M12">
        <v>20</v>
      </c>
    </row>
    <row r="13" spans="1:13" x14ac:dyDescent="0.25">
      <c r="A13">
        <f t="shared" si="0"/>
        <v>2097152</v>
      </c>
      <c r="B13">
        <f>_grav_32_21[[#Totals],[total_time]]</f>
        <v>170</v>
      </c>
      <c r="C13">
        <f>_grav_32_21[[#Totals],[work_time_avg]]</f>
        <v>193.22222222222223</v>
      </c>
      <c r="D13">
        <f>_grav_32_21[[#Totals],[prep_time_avg]]</f>
        <v>149.20177777777778</v>
      </c>
      <c r="E13">
        <f>_grav_32_21[[#Totals],[comm_time_avg]]</f>
        <v>1.418888888888889E-2</v>
      </c>
      <c r="G13">
        <f t="shared" si="2"/>
        <v>2.5989909799724815</v>
      </c>
      <c r="H13">
        <f t="shared" si="1"/>
        <v>8.106231689453125E-5</v>
      </c>
      <c r="M13">
        <v>21</v>
      </c>
    </row>
    <row r="14" spans="1:13" x14ac:dyDescent="0.25">
      <c r="A14">
        <f t="shared" si="0"/>
        <v>4194304</v>
      </c>
      <c r="B14">
        <f>_grav_32_22[[#Totals],[total_time]]</f>
        <v>239.1</v>
      </c>
      <c r="C14">
        <f>_grav_32_22[[#Totals],[work_time_avg]]</f>
        <v>269.2</v>
      </c>
      <c r="D14">
        <f>_grav_32_22[[#Totals],[prep_time_avg]]</f>
        <v>109.70399999999999</v>
      </c>
      <c r="E14">
        <f>_grav_32_22[[#Totals],[comm_time_avg]]</f>
        <v>1.5479999999999999E-2</v>
      </c>
      <c r="G14">
        <f t="shared" si="2"/>
        <v>1.4064705882352941</v>
      </c>
      <c r="H14">
        <f t="shared" si="1"/>
        <v>5.7005882263183592E-5</v>
      </c>
      <c r="M14">
        <v>22</v>
      </c>
    </row>
    <row r="15" spans="1:13" x14ac:dyDescent="0.25">
      <c r="A15">
        <f t="shared" si="0"/>
        <v>8388608</v>
      </c>
      <c r="B15">
        <f>_grav_32_23[[#Totals],[total_time]]</f>
        <v>580.4</v>
      </c>
      <c r="C15">
        <f>_grav_32_23[[#Totals],[work_time_avg]]</f>
        <v>592.4</v>
      </c>
      <c r="D15">
        <f>_grav_32_23[[#Totals],[prep_time_avg]]</f>
        <v>8.1789999999999985</v>
      </c>
      <c r="E15">
        <f>_grav_32_23[[#Totals],[comm_time_avg]]</f>
        <v>2.3210000000000001E-2</v>
      </c>
      <c r="G15">
        <f t="shared" si="2"/>
        <v>2.4274362191551653</v>
      </c>
      <c r="H15">
        <f t="shared" si="1"/>
        <v>6.9189071655273435E-5</v>
      </c>
      <c r="M15">
        <v>23</v>
      </c>
    </row>
    <row r="16" spans="1:13" x14ac:dyDescent="0.25">
      <c r="A16">
        <f t="shared" si="0"/>
        <v>16777216</v>
      </c>
      <c r="M16">
        <v>24</v>
      </c>
    </row>
    <row r="17" spans="1:13" x14ac:dyDescent="0.25">
      <c r="A17">
        <f t="shared" si="0"/>
        <v>33554432</v>
      </c>
      <c r="M17">
        <v>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AB42-39D7-47AD-AE10-4091D91BF92A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239</v>
      </c>
      <c r="C2">
        <v>239</v>
      </c>
      <c r="D2">
        <v>269</v>
      </c>
      <c r="E2">
        <v>416</v>
      </c>
      <c r="F2">
        <v>2.5299999999999998</v>
      </c>
      <c r="G2">
        <v>3.04</v>
      </c>
      <c r="H2">
        <v>3.17</v>
      </c>
      <c r="I2">
        <v>1.66E-2</v>
      </c>
      <c r="J2">
        <v>1.9400000000000001E-2</v>
      </c>
      <c r="K2">
        <v>2.2800000000000001E-2</v>
      </c>
      <c r="L2">
        <v>1152431332</v>
      </c>
    </row>
    <row r="3" spans="1:12" x14ac:dyDescent="0.25">
      <c r="A3">
        <v>2</v>
      </c>
      <c r="B3">
        <v>239</v>
      </c>
      <c r="C3">
        <v>239</v>
      </c>
      <c r="D3">
        <v>269</v>
      </c>
      <c r="E3">
        <v>416</v>
      </c>
      <c r="F3">
        <v>2.62</v>
      </c>
      <c r="G3">
        <v>121</v>
      </c>
      <c r="H3">
        <v>178</v>
      </c>
      <c r="I3">
        <v>1.09E-2</v>
      </c>
      <c r="J3">
        <v>1.49E-2</v>
      </c>
      <c r="K3">
        <v>1.9400000000000001E-2</v>
      </c>
      <c r="L3">
        <v>1159532164</v>
      </c>
    </row>
    <row r="4" spans="1:12" x14ac:dyDescent="0.25">
      <c r="A4">
        <v>3</v>
      </c>
      <c r="B4">
        <v>239</v>
      </c>
      <c r="C4">
        <v>239</v>
      </c>
      <c r="D4">
        <v>269</v>
      </c>
      <c r="E4">
        <v>416</v>
      </c>
      <c r="F4">
        <v>2.62</v>
      </c>
      <c r="G4">
        <v>121</v>
      </c>
      <c r="H4">
        <v>178</v>
      </c>
      <c r="I4">
        <v>1.0999999999999999E-2</v>
      </c>
      <c r="J4">
        <v>1.4800000000000001E-2</v>
      </c>
      <c r="K4">
        <v>1.9400000000000001E-2</v>
      </c>
      <c r="L4">
        <v>1166632996</v>
      </c>
    </row>
    <row r="5" spans="1:12" x14ac:dyDescent="0.25">
      <c r="A5">
        <v>4</v>
      </c>
      <c r="B5">
        <v>239</v>
      </c>
      <c r="C5">
        <v>239</v>
      </c>
      <c r="D5">
        <v>269</v>
      </c>
      <c r="E5">
        <v>416</v>
      </c>
      <c r="F5">
        <v>2.62</v>
      </c>
      <c r="G5">
        <v>121</v>
      </c>
      <c r="H5">
        <v>178</v>
      </c>
      <c r="I5">
        <v>1.12E-2</v>
      </c>
      <c r="J5">
        <v>1.52E-2</v>
      </c>
      <c r="K5">
        <v>1.9699999999999999E-2</v>
      </c>
      <c r="L5">
        <v>1173733828</v>
      </c>
    </row>
    <row r="6" spans="1:12" x14ac:dyDescent="0.25">
      <c r="A6">
        <v>5</v>
      </c>
      <c r="B6">
        <v>239</v>
      </c>
      <c r="C6">
        <v>239</v>
      </c>
      <c r="D6">
        <v>269</v>
      </c>
      <c r="E6">
        <v>416</v>
      </c>
      <c r="F6">
        <v>2.62</v>
      </c>
      <c r="G6">
        <v>121</v>
      </c>
      <c r="H6">
        <v>178</v>
      </c>
      <c r="I6">
        <v>1.11E-2</v>
      </c>
      <c r="J6">
        <v>1.4800000000000001E-2</v>
      </c>
      <c r="K6">
        <v>1.95E-2</v>
      </c>
      <c r="L6">
        <v>1180834660</v>
      </c>
    </row>
    <row r="7" spans="1:12" x14ac:dyDescent="0.25">
      <c r="A7">
        <v>6</v>
      </c>
      <c r="B7">
        <v>239</v>
      </c>
      <c r="C7">
        <v>239</v>
      </c>
      <c r="D7">
        <v>269</v>
      </c>
      <c r="E7">
        <v>416</v>
      </c>
      <c r="F7">
        <v>2.63</v>
      </c>
      <c r="G7">
        <v>121</v>
      </c>
      <c r="H7">
        <v>178</v>
      </c>
      <c r="I7">
        <v>1.09E-2</v>
      </c>
      <c r="J7">
        <v>1.49E-2</v>
      </c>
      <c r="K7">
        <v>0.02</v>
      </c>
      <c r="L7">
        <v>1187935492</v>
      </c>
    </row>
    <row r="8" spans="1:12" x14ac:dyDescent="0.25">
      <c r="A8">
        <v>7</v>
      </c>
      <c r="B8">
        <v>239</v>
      </c>
      <c r="C8">
        <v>239</v>
      </c>
      <c r="D8">
        <v>269</v>
      </c>
      <c r="E8">
        <v>416</v>
      </c>
      <c r="F8">
        <v>2.62</v>
      </c>
      <c r="G8">
        <v>122</v>
      </c>
      <c r="H8">
        <v>178</v>
      </c>
      <c r="I8">
        <v>1.11E-2</v>
      </c>
      <c r="J8">
        <v>1.5100000000000001E-2</v>
      </c>
      <c r="K8">
        <v>2.0199999999999999E-2</v>
      </c>
      <c r="L8">
        <v>1195036324</v>
      </c>
    </row>
    <row r="9" spans="1:12" x14ac:dyDescent="0.25">
      <c r="A9">
        <v>8</v>
      </c>
      <c r="B9">
        <v>240</v>
      </c>
      <c r="C9">
        <v>240</v>
      </c>
      <c r="D9">
        <v>271</v>
      </c>
      <c r="E9">
        <v>422</v>
      </c>
      <c r="F9">
        <v>2.62</v>
      </c>
      <c r="G9">
        <v>121</v>
      </c>
      <c r="H9">
        <v>178</v>
      </c>
      <c r="I9">
        <v>1.0999999999999999E-2</v>
      </c>
      <c r="J9">
        <v>1.52E-2</v>
      </c>
      <c r="K9">
        <v>2.0299999999999999E-2</v>
      </c>
      <c r="L9">
        <v>1202137156</v>
      </c>
    </row>
    <row r="10" spans="1:12" x14ac:dyDescent="0.25">
      <c r="A10">
        <v>9</v>
      </c>
      <c r="B10">
        <v>239</v>
      </c>
      <c r="C10">
        <v>239</v>
      </c>
      <c r="D10">
        <v>269</v>
      </c>
      <c r="E10">
        <v>416</v>
      </c>
      <c r="F10">
        <v>2.62</v>
      </c>
      <c r="G10">
        <v>125</v>
      </c>
      <c r="H10">
        <v>184</v>
      </c>
      <c r="I10">
        <v>1.09E-2</v>
      </c>
      <c r="J10">
        <v>1.5100000000000001E-2</v>
      </c>
      <c r="K10">
        <v>2.0299999999999999E-2</v>
      </c>
      <c r="L10">
        <v>1209237988</v>
      </c>
    </row>
    <row r="11" spans="1:12" x14ac:dyDescent="0.25">
      <c r="A11">
        <v>10</v>
      </c>
      <c r="B11">
        <v>239</v>
      </c>
      <c r="C11">
        <v>240</v>
      </c>
      <c r="D11">
        <v>269</v>
      </c>
      <c r="E11">
        <v>418</v>
      </c>
      <c r="F11">
        <v>2.62</v>
      </c>
      <c r="G11">
        <v>121</v>
      </c>
      <c r="H11">
        <v>178</v>
      </c>
      <c r="I11">
        <v>1.12E-2</v>
      </c>
      <c r="J11">
        <v>1.54E-2</v>
      </c>
      <c r="K11">
        <v>2.06E-2</v>
      </c>
      <c r="L11">
        <v>1216338820</v>
      </c>
    </row>
    <row r="12" spans="1:12" x14ac:dyDescent="0.25">
      <c r="A12" t="s">
        <v>12</v>
      </c>
      <c r="B12">
        <f>SUBTOTAL(101,_grav_32_22[total_time])</f>
        <v>239.1</v>
      </c>
      <c r="C12">
        <f>SUBTOTAL(101,_grav_32_22[work_time_min])</f>
        <v>239.2</v>
      </c>
      <c r="D12">
        <f>SUBTOTAL(101,_grav_32_22[work_time_avg])</f>
        <v>269.2</v>
      </c>
      <c r="E12">
        <f>SUBTOTAL(101,_grav_32_22[work_time_max])</f>
        <v>416.8</v>
      </c>
      <c r="F12">
        <f>SUBTOTAL(101,_grav_32_22[prep_time_min])</f>
        <v>2.6120000000000005</v>
      </c>
      <c r="G12">
        <f>SUBTOTAL(101,_grav_32_22[prep_time_avg])</f>
        <v>109.70399999999999</v>
      </c>
      <c r="H12">
        <f>SUBTOTAL(101,_grav_32_22[prep_time_max])</f>
        <v>161.11700000000002</v>
      </c>
      <c r="I12">
        <f>SUBTOTAL(101,_grav_32_22[comm_time_min])</f>
        <v>1.159E-2</v>
      </c>
      <c r="J12">
        <f>SUBTOTAL(101,_grav_32_22[comm_time_avg])</f>
        <v>1.5479999999999999E-2</v>
      </c>
      <c r="K12">
        <f>SUBTOTAL(101,_grav_32_22[comm_time_max])</f>
        <v>2.0219999999999998E-2</v>
      </c>
      <c r="L12">
        <f>SUBTOTAL(101,_grav_32_22[max_alloced])</f>
        <v>1184385076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808-6351-4878-A57D-29C3075A5C30}">
  <dimension ref="A1:L11"/>
  <sheetViews>
    <sheetView workbookViewId="0">
      <selection activeCell="A11" sqref="A11:L11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170</v>
      </c>
      <c r="C2">
        <v>171</v>
      </c>
      <c r="D2">
        <v>194</v>
      </c>
      <c r="E2">
        <v>387</v>
      </c>
      <c r="F2">
        <v>0.64300000000000002</v>
      </c>
      <c r="G2">
        <v>0.81599999999999995</v>
      </c>
      <c r="H2">
        <v>0.876</v>
      </c>
      <c r="I2">
        <v>1.5299999999999999E-2</v>
      </c>
      <c r="J2">
        <v>1.7500000000000002E-2</v>
      </c>
      <c r="K2">
        <v>2.07E-2</v>
      </c>
      <c r="L2">
        <v>588795728</v>
      </c>
    </row>
    <row r="3" spans="1:12" x14ac:dyDescent="0.25">
      <c r="A3">
        <v>2</v>
      </c>
      <c r="B3">
        <v>170</v>
      </c>
      <c r="C3">
        <v>171</v>
      </c>
      <c r="D3">
        <v>193</v>
      </c>
      <c r="E3">
        <v>387</v>
      </c>
      <c r="F3">
        <v>0.68</v>
      </c>
      <c r="G3">
        <v>167</v>
      </c>
      <c r="H3">
        <v>216</v>
      </c>
      <c r="I3">
        <v>1.1299999999999999E-2</v>
      </c>
      <c r="J3">
        <v>1.4E-2</v>
      </c>
      <c r="K3">
        <v>1.8499999999999999E-2</v>
      </c>
      <c r="L3">
        <v>592833904</v>
      </c>
    </row>
    <row r="4" spans="1:12" x14ac:dyDescent="0.25">
      <c r="A4">
        <v>3</v>
      </c>
      <c r="B4">
        <v>170</v>
      </c>
      <c r="C4">
        <v>171</v>
      </c>
      <c r="D4">
        <v>193</v>
      </c>
      <c r="E4">
        <v>387</v>
      </c>
      <c r="F4">
        <v>0.68100000000000005</v>
      </c>
      <c r="G4">
        <v>167</v>
      </c>
      <c r="H4">
        <v>216</v>
      </c>
      <c r="I4">
        <v>1.0999999999999999E-2</v>
      </c>
      <c r="J4">
        <v>1.37E-2</v>
      </c>
      <c r="K4">
        <v>1.8200000000000001E-2</v>
      </c>
      <c r="L4">
        <v>596872080</v>
      </c>
    </row>
    <row r="5" spans="1:12" x14ac:dyDescent="0.25">
      <c r="A5">
        <v>4</v>
      </c>
      <c r="B5">
        <v>170</v>
      </c>
      <c r="C5">
        <v>171</v>
      </c>
      <c r="D5">
        <v>193</v>
      </c>
      <c r="E5">
        <v>387</v>
      </c>
      <c r="F5">
        <v>0.68</v>
      </c>
      <c r="G5">
        <v>167</v>
      </c>
      <c r="H5">
        <v>216</v>
      </c>
      <c r="I5">
        <v>1.0699999999999999E-2</v>
      </c>
      <c r="J5">
        <v>1.3599999999999999E-2</v>
      </c>
      <c r="K5">
        <v>1.78E-2</v>
      </c>
      <c r="L5">
        <v>600910256</v>
      </c>
    </row>
    <row r="6" spans="1:12" x14ac:dyDescent="0.25">
      <c r="A6">
        <v>5</v>
      </c>
      <c r="B6">
        <v>170</v>
      </c>
      <c r="C6">
        <v>171</v>
      </c>
      <c r="D6">
        <v>193</v>
      </c>
      <c r="E6">
        <v>387</v>
      </c>
      <c r="F6">
        <v>0.67800000000000005</v>
      </c>
      <c r="G6">
        <v>167</v>
      </c>
      <c r="H6">
        <v>216</v>
      </c>
      <c r="I6">
        <v>1.0699999999999999E-2</v>
      </c>
      <c r="J6">
        <v>1.37E-2</v>
      </c>
      <c r="K6">
        <v>1.78E-2</v>
      </c>
      <c r="L6">
        <v>604948432</v>
      </c>
    </row>
    <row r="7" spans="1:12" x14ac:dyDescent="0.25">
      <c r="A7">
        <v>6</v>
      </c>
      <c r="B7">
        <v>170</v>
      </c>
      <c r="C7">
        <v>171</v>
      </c>
      <c r="D7">
        <v>193</v>
      </c>
      <c r="E7">
        <v>387</v>
      </c>
      <c r="F7">
        <v>0.69499999999999995</v>
      </c>
      <c r="G7">
        <v>167</v>
      </c>
      <c r="H7">
        <v>216</v>
      </c>
      <c r="I7">
        <v>1.0699999999999999E-2</v>
      </c>
      <c r="J7">
        <v>1.35E-2</v>
      </c>
      <c r="K7">
        <v>1.7500000000000002E-2</v>
      </c>
      <c r="L7">
        <v>608986608</v>
      </c>
    </row>
    <row r="8" spans="1:12" x14ac:dyDescent="0.25">
      <c r="A8">
        <v>7</v>
      </c>
      <c r="B8">
        <v>170</v>
      </c>
      <c r="C8">
        <v>171</v>
      </c>
      <c r="D8">
        <v>193</v>
      </c>
      <c r="E8">
        <v>387</v>
      </c>
      <c r="F8">
        <v>0.67800000000000005</v>
      </c>
      <c r="G8">
        <v>167</v>
      </c>
      <c r="H8">
        <v>216</v>
      </c>
      <c r="I8">
        <v>1.09E-2</v>
      </c>
      <c r="J8">
        <v>1.3899999999999999E-2</v>
      </c>
      <c r="K8">
        <v>1.78E-2</v>
      </c>
      <c r="L8">
        <v>613024784</v>
      </c>
    </row>
    <row r="9" spans="1:12" x14ac:dyDescent="0.25">
      <c r="A9">
        <v>8</v>
      </c>
      <c r="B9">
        <v>170</v>
      </c>
      <c r="C9">
        <v>171</v>
      </c>
      <c r="D9">
        <v>194</v>
      </c>
      <c r="E9">
        <v>395</v>
      </c>
      <c r="F9">
        <v>0.68200000000000005</v>
      </c>
      <c r="G9">
        <v>167</v>
      </c>
      <c r="H9">
        <v>216</v>
      </c>
      <c r="I9">
        <v>1.0800000000000001E-2</v>
      </c>
      <c r="J9">
        <v>1.3899999999999999E-2</v>
      </c>
      <c r="K9">
        <v>1.7899999999999999E-2</v>
      </c>
      <c r="L9">
        <v>617062960</v>
      </c>
    </row>
    <row r="10" spans="1:12" ht="15.75" thickBot="1" x14ac:dyDescent="0.3">
      <c r="A10">
        <v>9</v>
      </c>
      <c r="B10">
        <v>170</v>
      </c>
      <c r="C10">
        <v>171</v>
      </c>
      <c r="D10">
        <v>193</v>
      </c>
      <c r="E10">
        <v>387</v>
      </c>
      <c r="F10">
        <v>0.68899999999999995</v>
      </c>
      <c r="G10">
        <v>173</v>
      </c>
      <c r="H10">
        <v>224</v>
      </c>
      <c r="I10">
        <v>1.06E-2</v>
      </c>
      <c r="J10">
        <v>1.3899999999999999E-2</v>
      </c>
      <c r="K10">
        <v>1.7899999999999999E-2</v>
      </c>
      <c r="L10">
        <v>621101136</v>
      </c>
    </row>
    <row r="11" spans="1:12" ht="15.75" thickTop="1" x14ac:dyDescent="0.25">
      <c r="A11" s="3" t="s">
        <v>12</v>
      </c>
      <c r="B11" s="1">
        <f>SUBTOTAL(101,_grav_32_21[total_time])</f>
        <v>170</v>
      </c>
      <c r="C11" s="1">
        <f>SUBTOTAL(101,_grav_32_21[work_time_min])</f>
        <v>171</v>
      </c>
      <c r="D11" s="1">
        <f>SUBTOTAL(101,_grav_32_21[work_time_avg])</f>
        <v>193.22222222222223</v>
      </c>
      <c r="E11" s="1">
        <f>SUBTOTAL(101,_grav_32_21[work_time_max])</f>
        <v>387.88888888888891</v>
      </c>
      <c r="F11" s="1">
        <f>SUBTOTAL(101,_grav_32_21[prep_time_min])</f>
        <v>0.67844444444444452</v>
      </c>
      <c r="G11" s="1">
        <f>SUBTOTAL(101,_grav_32_21[prep_time_avg])</f>
        <v>149.20177777777778</v>
      </c>
      <c r="H11" s="1">
        <f>SUBTOTAL(101,_grav_32_21[prep_time_max])</f>
        <v>192.98622222222221</v>
      </c>
      <c r="I11" s="1">
        <f>SUBTOTAL(101,_grav_32_21[comm_time_min])</f>
        <v>1.1333333333333334E-2</v>
      </c>
      <c r="J11" s="1">
        <f>SUBTOTAL(101,_grav_32_21[comm_time_avg])</f>
        <v>1.418888888888889E-2</v>
      </c>
      <c r="K11" s="1">
        <f>SUBTOTAL(101,_grav_32_21[comm_time_max])</f>
        <v>1.8233333333333334E-2</v>
      </c>
      <c r="L11" s="2">
        <f>SUBTOTAL(101,_grav_32_21[max_alloced])</f>
        <v>604948432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9DBB-2885-4E79-811F-91557D80A04C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65.5</v>
      </c>
      <c r="C2">
        <v>66</v>
      </c>
      <c r="D2">
        <v>88</v>
      </c>
      <c r="E2">
        <v>144</v>
      </c>
      <c r="F2">
        <v>0.26500000000000001</v>
      </c>
      <c r="G2">
        <v>0.32800000000000001</v>
      </c>
      <c r="H2">
        <v>0.36199999999999999</v>
      </c>
      <c r="I2">
        <v>9.3900000000000008E-3</v>
      </c>
      <c r="J2">
        <v>1.0999999999999999E-2</v>
      </c>
      <c r="K2">
        <v>1.24E-2</v>
      </c>
      <c r="L2">
        <v>295745460</v>
      </c>
    </row>
    <row r="3" spans="1:12" x14ac:dyDescent="0.25">
      <c r="A3">
        <v>2</v>
      </c>
      <c r="B3">
        <v>65.400000000000006</v>
      </c>
      <c r="C3">
        <v>66</v>
      </c>
      <c r="D3">
        <v>88</v>
      </c>
      <c r="E3">
        <v>144</v>
      </c>
      <c r="F3">
        <v>0.25900000000000001</v>
      </c>
      <c r="G3">
        <v>42.1</v>
      </c>
      <c r="H3">
        <v>78.099999999999994</v>
      </c>
      <c r="I3">
        <v>7.0800000000000004E-3</v>
      </c>
      <c r="J3">
        <v>8.8900000000000003E-3</v>
      </c>
      <c r="K3">
        <v>1.0800000000000001E-2</v>
      </c>
      <c r="L3">
        <v>298233716</v>
      </c>
    </row>
    <row r="4" spans="1:12" x14ac:dyDescent="0.25">
      <c r="A4">
        <v>3</v>
      </c>
      <c r="B4">
        <v>65.400000000000006</v>
      </c>
      <c r="C4">
        <v>66</v>
      </c>
      <c r="D4">
        <v>88</v>
      </c>
      <c r="E4">
        <v>144</v>
      </c>
      <c r="F4">
        <v>0.26200000000000001</v>
      </c>
      <c r="G4">
        <v>42.1</v>
      </c>
      <c r="H4">
        <v>78.099999999999994</v>
      </c>
      <c r="I4">
        <v>7.1300000000000001E-3</v>
      </c>
      <c r="J4">
        <v>8.9099999999999995E-3</v>
      </c>
      <c r="K4">
        <v>1.0800000000000001E-2</v>
      </c>
      <c r="L4">
        <v>300721972</v>
      </c>
    </row>
    <row r="5" spans="1:12" x14ac:dyDescent="0.25">
      <c r="A5">
        <v>4</v>
      </c>
      <c r="B5">
        <v>65.400000000000006</v>
      </c>
      <c r="C5">
        <v>66</v>
      </c>
      <c r="D5">
        <v>88</v>
      </c>
      <c r="E5">
        <v>144</v>
      </c>
      <c r="F5">
        <v>0.26800000000000002</v>
      </c>
      <c r="G5">
        <v>42.1</v>
      </c>
      <c r="H5">
        <v>78.099999999999994</v>
      </c>
      <c r="I5">
        <v>7.0600000000000003E-3</v>
      </c>
      <c r="J5">
        <v>8.5299999999999994E-3</v>
      </c>
      <c r="K5">
        <v>1.01E-2</v>
      </c>
      <c r="L5">
        <v>303210228</v>
      </c>
    </row>
    <row r="6" spans="1:12" x14ac:dyDescent="0.25">
      <c r="A6">
        <v>5</v>
      </c>
      <c r="B6">
        <v>65.400000000000006</v>
      </c>
      <c r="C6">
        <v>65.900000000000006</v>
      </c>
      <c r="D6">
        <v>88</v>
      </c>
      <c r="E6">
        <v>144</v>
      </c>
      <c r="F6">
        <v>0.25900000000000001</v>
      </c>
      <c r="G6">
        <v>42.1</v>
      </c>
      <c r="H6">
        <v>78.099999999999994</v>
      </c>
      <c r="I6">
        <v>6.8599999999999998E-3</v>
      </c>
      <c r="J6">
        <v>8.8000000000000005E-3</v>
      </c>
      <c r="K6">
        <v>1.0699999999999999E-2</v>
      </c>
      <c r="L6">
        <v>305698484</v>
      </c>
    </row>
    <row r="7" spans="1:12" x14ac:dyDescent="0.25">
      <c r="A7">
        <v>6</v>
      </c>
      <c r="B7">
        <v>65.400000000000006</v>
      </c>
      <c r="C7">
        <v>65.900000000000006</v>
      </c>
      <c r="D7">
        <v>88</v>
      </c>
      <c r="E7">
        <v>144</v>
      </c>
      <c r="F7">
        <v>0.26</v>
      </c>
      <c r="G7">
        <v>42.1</v>
      </c>
      <c r="H7">
        <v>78.099999999999994</v>
      </c>
      <c r="I7">
        <v>6.79E-3</v>
      </c>
      <c r="J7">
        <v>8.77E-3</v>
      </c>
      <c r="K7">
        <v>1.0999999999999999E-2</v>
      </c>
      <c r="L7">
        <v>308186740</v>
      </c>
    </row>
    <row r="8" spans="1:12" x14ac:dyDescent="0.25">
      <c r="A8">
        <v>7</v>
      </c>
      <c r="B8">
        <v>65.400000000000006</v>
      </c>
      <c r="C8">
        <v>65.900000000000006</v>
      </c>
      <c r="D8">
        <v>88</v>
      </c>
      <c r="E8">
        <v>144</v>
      </c>
      <c r="F8">
        <v>0.26100000000000001</v>
      </c>
      <c r="G8">
        <v>42.1</v>
      </c>
      <c r="H8">
        <v>78.099999999999994</v>
      </c>
      <c r="I8">
        <v>7.1900000000000002E-3</v>
      </c>
      <c r="J8">
        <v>9.0500000000000008E-3</v>
      </c>
      <c r="K8">
        <v>1.0999999999999999E-2</v>
      </c>
      <c r="L8">
        <v>310674996</v>
      </c>
    </row>
    <row r="9" spans="1:12" x14ac:dyDescent="0.25">
      <c r="A9">
        <v>8</v>
      </c>
      <c r="B9">
        <v>65.400000000000006</v>
      </c>
      <c r="C9">
        <v>66</v>
      </c>
      <c r="D9">
        <v>88.8</v>
      </c>
      <c r="E9">
        <v>147</v>
      </c>
      <c r="F9">
        <v>0.252</v>
      </c>
      <c r="G9">
        <v>42.1</v>
      </c>
      <c r="H9">
        <v>78.099999999999994</v>
      </c>
      <c r="I9">
        <v>6.8100000000000001E-3</v>
      </c>
      <c r="J9">
        <v>8.6899999999999998E-3</v>
      </c>
      <c r="K9">
        <v>1.0699999999999999E-2</v>
      </c>
      <c r="L9">
        <v>313163252</v>
      </c>
    </row>
    <row r="10" spans="1:12" x14ac:dyDescent="0.25">
      <c r="A10">
        <v>9</v>
      </c>
      <c r="B10">
        <v>65.400000000000006</v>
      </c>
      <c r="C10">
        <v>65.900000000000006</v>
      </c>
      <c r="D10">
        <v>88</v>
      </c>
      <c r="E10">
        <v>144</v>
      </c>
      <c r="F10">
        <v>0.25800000000000001</v>
      </c>
      <c r="G10">
        <v>43.8</v>
      </c>
      <c r="H10">
        <v>81.2</v>
      </c>
      <c r="I10">
        <v>6.7600000000000004E-3</v>
      </c>
      <c r="J10">
        <v>8.7600000000000004E-3</v>
      </c>
      <c r="K10">
        <v>1.0800000000000001E-2</v>
      </c>
      <c r="L10">
        <v>315651508</v>
      </c>
    </row>
    <row r="11" spans="1:12" x14ac:dyDescent="0.25">
      <c r="A11">
        <v>10</v>
      </c>
      <c r="B11">
        <v>65.400000000000006</v>
      </c>
      <c r="C11">
        <v>65.900000000000006</v>
      </c>
      <c r="D11">
        <v>88.3</v>
      </c>
      <c r="E11">
        <v>145</v>
      </c>
      <c r="F11">
        <v>0.26100000000000001</v>
      </c>
      <c r="G11">
        <v>42.1</v>
      </c>
      <c r="H11">
        <v>78.099999999999994</v>
      </c>
      <c r="I11">
        <v>6.8199999999999997E-3</v>
      </c>
      <c r="J11">
        <v>8.8400000000000006E-3</v>
      </c>
      <c r="K11">
        <v>1.0800000000000001E-2</v>
      </c>
      <c r="L11">
        <v>318139764</v>
      </c>
    </row>
    <row r="12" spans="1:12" x14ac:dyDescent="0.25">
      <c r="A12" t="s">
        <v>12</v>
      </c>
      <c r="B12">
        <f>SUBTOTAL(101,_grav_32_20[total_time])</f>
        <v>65.41</v>
      </c>
      <c r="C12">
        <f>SUBTOTAL(101,_grav_32_20[work_time_min])</f>
        <v>65.949999999999989</v>
      </c>
      <c r="D12">
        <f>SUBTOTAL(101,_grav_32_20[work_time_avg])</f>
        <v>88.109999999999985</v>
      </c>
      <c r="E12">
        <f>SUBTOTAL(101,_grav_32_20[work_time_max])</f>
        <v>144.4</v>
      </c>
      <c r="F12">
        <f>SUBTOTAL(101,_grav_32_20[prep_time_min])</f>
        <v>0.26050000000000006</v>
      </c>
      <c r="G12">
        <f>SUBTOTAL(101,_grav_32_20[prep_time_avg])</f>
        <v>38.092800000000004</v>
      </c>
      <c r="H12">
        <f>SUBTOTAL(101,_grav_32_20[prep_time_max])</f>
        <v>70.636200000000002</v>
      </c>
      <c r="I12">
        <f>SUBTOTAL(101,_grav_32_20[comm_time_min])</f>
        <v>7.1890000000000009E-3</v>
      </c>
      <c r="J12">
        <f>SUBTOTAL(101,_grav_32_20[comm_time_avg])</f>
        <v>9.0240000000000008E-3</v>
      </c>
      <c r="K12">
        <f>SUBTOTAL(101,_grav_32_20[comm_time_max])</f>
        <v>1.091E-2</v>
      </c>
      <c r="L12">
        <f>SUBTOTAL(101,_grav_32_20[max_alloced])</f>
        <v>306942612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22A8-812C-40E8-BA9C-74F49A1736E9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27.1</v>
      </c>
      <c r="C2">
        <v>27.2</v>
      </c>
      <c r="D2">
        <v>36.4</v>
      </c>
      <c r="E2">
        <v>51.6</v>
      </c>
      <c r="F2">
        <v>0.15</v>
      </c>
      <c r="G2">
        <v>0.20100000000000001</v>
      </c>
      <c r="H2">
        <v>0.219</v>
      </c>
      <c r="I2">
        <v>5.7200000000000003E-3</v>
      </c>
      <c r="J2">
        <v>6.43E-3</v>
      </c>
      <c r="K2">
        <v>7.2899999999999996E-3</v>
      </c>
      <c r="L2">
        <v>149471648</v>
      </c>
    </row>
    <row r="3" spans="1:12" x14ac:dyDescent="0.25">
      <c r="A3">
        <v>2</v>
      </c>
      <c r="B3">
        <v>27</v>
      </c>
      <c r="C3">
        <v>27.2</v>
      </c>
      <c r="D3">
        <v>36.4</v>
      </c>
      <c r="E3">
        <v>51.6</v>
      </c>
      <c r="F3">
        <v>0.17</v>
      </c>
      <c r="G3">
        <v>11</v>
      </c>
      <c r="H3">
        <v>24.3</v>
      </c>
      <c r="I3">
        <v>4.9800000000000001E-3</v>
      </c>
      <c r="J3">
        <v>6.2500000000000003E-3</v>
      </c>
      <c r="K3">
        <v>7.3000000000000001E-3</v>
      </c>
      <c r="L3">
        <v>151360672</v>
      </c>
    </row>
    <row r="4" spans="1:12" x14ac:dyDescent="0.25">
      <c r="A4">
        <v>3</v>
      </c>
      <c r="B4">
        <v>27</v>
      </c>
      <c r="C4">
        <v>27.2</v>
      </c>
      <c r="D4">
        <v>36.4</v>
      </c>
      <c r="E4">
        <v>51.6</v>
      </c>
      <c r="F4">
        <v>0.17299999999999999</v>
      </c>
      <c r="G4">
        <v>11</v>
      </c>
      <c r="H4">
        <v>24.3</v>
      </c>
      <c r="I4">
        <v>3.7499999999999999E-3</v>
      </c>
      <c r="J4">
        <v>4.4000000000000003E-3</v>
      </c>
      <c r="K4">
        <v>5.0699999999999999E-3</v>
      </c>
      <c r="L4">
        <v>153249696</v>
      </c>
    </row>
    <row r="5" spans="1:12" x14ac:dyDescent="0.25">
      <c r="A5">
        <v>4</v>
      </c>
      <c r="B5">
        <v>27</v>
      </c>
      <c r="C5">
        <v>27.2</v>
      </c>
      <c r="D5">
        <v>36.4</v>
      </c>
      <c r="E5">
        <v>51.6</v>
      </c>
      <c r="F5">
        <v>0.17499999999999999</v>
      </c>
      <c r="G5">
        <v>11</v>
      </c>
      <c r="H5">
        <v>24.3</v>
      </c>
      <c r="I5">
        <v>3.79E-3</v>
      </c>
      <c r="J5">
        <v>4.45E-3</v>
      </c>
      <c r="K5">
        <v>5.0800000000000003E-3</v>
      </c>
      <c r="L5">
        <v>155138720</v>
      </c>
    </row>
    <row r="6" spans="1:12" x14ac:dyDescent="0.25">
      <c r="A6">
        <v>5</v>
      </c>
      <c r="B6">
        <v>27</v>
      </c>
      <c r="C6">
        <v>27.2</v>
      </c>
      <c r="D6">
        <v>36.4</v>
      </c>
      <c r="E6">
        <v>51.6</v>
      </c>
      <c r="F6">
        <v>0.17199999999999999</v>
      </c>
      <c r="G6">
        <v>11</v>
      </c>
      <c r="H6">
        <v>24.3</v>
      </c>
      <c r="I6">
        <v>3.7299999999999998E-3</v>
      </c>
      <c r="J6">
        <v>4.3899999999999998E-3</v>
      </c>
      <c r="K6">
        <v>5.0200000000000002E-3</v>
      </c>
      <c r="L6">
        <v>157027744</v>
      </c>
    </row>
    <row r="7" spans="1:12" x14ac:dyDescent="0.25">
      <c r="A7">
        <v>6</v>
      </c>
      <c r="B7">
        <v>27</v>
      </c>
      <c r="C7">
        <v>27.2</v>
      </c>
      <c r="D7">
        <v>36.4</v>
      </c>
      <c r="E7">
        <v>51.6</v>
      </c>
      <c r="F7">
        <v>0.17100000000000001</v>
      </c>
      <c r="G7">
        <v>11</v>
      </c>
      <c r="H7">
        <v>24.3</v>
      </c>
      <c r="I7">
        <v>3.7799999999999999E-3</v>
      </c>
      <c r="J7">
        <v>4.5500000000000002E-3</v>
      </c>
      <c r="K7">
        <v>5.4099999999999999E-3</v>
      </c>
      <c r="L7">
        <v>158916768</v>
      </c>
    </row>
    <row r="8" spans="1:12" x14ac:dyDescent="0.25">
      <c r="A8">
        <v>7</v>
      </c>
      <c r="B8">
        <v>27</v>
      </c>
      <c r="C8">
        <v>27.2</v>
      </c>
      <c r="D8">
        <v>36.4</v>
      </c>
      <c r="E8">
        <v>51.6</v>
      </c>
      <c r="F8">
        <v>0.16900000000000001</v>
      </c>
      <c r="G8">
        <v>11</v>
      </c>
      <c r="H8">
        <v>24.3</v>
      </c>
      <c r="I8">
        <v>4.3800000000000002E-3</v>
      </c>
      <c r="J8">
        <v>5.6299999999999996E-3</v>
      </c>
      <c r="K8">
        <v>6.6800000000000002E-3</v>
      </c>
      <c r="L8">
        <v>160805792</v>
      </c>
    </row>
    <row r="9" spans="1:12" x14ac:dyDescent="0.25">
      <c r="A9">
        <v>8</v>
      </c>
      <c r="B9">
        <v>27</v>
      </c>
      <c r="C9">
        <v>27.2</v>
      </c>
      <c r="D9">
        <v>36.700000000000003</v>
      </c>
      <c r="E9">
        <v>52.6</v>
      </c>
      <c r="F9">
        <v>0.16900000000000001</v>
      </c>
      <c r="G9">
        <v>11</v>
      </c>
      <c r="H9">
        <v>24.3</v>
      </c>
      <c r="I9">
        <v>3.47E-3</v>
      </c>
      <c r="J9">
        <v>4.3299999999999996E-3</v>
      </c>
      <c r="K9">
        <v>5.2199999999999998E-3</v>
      </c>
      <c r="L9">
        <v>162694816</v>
      </c>
    </row>
    <row r="10" spans="1:12" x14ac:dyDescent="0.25">
      <c r="A10">
        <v>9</v>
      </c>
      <c r="B10">
        <v>27</v>
      </c>
      <c r="C10">
        <v>27.2</v>
      </c>
      <c r="D10">
        <v>36.4</v>
      </c>
      <c r="E10">
        <v>51.6</v>
      </c>
      <c r="F10">
        <v>0.16900000000000001</v>
      </c>
      <c r="G10">
        <v>11.4</v>
      </c>
      <c r="H10">
        <v>25.3</v>
      </c>
      <c r="I10">
        <v>3.6900000000000001E-3</v>
      </c>
      <c r="J10">
        <v>4.6499999999999996E-3</v>
      </c>
      <c r="K10">
        <v>5.62E-3</v>
      </c>
      <c r="L10">
        <v>164583840</v>
      </c>
    </row>
    <row r="11" spans="1:12" x14ac:dyDescent="0.25">
      <c r="A11">
        <v>10</v>
      </c>
      <c r="B11">
        <v>27</v>
      </c>
      <c r="C11">
        <v>27.2</v>
      </c>
      <c r="D11">
        <v>36.5</v>
      </c>
      <c r="E11">
        <v>51.9</v>
      </c>
      <c r="F11">
        <v>0.17199999999999999</v>
      </c>
      <c r="G11">
        <v>11</v>
      </c>
      <c r="H11">
        <v>24.3</v>
      </c>
      <c r="I11">
        <v>4.1200000000000004E-3</v>
      </c>
      <c r="J11">
        <v>5.4099999999999999E-3</v>
      </c>
      <c r="K11">
        <v>6.6400000000000001E-3</v>
      </c>
      <c r="L11">
        <v>166472864</v>
      </c>
    </row>
    <row r="12" spans="1:12" x14ac:dyDescent="0.25">
      <c r="A12" t="s">
        <v>12</v>
      </c>
      <c r="B12">
        <f>SUBTOTAL(101,_grav_32_19[total_time])</f>
        <v>27.01</v>
      </c>
      <c r="C12">
        <f>SUBTOTAL(101,_grav_32_19[work_time_min])</f>
        <v>27.199999999999996</v>
      </c>
      <c r="D12">
        <f>SUBTOTAL(101,_grav_32_19[work_time_avg])</f>
        <v>36.44</v>
      </c>
      <c r="E12">
        <f>SUBTOTAL(101,_grav_32_19[work_time_max])</f>
        <v>51.730000000000004</v>
      </c>
      <c r="F12">
        <f>SUBTOTAL(101,_grav_32_19[prep_time_min])</f>
        <v>0.16899999999999998</v>
      </c>
      <c r="G12">
        <f>SUBTOTAL(101,_grav_32_19[prep_time_avg])</f>
        <v>9.9601000000000006</v>
      </c>
      <c r="H12">
        <f>SUBTOTAL(101,_grav_32_19[prep_time_max])</f>
        <v>21.991900000000005</v>
      </c>
      <c r="I12">
        <f>SUBTOTAL(101,_grav_32_19[comm_time_min])</f>
        <v>4.1409999999999997E-3</v>
      </c>
      <c r="J12">
        <f>SUBTOTAL(101,_grav_32_19[comm_time_avg])</f>
        <v>5.0489999999999997E-3</v>
      </c>
      <c r="K12">
        <f>SUBTOTAL(101,_grav_32_19[comm_time_max])</f>
        <v>5.9329999999999999E-3</v>
      </c>
      <c r="L12">
        <f>SUBTOTAL(101,_grav_32_19[max_alloced])</f>
        <v>157972256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0A2F-8CDD-4DCB-8107-EF7DB5638550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19.899999999999999</v>
      </c>
      <c r="C2">
        <v>20.100000000000001</v>
      </c>
      <c r="D2">
        <v>27.9</v>
      </c>
      <c r="E2">
        <v>46.2</v>
      </c>
      <c r="F2">
        <v>3.9800000000000002E-2</v>
      </c>
      <c r="G2">
        <v>5.3699999999999998E-2</v>
      </c>
      <c r="H2">
        <v>6.3500000000000001E-2</v>
      </c>
      <c r="I2">
        <v>5.2399999999999999E-3</v>
      </c>
      <c r="J2">
        <v>6.0000000000000001E-3</v>
      </c>
      <c r="K2">
        <v>6.8399999999999997E-3</v>
      </c>
      <c r="L2">
        <v>77988372</v>
      </c>
    </row>
    <row r="3" spans="1:12" x14ac:dyDescent="0.25">
      <c r="A3">
        <v>2</v>
      </c>
      <c r="B3">
        <v>19.899999999999999</v>
      </c>
      <c r="C3">
        <v>20</v>
      </c>
      <c r="D3">
        <v>27.9</v>
      </c>
      <c r="E3">
        <v>46.1</v>
      </c>
      <c r="F3">
        <v>3.5799999999999998E-2</v>
      </c>
      <c r="G3">
        <v>11.1</v>
      </c>
      <c r="H3">
        <v>26.1</v>
      </c>
      <c r="I3">
        <v>4.0499999999999998E-3</v>
      </c>
      <c r="J3">
        <v>5.1500000000000001E-3</v>
      </c>
      <c r="K3">
        <v>6.11E-3</v>
      </c>
      <c r="L3">
        <v>79037524</v>
      </c>
    </row>
    <row r="4" spans="1:12" x14ac:dyDescent="0.25">
      <c r="A4">
        <v>3</v>
      </c>
      <c r="B4">
        <v>19.899999999999999</v>
      </c>
      <c r="C4">
        <v>20.100000000000001</v>
      </c>
      <c r="D4">
        <v>27.9</v>
      </c>
      <c r="E4">
        <v>46.2</v>
      </c>
      <c r="F4">
        <v>3.8800000000000001E-2</v>
      </c>
      <c r="G4">
        <v>11.1</v>
      </c>
      <c r="H4">
        <v>26.1</v>
      </c>
      <c r="I4">
        <v>4.28E-3</v>
      </c>
      <c r="J4">
        <v>5.3800000000000002E-3</v>
      </c>
      <c r="K4">
        <v>6.3E-3</v>
      </c>
      <c r="L4">
        <v>80086676</v>
      </c>
    </row>
    <row r="5" spans="1:12" x14ac:dyDescent="0.25">
      <c r="A5">
        <v>4</v>
      </c>
      <c r="B5">
        <v>19.899999999999999</v>
      </c>
      <c r="C5">
        <v>20</v>
      </c>
      <c r="D5">
        <v>27.9</v>
      </c>
      <c r="E5">
        <v>46.1</v>
      </c>
      <c r="F5">
        <v>3.73E-2</v>
      </c>
      <c r="G5">
        <v>11.1</v>
      </c>
      <c r="H5">
        <v>26.1</v>
      </c>
      <c r="I5">
        <v>4.1700000000000001E-3</v>
      </c>
      <c r="J5">
        <v>5.2900000000000004E-3</v>
      </c>
      <c r="K5">
        <v>6.1900000000000002E-3</v>
      </c>
      <c r="L5">
        <v>81135828</v>
      </c>
    </row>
    <row r="6" spans="1:12" x14ac:dyDescent="0.25">
      <c r="A6">
        <v>5</v>
      </c>
      <c r="B6">
        <v>19.899999999999999</v>
      </c>
      <c r="C6">
        <v>20</v>
      </c>
      <c r="D6">
        <v>27.9</v>
      </c>
      <c r="E6">
        <v>46.1</v>
      </c>
      <c r="F6">
        <v>3.4700000000000002E-2</v>
      </c>
      <c r="G6">
        <v>11.1</v>
      </c>
      <c r="H6">
        <v>26.1</v>
      </c>
      <c r="I6">
        <v>3.9199999999999999E-3</v>
      </c>
      <c r="J6">
        <v>5.0600000000000003E-3</v>
      </c>
      <c r="K6">
        <v>5.9199999999999999E-3</v>
      </c>
      <c r="L6">
        <v>82184980</v>
      </c>
    </row>
    <row r="7" spans="1:12" x14ac:dyDescent="0.25">
      <c r="A7">
        <v>6</v>
      </c>
      <c r="B7">
        <v>19.899999999999999</v>
      </c>
      <c r="C7">
        <v>20.100000000000001</v>
      </c>
      <c r="D7">
        <v>27.9</v>
      </c>
      <c r="E7">
        <v>46.2</v>
      </c>
      <c r="F7">
        <v>3.5999999999999997E-2</v>
      </c>
      <c r="G7">
        <v>11.1</v>
      </c>
      <c r="H7">
        <v>26.1</v>
      </c>
      <c r="I7">
        <v>4.15E-3</v>
      </c>
      <c r="J7">
        <v>5.2900000000000004E-3</v>
      </c>
      <c r="K7">
        <v>6.1999999999999998E-3</v>
      </c>
      <c r="L7">
        <v>83234132</v>
      </c>
    </row>
    <row r="8" spans="1:12" x14ac:dyDescent="0.25">
      <c r="A8">
        <v>7</v>
      </c>
      <c r="B8">
        <v>19.899999999999999</v>
      </c>
      <c r="C8">
        <v>20</v>
      </c>
      <c r="D8">
        <v>27.9</v>
      </c>
      <c r="E8">
        <v>46.1</v>
      </c>
      <c r="F8">
        <v>3.7100000000000001E-2</v>
      </c>
      <c r="G8">
        <v>11.1</v>
      </c>
      <c r="H8">
        <v>26.1</v>
      </c>
      <c r="I8">
        <v>3.5500000000000002E-3</v>
      </c>
      <c r="J8">
        <v>4.0800000000000003E-3</v>
      </c>
      <c r="K8">
        <v>4.7000000000000002E-3</v>
      </c>
      <c r="L8">
        <v>84283284</v>
      </c>
    </row>
    <row r="9" spans="1:12" x14ac:dyDescent="0.25">
      <c r="A9">
        <v>8</v>
      </c>
      <c r="B9">
        <v>19.899999999999999</v>
      </c>
      <c r="C9">
        <v>20.100000000000001</v>
      </c>
      <c r="D9">
        <v>28.2</v>
      </c>
      <c r="E9">
        <v>47.3</v>
      </c>
      <c r="F9">
        <v>3.7400000000000003E-2</v>
      </c>
      <c r="G9">
        <v>11.1</v>
      </c>
      <c r="H9">
        <v>26.1</v>
      </c>
      <c r="I9">
        <v>3.81E-3</v>
      </c>
      <c r="J9">
        <v>4.4900000000000001E-3</v>
      </c>
      <c r="K9">
        <v>5.3800000000000002E-3</v>
      </c>
      <c r="L9">
        <v>85332436</v>
      </c>
    </row>
    <row r="10" spans="1:12" x14ac:dyDescent="0.25">
      <c r="A10">
        <v>9</v>
      </c>
      <c r="B10">
        <v>19.899999999999999</v>
      </c>
      <c r="C10">
        <v>20</v>
      </c>
      <c r="D10">
        <v>27.9</v>
      </c>
      <c r="E10">
        <v>46.1</v>
      </c>
      <c r="F10">
        <v>3.5299999999999998E-2</v>
      </c>
      <c r="G10">
        <v>11.6</v>
      </c>
      <c r="H10">
        <v>27.2</v>
      </c>
      <c r="I10">
        <v>4.1700000000000001E-3</v>
      </c>
      <c r="J10">
        <v>5.3099999999999996E-3</v>
      </c>
      <c r="K10">
        <v>6.1799999999999997E-3</v>
      </c>
      <c r="L10">
        <v>86381588</v>
      </c>
    </row>
    <row r="11" spans="1:12" x14ac:dyDescent="0.25">
      <c r="A11">
        <v>10</v>
      </c>
      <c r="B11">
        <v>19.899999999999999</v>
      </c>
      <c r="C11">
        <v>20.100000000000001</v>
      </c>
      <c r="D11">
        <v>28</v>
      </c>
      <c r="E11">
        <v>46.5</v>
      </c>
      <c r="F11">
        <v>3.7699999999999997E-2</v>
      </c>
      <c r="G11">
        <v>11.1</v>
      </c>
      <c r="H11">
        <v>26.1</v>
      </c>
      <c r="I11">
        <v>4.3499999999999997E-3</v>
      </c>
      <c r="J11">
        <v>5.79E-3</v>
      </c>
      <c r="K11">
        <v>6.6600000000000001E-3</v>
      </c>
      <c r="L11">
        <v>87430740</v>
      </c>
    </row>
    <row r="12" spans="1:12" x14ac:dyDescent="0.25">
      <c r="A12" t="s">
        <v>12</v>
      </c>
      <c r="B12">
        <f>SUBTOTAL(101,_grav_32_18[total_time])</f>
        <v>19.900000000000002</v>
      </c>
      <c r="C12">
        <f>SUBTOTAL(101,_grav_32_18[work_time_min])</f>
        <v>20.05</v>
      </c>
      <c r="D12">
        <f>SUBTOTAL(101,_grav_32_18[work_time_avg])</f>
        <v>27.939999999999998</v>
      </c>
      <c r="E12">
        <f>SUBTOTAL(101,_grav_32_18[work_time_max])</f>
        <v>46.290000000000006</v>
      </c>
      <c r="F12">
        <f>SUBTOTAL(101,_grav_32_18[prep_time_min])</f>
        <v>3.6990000000000002E-2</v>
      </c>
      <c r="G12">
        <f>SUBTOTAL(101,_grav_32_18[prep_time_avg])</f>
        <v>10.045369999999998</v>
      </c>
      <c r="H12">
        <f>SUBTOTAL(101,_grav_32_18[prep_time_max])</f>
        <v>23.606349999999999</v>
      </c>
      <c r="I12">
        <f>SUBTOTAL(101,_grav_32_18[comm_time_min])</f>
        <v>4.169E-3</v>
      </c>
      <c r="J12">
        <f>SUBTOTAL(101,_grav_32_18[comm_time_avg])</f>
        <v>5.1840000000000011E-3</v>
      </c>
      <c r="K12">
        <f>SUBTOTAL(101,_grav_32_18[comm_time_max])</f>
        <v>6.0479999999999996E-3</v>
      </c>
      <c r="L12">
        <f>SUBTOTAL(101,_grav_32_18[max_alloced])</f>
        <v>82709556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EC8A-FFD1-41C1-84FF-9FA8EF2C48F8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8.5399999999999991</v>
      </c>
      <c r="C2">
        <v>7.76</v>
      </c>
      <c r="D2">
        <v>8.43</v>
      </c>
      <c r="E2">
        <v>9.1199999999999992</v>
      </c>
      <c r="F2">
        <v>1.7899999999999999E-2</v>
      </c>
      <c r="G2">
        <v>2.3099999999999999E-2</v>
      </c>
      <c r="H2">
        <v>2.4899999999999999E-2</v>
      </c>
      <c r="I2">
        <v>3.0000000000000001E-3</v>
      </c>
      <c r="J2">
        <v>3.4199999999999999E-3</v>
      </c>
      <c r="K2">
        <v>3.8400000000000001E-3</v>
      </c>
      <c r="L2">
        <v>39424900</v>
      </c>
    </row>
    <row r="3" spans="1:12" x14ac:dyDescent="0.25">
      <c r="A3">
        <v>2</v>
      </c>
      <c r="B3">
        <v>8.5299999999999994</v>
      </c>
      <c r="C3">
        <v>7.75</v>
      </c>
      <c r="D3">
        <v>8.43</v>
      </c>
      <c r="E3">
        <v>9.11</v>
      </c>
      <c r="F3">
        <v>1.9699999999999999E-2</v>
      </c>
      <c r="G3">
        <v>0.56699999999999995</v>
      </c>
      <c r="H3">
        <v>1.38</v>
      </c>
      <c r="I3">
        <v>2.0600000000000002E-3</v>
      </c>
      <c r="J3">
        <v>2.3600000000000001E-3</v>
      </c>
      <c r="K3">
        <v>2.65E-3</v>
      </c>
      <c r="L3">
        <v>40069124</v>
      </c>
    </row>
    <row r="4" spans="1:12" x14ac:dyDescent="0.25">
      <c r="A4">
        <v>3</v>
      </c>
      <c r="B4">
        <v>8.5299999999999994</v>
      </c>
      <c r="C4">
        <v>7.75</v>
      </c>
      <c r="D4">
        <v>8.43</v>
      </c>
      <c r="E4">
        <v>9.1199999999999992</v>
      </c>
      <c r="F4">
        <v>0.02</v>
      </c>
      <c r="G4">
        <v>0.56699999999999995</v>
      </c>
      <c r="H4">
        <v>1.38</v>
      </c>
      <c r="I4">
        <v>2.0799999999999998E-3</v>
      </c>
      <c r="J4">
        <v>2.3700000000000001E-3</v>
      </c>
      <c r="K4">
        <v>2.6700000000000001E-3</v>
      </c>
      <c r="L4">
        <v>40713348</v>
      </c>
    </row>
    <row r="5" spans="1:12" x14ac:dyDescent="0.25">
      <c r="A5">
        <v>4</v>
      </c>
      <c r="B5">
        <v>8.5399999999999991</v>
      </c>
      <c r="C5">
        <v>7.75</v>
      </c>
      <c r="D5">
        <v>8.43</v>
      </c>
      <c r="E5">
        <v>9.11</v>
      </c>
      <c r="F5">
        <v>2.01E-2</v>
      </c>
      <c r="G5">
        <v>0.56699999999999995</v>
      </c>
      <c r="H5">
        <v>1.38</v>
      </c>
      <c r="I5">
        <v>2.0500000000000002E-3</v>
      </c>
      <c r="J5">
        <v>2.3500000000000001E-3</v>
      </c>
      <c r="K5">
        <v>2.66E-3</v>
      </c>
      <c r="L5">
        <v>41357572</v>
      </c>
    </row>
    <row r="6" spans="1:12" x14ac:dyDescent="0.25">
      <c r="A6">
        <v>5</v>
      </c>
      <c r="B6">
        <v>8.5299999999999994</v>
      </c>
      <c r="C6">
        <v>7.75</v>
      </c>
      <c r="D6">
        <v>8.43</v>
      </c>
      <c r="E6">
        <v>9.11</v>
      </c>
      <c r="F6">
        <v>1.9400000000000001E-2</v>
      </c>
      <c r="G6">
        <v>0.56699999999999995</v>
      </c>
      <c r="H6">
        <v>1.38</v>
      </c>
      <c r="I6">
        <v>1.74E-3</v>
      </c>
      <c r="J6">
        <v>1.98E-3</v>
      </c>
      <c r="K6">
        <v>2.2399999999999998E-3</v>
      </c>
      <c r="L6">
        <v>42001796</v>
      </c>
    </row>
    <row r="7" spans="1:12" x14ac:dyDescent="0.25">
      <c r="A7">
        <v>6</v>
      </c>
      <c r="B7">
        <v>8.52</v>
      </c>
      <c r="C7">
        <v>7.75</v>
      </c>
      <c r="D7">
        <v>8.42</v>
      </c>
      <c r="E7">
        <v>9.11</v>
      </c>
      <c r="F7">
        <v>1.9800000000000002E-2</v>
      </c>
      <c r="G7">
        <v>0.56599999999999995</v>
      </c>
      <c r="H7">
        <v>1.38</v>
      </c>
      <c r="I7">
        <v>2.0100000000000001E-3</v>
      </c>
      <c r="J7">
        <v>2.33E-3</v>
      </c>
      <c r="K7">
        <v>2.64E-3</v>
      </c>
      <c r="L7">
        <v>42646020</v>
      </c>
    </row>
    <row r="8" spans="1:12" x14ac:dyDescent="0.25">
      <c r="A8">
        <v>7</v>
      </c>
      <c r="B8">
        <v>8.5299999999999994</v>
      </c>
      <c r="C8">
        <v>7.75</v>
      </c>
      <c r="D8">
        <v>8.43</v>
      </c>
      <c r="E8">
        <v>9.11</v>
      </c>
      <c r="F8">
        <v>1.9099999999999999E-2</v>
      </c>
      <c r="G8">
        <v>0.56599999999999995</v>
      </c>
      <c r="H8">
        <v>1.38</v>
      </c>
      <c r="I8">
        <v>1.66E-3</v>
      </c>
      <c r="J8">
        <v>1.92E-3</v>
      </c>
      <c r="K8">
        <v>2.1800000000000001E-3</v>
      </c>
      <c r="L8">
        <v>43290244</v>
      </c>
    </row>
    <row r="9" spans="1:12" x14ac:dyDescent="0.25">
      <c r="A9">
        <v>8</v>
      </c>
      <c r="B9">
        <v>8.61</v>
      </c>
      <c r="C9">
        <v>7.76</v>
      </c>
      <c r="D9">
        <v>8.4600000000000009</v>
      </c>
      <c r="E9">
        <v>9.17</v>
      </c>
      <c r="F9">
        <v>1.9800000000000002E-2</v>
      </c>
      <c r="G9">
        <v>0.56799999999999995</v>
      </c>
      <c r="H9">
        <v>1.38</v>
      </c>
      <c r="I9">
        <v>1.9599999999999999E-3</v>
      </c>
      <c r="J9">
        <v>2.2699999999999999E-3</v>
      </c>
      <c r="K9">
        <v>2.5999999999999999E-3</v>
      </c>
      <c r="L9">
        <v>43934468</v>
      </c>
    </row>
    <row r="10" spans="1:12" x14ac:dyDescent="0.25">
      <c r="A10">
        <v>9</v>
      </c>
      <c r="B10">
        <v>8.52</v>
      </c>
      <c r="C10">
        <v>7.75</v>
      </c>
      <c r="D10">
        <v>8.42</v>
      </c>
      <c r="E10">
        <v>9.11</v>
      </c>
      <c r="F10">
        <v>1.9800000000000002E-2</v>
      </c>
      <c r="G10">
        <v>0.57599999999999996</v>
      </c>
      <c r="H10">
        <v>1.42</v>
      </c>
      <c r="I10">
        <v>2.0600000000000002E-3</v>
      </c>
      <c r="J10">
        <v>2.3500000000000001E-3</v>
      </c>
      <c r="K10">
        <v>2.65E-3</v>
      </c>
      <c r="L10">
        <v>44578692</v>
      </c>
    </row>
    <row r="11" spans="1:12" x14ac:dyDescent="0.25">
      <c r="A11">
        <v>10</v>
      </c>
      <c r="B11">
        <v>8.5500000000000007</v>
      </c>
      <c r="C11">
        <v>7.75</v>
      </c>
      <c r="D11">
        <v>8.44</v>
      </c>
      <c r="E11">
        <v>9.1300000000000008</v>
      </c>
      <c r="F11">
        <v>1.9599999999999999E-2</v>
      </c>
      <c r="G11">
        <v>0.56799999999999995</v>
      </c>
      <c r="H11">
        <v>1.38</v>
      </c>
      <c r="I11">
        <v>1.6800000000000001E-3</v>
      </c>
      <c r="J11">
        <v>1.9300000000000001E-3</v>
      </c>
      <c r="K11">
        <v>2.1700000000000001E-3</v>
      </c>
      <c r="L11">
        <v>45222916</v>
      </c>
    </row>
    <row r="12" spans="1:12" x14ac:dyDescent="0.25">
      <c r="A12" t="s">
        <v>12</v>
      </c>
      <c r="B12">
        <f>SUBTOTAL(101,_grav_32_17[total_time])</f>
        <v>8.5399999999999991</v>
      </c>
      <c r="C12">
        <f>SUBTOTAL(101,_grav_32_17[work_time_min])</f>
        <v>7.7519999999999998</v>
      </c>
      <c r="D12">
        <f>SUBTOTAL(101,_grav_32_17[work_time_avg])</f>
        <v>8.4320000000000004</v>
      </c>
      <c r="E12">
        <f>SUBTOTAL(101,_grav_32_17[work_time_max])</f>
        <v>9.1199999999999992</v>
      </c>
      <c r="F12">
        <f>SUBTOTAL(101,_grav_32_17[prep_time_min])</f>
        <v>1.9520000000000003E-2</v>
      </c>
      <c r="G12">
        <f>SUBTOTAL(101,_grav_32_17[prep_time_avg])</f>
        <v>0.51350999999999991</v>
      </c>
      <c r="H12">
        <f>SUBTOTAL(101,_grav_32_17[prep_time_max])</f>
        <v>1.2484899999999999</v>
      </c>
      <c r="I12">
        <f>SUBTOTAL(101,_grav_32_17[comm_time_min])</f>
        <v>2.0299999999999997E-3</v>
      </c>
      <c r="J12">
        <f>SUBTOTAL(101,_grav_32_17[comm_time_avg])</f>
        <v>2.3280000000000006E-3</v>
      </c>
      <c r="K12">
        <f>SUBTOTAL(101,_grav_32_17[comm_time_max])</f>
        <v>2.6299999999999995E-3</v>
      </c>
      <c r="L12">
        <f>SUBTOTAL(101,_grav_32_17[max_alloced])</f>
        <v>42323908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84D3-7A88-4D89-B4E4-C35697D8C39B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3.29</v>
      </c>
      <c r="C2">
        <v>3.14</v>
      </c>
      <c r="D2">
        <v>3.45</v>
      </c>
      <c r="E2">
        <v>3.71</v>
      </c>
      <c r="F2">
        <v>1.4200000000000001E-2</v>
      </c>
      <c r="G2">
        <v>1.5299999999999999E-2</v>
      </c>
      <c r="H2">
        <v>1.66E-2</v>
      </c>
      <c r="I2">
        <v>2.5899999999999999E-3</v>
      </c>
      <c r="J2">
        <v>2.7599999999999999E-3</v>
      </c>
      <c r="K2">
        <v>3.0300000000000001E-3</v>
      </c>
      <c r="L2">
        <v>20191740</v>
      </c>
    </row>
    <row r="3" spans="1:12" x14ac:dyDescent="0.25">
      <c r="A3">
        <v>2</v>
      </c>
      <c r="B3">
        <v>3.29</v>
      </c>
      <c r="C3">
        <v>3.14</v>
      </c>
      <c r="D3">
        <v>3.45</v>
      </c>
      <c r="E3">
        <v>3.71</v>
      </c>
      <c r="F3">
        <v>1.3299999999999999E-2</v>
      </c>
      <c r="G3">
        <v>0.20499999999999999</v>
      </c>
      <c r="H3">
        <v>0.59</v>
      </c>
      <c r="I3">
        <v>1.4599999999999999E-3</v>
      </c>
      <c r="J3">
        <v>1.6100000000000001E-3</v>
      </c>
      <c r="K3">
        <v>1.7899999999999999E-3</v>
      </c>
      <c r="L3">
        <v>20696156</v>
      </c>
    </row>
    <row r="4" spans="1:12" x14ac:dyDescent="0.25">
      <c r="A4">
        <v>3</v>
      </c>
      <c r="B4">
        <v>3.29</v>
      </c>
      <c r="C4">
        <v>3.14</v>
      </c>
      <c r="D4">
        <v>3.45</v>
      </c>
      <c r="E4">
        <v>3.71</v>
      </c>
      <c r="F4">
        <v>1.26E-2</v>
      </c>
      <c r="G4">
        <v>0.20499999999999999</v>
      </c>
      <c r="H4">
        <v>0.59199999999999997</v>
      </c>
      <c r="I4">
        <v>1.5499999999999999E-3</v>
      </c>
      <c r="J4">
        <v>1.98E-3</v>
      </c>
      <c r="K4">
        <v>2.33E-3</v>
      </c>
      <c r="L4">
        <v>21200572</v>
      </c>
    </row>
    <row r="5" spans="1:12" x14ac:dyDescent="0.25">
      <c r="A5">
        <v>4</v>
      </c>
      <c r="B5">
        <v>3.29</v>
      </c>
      <c r="C5">
        <v>3.14</v>
      </c>
      <c r="D5">
        <v>3.45</v>
      </c>
      <c r="E5">
        <v>3.71</v>
      </c>
      <c r="F5">
        <v>1.35E-2</v>
      </c>
      <c r="G5">
        <v>0.20399999999999999</v>
      </c>
      <c r="H5">
        <v>0.58799999999999997</v>
      </c>
      <c r="I5">
        <v>1.14E-3</v>
      </c>
      <c r="J5">
        <v>1.2899999999999999E-3</v>
      </c>
      <c r="K5">
        <v>1.4400000000000001E-3</v>
      </c>
      <c r="L5">
        <v>21704988</v>
      </c>
    </row>
    <row r="6" spans="1:12" x14ac:dyDescent="0.25">
      <c r="A6">
        <v>5</v>
      </c>
      <c r="B6">
        <v>3.28</v>
      </c>
      <c r="C6">
        <v>3.14</v>
      </c>
      <c r="D6">
        <v>3.45</v>
      </c>
      <c r="E6">
        <v>3.71</v>
      </c>
      <c r="F6">
        <v>1.35E-2</v>
      </c>
      <c r="G6">
        <v>0.20399999999999999</v>
      </c>
      <c r="H6">
        <v>0.58899999999999997</v>
      </c>
      <c r="I6">
        <v>1.48E-3</v>
      </c>
      <c r="J6">
        <v>1.64E-3</v>
      </c>
      <c r="K6">
        <v>1.8E-3</v>
      </c>
      <c r="L6">
        <v>22209404</v>
      </c>
    </row>
    <row r="7" spans="1:12" x14ac:dyDescent="0.25">
      <c r="A7">
        <v>6</v>
      </c>
      <c r="B7">
        <v>3.29</v>
      </c>
      <c r="C7">
        <v>3.14</v>
      </c>
      <c r="D7">
        <v>3.45</v>
      </c>
      <c r="E7">
        <v>3.71</v>
      </c>
      <c r="F7">
        <v>1.3299999999999999E-2</v>
      </c>
      <c r="G7">
        <v>0.20399999999999999</v>
      </c>
      <c r="H7">
        <v>0.58899999999999997</v>
      </c>
      <c r="I7">
        <v>1.17E-3</v>
      </c>
      <c r="J7">
        <v>1.31E-3</v>
      </c>
      <c r="K7">
        <v>1.4499999999999999E-3</v>
      </c>
      <c r="L7">
        <v>22713820</v>
      </c>
    </row>
    <row r="8" spans="1:12" x14ac:dyDescent="0.25">
      <c r="A8">
        <v>7</v>
      </c>
      <c r="B8">
        <v>3.28</v>
      </c>
      <c r="C8">
        <v>3.14</v>
      </c>
      <c r="D8">
        <v>3.45</v>
      </c>
      <c r="E8">
        <v>3.71</v>
      </c>
      <c r="F8">
        <v>1.34E-2</v>
      </c>
      <c r="G8">
        <v>0.20499999999999999</v>
      </c>
      <c r="H8">
        <v>0.59099999999999997</v>
      </c>
      <c r="I8">
        <v>1.42E-3</v>
      </c>
      <c r="J8">
        <v>1.57E-3</v>
      </c>
      <c r="K8">
        <v>1.72E-3</v>
      </c>
      <c r="L8">
        <v>23218236</v>
      </c>
    </row>
    <row r="9" spans="1:12" x14ac:dyDescent="0.25">
      <c r="A9">
        <v>8</v>
      </c>
      <c r="B9">
        <v>3.3</v>
      </c>
      <c r="C9">
        <v>3.14</v>
      </c>
      <c r="D9">
        <v>3.46</v>
      </c>
      <c r="E9">
        <v>3.73</v>
      </c>
      <c r="F9">
        <v>1.3299999999999999E-2</v>
      </c>
      <c r="G9">
        <v>0.20300000000000001</v>
      </c>
      <c r="H9">
        <v>0.58799999999999997</v>
      </c>
      <c r="I9">
        <v>1.4599999999999999E-3</v>
      </c>
      <c r="J9">
        <v>1.58E-3</v>
      </c>
      <c r="K9">
        <v>1.7600000000000001E-3</v>
      </c>
      <c r="L9">
        <v>23722652</v>
      </c>
    </row>
    <row r="10" spans="1:12" x14ac:dyDescent="0.25">
      <c r="A10">
        <v>9</v>
      </c>
      <c r="B10">
        <v>3.28</v>
      </c>
      <c r="C10">
        <v>3.14</v>
      </c>
      <c r="D10">
        <v>3.45</v>
      </c>
      <c r="E10">
        <v>3.71</v>
      </c>
      <c r="F10">
        <v>1.34E-2</v>
      </c>
      <c r="G10">
        <v>0.21</v>
      </c>
      <c r="H10">
        <v>0.60499999999999998</v>
      </c>
      <c r="I10">
        <v>1.15E-3</v>
      </c>
      <c r="J10">
        <v>1.2800000000000001E-3</v>
      </c>
      <c r="K10">
        <v>1.4300000000000001E-3</v>
      </c>
      <c r="L10">
        <v>24227068</v>
      </c>
    </row>
    <row r="11" spans="1:12" x14ac:dyDescent="0.25">
      <c r="A11">
        <v>10</v>
      </c>
      <c r="B11">
        <v>3.29</v>
      </c>
      <c r="C11">
        <v>3.14</v>
      </c>
      <c r="D11">
        <v>3.46</v>
      </c>
      <c r="E11">
        <v>3.72</v>
      </c>
      <c r="F11">
        <v>1.34E-2</v>
      </c>
      <c r="G11">
        <v>0.20399999999999999</v>
      </c>
      <c r="H11">
        <v>0.59</v>
      </c>
      <c r="I11">
        <v>1.17E-3</v>
      </c>
      <c r="J11">
        <v>1.32E-3</v>
      </c>
      <c r="K11">
        <v>1.48E-3</v>
      </c>
      <c r="L11">
        <v>24731484</v>
      </c>
    </row>
    <row r="12" spans="1:12" x14ac:dyDescent="0.25">
      <c r="A12" t="s">
        <v>12</v>
      </c>
      <c r="B12">
        <f>SUBTOTAL(101,_grav_32_16[total_time])</f>
        <v>3.2880000000000003</v>
      </c>
      <c r="C12">
        <f>SUBTOTAL(101,_grav_32_16[work_time_min])</f>
        <v>3.14</v>
      </c>
      <c r="D12">
        <f>SUBTOTAL(101,_grav_32_16[work_time_avg])</f>
        <v>3.4519999999999995</v>
      </c>
      <c r="E12">
        <f>SUBTOTAL(101,_grav_32_16[work_time_max])</f>
        <v>3.7130000000000001</v>
      </c>
      <c r="F12">
        <f>SUBTOTAL(101,_grav_32_16[prep_time_min])</f>
        <v>1.3389999999999999E-2</v>
      </c>
      <c r="G12">
        <f>SUBTOTAL(101,_grav_32_16[prep_time_avg])</f>
        <v>0.18592999999999998</v>
      </c>
      <c r="H12">
        <f>SUBTOTAL(101,_grav_32_16[prep_time_max])</f>
        <v>0.53386</v>
      </c>
      <c r="I12">
        <f>SUBTOTAL(101,_grav_32_16[comm_time_min])</f>
        <v>1.4589999999999998E-3</v>
      </c>
      <c r="J12">
        <f>SUBTOTAL(101,_grav_32_16[comm_time_avg])</f>
        <v>1.634E-3</v>
      </c>
      <c r="K12">
        <f>SUBTOTAL(101,_grav_32_16[comm_time_max])</f>
        <v>1.8229999999999995E-3</v>
      </c>
      <c r="L12">
        <f>SUBTOTAL(101,_grav_32_16[max_alloced])</f>
        <v>22461612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14E6-7C18-4678-A6C8-DDDDEAE859DB}">
  <dimension ref="A1:L12"/>
  <sheetViews>
    <sheetView workbookViewId="0">
      <selection activeCell="L12" sqref="B12:L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2.4</v>
      </c>
      <c r="C2">
        <v>2.2599999999999998</v>
      </c>
      <c r="D2">
        <v>2.52</v>
      </c>
      <c r="E2">
        <v>2.79</v>
      </c>
      <c r="F2">
        <v>4.7099999999999998E-3</v>
      </c>
      <c r="G2">
        <v>6.13E-3</v>
      </c>
      <c r="H2">
        <v>7.1700000000000002E-3</v>
      </c>
      <c r="I2">
        <v>4.0299999999999997E-3</v>
      </c>
      <c r="J2">
        <v>4.1900000000000001E-3</v>
      </c>
      <c r="K2">
        <v>4.4999999999999997E-3</v>
      </c>
      <c r="L2">
        <v>11040640</v>
      </c>
    </row>
    <row r="3" spans="1:12" x14ac:dyDescent="0.25">
      <c r="A3">
        <v>2</v>
      </c>
      <c r="B3">
        <v>2.41</v>
      </c>
      <c r="C3">
        <v>2.2599999999999998</v>
      </c>
      <c r="D3">
        <v>2.52</v>
      </c>
      <c r="E3">
        <v>2.79</v>
      </c>
      <c r="F3">
        <v>4.2700000000000004E-3</v>
      </c>
      <c r="G3">
        <v>0.189</v>
      </c>
      <c r="H3">
        <v>0.504</v>
      </c>
      <c r="I3">
        <v>1.39E-3</v>
      </c>
      <c r="J3">
        <v>1.5100000000000001E-3</v>
      </c>
      <c r="K3">
        <v>1.7099999999999999E-3</v>
      </c>
      <c r="L3">
        <v>11331712</v>
      </c>
    </row>
    <row r="4" spans="1:12" x14ac:dyDescent="0.25">
      <c r="A4">
        <v>3</v>
      </c>
      <c r="B4">
        <v>2.4</v>
      </c>
      <c r="C4">
        <v>2.2599999999999998</v>
      </c>
      <c r="D4">
        <v>2.52</v>
      </c>
      <c r="E4">
        <v>2.79</v>
      </c>
      <c r="F4">
        <v>4.1999999999999997E-3</v>
      </c>
      <c r="G4">
        <v>0.189</v>
      </c>
      <c r="H4">
        <v>0.504</v>
      </c>
      <c r="I4">
        <v>1.2899999999999999E-3</v>
      </c>
      <c r="J4">
        <v>1.4499999999999999E-3</v>
      </c>
      <c r="K4">
        <v>1.6100000000000001E-3</v>
      </c>
      <c r="L4">
        <v>11622784</v>
      </c>
    </row>
    <row r="5" spans="1:12" x14ac:dyDescent="0.25">
      <c r="A5">
        <v>4</v>
      </c>
      <c r="B5">
        <v>2.4</v>
      </c>
      <c r="C5">
        <v>2.2599999999999998</v>
      </c>
      <c r="D5">
        <v>2.52</v>
      </c>
      <c r="E5">
        <v>2.79</v>
      </c>
      <c r="F5">
        <v>4.2700000000000004E-3</v>
      </c>
      <c r="G5">
        <v>0.189</v>
      </c>
      <c r="H5">
        <v>0.504</v>
      </c>
      <c r="I5">
        <v>1.25E-3</v>
      </c>
      <c r="J5">
        <v>1.4300000000000001E-3</v>
      </c>
      <c r="K5">
        <v>1.6000000000000001E-3</v>
      </c>
      <c r="L5">
        <v>11913856</v>
      </c>
    </row>
    <row r="6" spans="1:12" x14ac:dyDescent="0.25">
      <c r="A6">
        <v>5</v>
      </c>
      <c r="B6">
        <v>2.4</v>
      </c>
      <c r="C6">
        <v>2.2599999999999998</v>
      </c>
      <c r="D6">
        <v>2.52</v>
      </c>
      <c r="E6">
        <v>2.79</v>
      </c>
      <c r="F6">
        <v>4.1599999999999996E-3</v>
      </c>
      <c r="G6">
        <v>0.188</v>
      </c>
      <c r="H6">
        <v>0.504</v>
      </c>
      <c r="I6">
        <v>1.1299999999999999E-3</v>
      </c>
      <c r="J6">
        <v>1.2600000000000001E-3</v>
      </c>
      <c r="K6">
        <v>1.3799999999999999E-3</v>
      </c>
      <c r="L6">
        <v>12204928</v>
      </c>
    </row>
    <row r="7" spans="1:12" x14ac:dyDescent="0.25">
      <c r="A7">
        <v>6</v>
      </c>
      <c r="B7">
        <v>2.4</v>
      </c>
      <c r="C7">
        <v>2.2599999999999998</v>
      </c>
      <c r="D7">
        <v>2.52</v>
      </c>
      <c r="E7">
        <v>2.79</v>
      </c>
      <c r="F7">
        <v>4.2399999999999998E-3</v>
      </c>
      <c r="G7">
        <v>0.189</v>
      </c>
      <c r="H7">
        <v>0.504</v>
      </c>
      <c r="I7">
        <v>1.31E-3</v>
      </c>
      <c r="J7">
        <v>1.47E-3</v>
      </c>
      <c r="K7">
        <v>1.6199999999999999E-3</v>
      </c>
      <c r="L7">
        <v>12496000</v>
      </c>
    </row>
    <row r="8" spans="1:12" x14ac:dyDescent="0.25">
      <c r="A8">
        <v>7</v>
      </c>
      <c r="B8">
        <v>2.4</v>
      </c>
      <c r="C8">
        <v>2.2599999999999998</v>
      </c>
      <c r="D8">
        <v>2.52</v>
      </c>
      <c r="E8">
        <v>2.79</v>
      </c>
      <c r="F8">
        <v>4.3099999999999996E-3</v>
      </c>
      <c r="G8">
        <v>0.189</v>
      </c>
      <c r="H8">
        <v>0.504</v>
      </c>
      <c r="I8">
        <v>1.1299999999999999E-3</v>
      </c>
      <c r="J8">
        <v>1.25E-3</v>
      </c>
      <c r="K8">
        <v>1.3699999999999999E-3</v>
      </c>
      <c r="L8">
        <v>12787072</v>
      </c>
    </row>
    <row r="9" spans="1:12" x14ac:dyDescent="0.25">
      <c r="A9">
        <v>8</v>
      </c>
      <c r="B9">
        <v>2.41</v>
      </c>
      <c r="C9">
        <v>2.2599999999999998</v>
      </c>
      <c r="D9">
        <v>2.5299999999999998</v>
      </c>
      <c r="E9">
        <v>2.8</v>
      </c>
      <c r="F9">
        <v>4.1399999999999996E-3</v>
      </c>
      <c r="G9">
        <v>0.188</v>
      </c>
      <c r="H9">
        <v>0.504</v>
      </c>
      <c r="I9">
        <v>1.1100000000000001E-3</v>
      </c>
      <c r="J9">
        <v>1.24E-3</v>
      </c>
      <c r="K9">
        <v>1.3500000000000001E-3</v>
      </c>
      <c r="L9">
        <v>13078144</v>
      </c>
    </row>
    <row r="10" spans="1:12" x14ac:dyDescent="0.25">
      <c r="A10">
        <v>9</v>
      </c>
      <c r="B10">
        <v>2.4</v>
      </c>
      <c r="C10">
        <v>2.2599999999999998</v>
      </c>
      <c r="D10">
        <v>2.52</v>
      </c>
      <c r="E10">
        <v>2.79</v>
      </c>
      <c r="F10">
        <v>4.1999999999999997E-3</v>
      </c>
      <c r="G10">
        <v>0.191</v>
      </c>
      <c r="H10">
        <v>0.51300000000000001</v>
      </c>
      <c r="I10">
        <v>1.2600000000000001E-3</v>
      </c>
      <c r="J10">
        <v>1.42E-3</v>
      </c>
      <c r="K10">
        <v>1.6000000000000001E-3</v>
      </c>
      <c r="L10">
        <v>13369216</v>
      </c>
    </row>
    <row r="11" spans="1:12" x14ac:dyDescent="0.25">
      <c r="A11">
        <v>10</v>
      </c>
      <c r="B11">
        <v>2.4</v>
      </c>
      <c r="C11">
        <v>2.2599999999999998</v>
      </c>
      <c r="D11">
        <v>2.5299999999999998</v>
      </c>
      <c r="E11">
        <v>2.79</v>
      </c>
      <c r="F11">
        <v>4.1200000000000004E-3</v>
      </c>
      <c r="G11">
        <v>0.188</v>
      </c>
      <c r="H11">
        <v>0.504</v>
      </c>
      <c r="I11">
        <v>1.34E-3</v>
      </c>
      <c r="J11">
        <v>1.5E-3</v>
      </c>
      <c r="K11">
        <v>1.67E-3</v>
      </c>
      <c r="L11">
        <v>13660288</v>
      </c>
    </row>
    <row r="12" spans="1:12" x14ac:dyDescent="0.25">
      <c r="A12" t="s">
        <v>12</v>
      </c>
      <c r="B12">
        <f>SUBTOTAL(101,_grav_32_15[total_time])</f>
        <v>2.4020000000000001</v>
      </c>
      <c r="C12">
        <f>SUBTOTAL(101,_grav_32_15[work_time_min])</f>
        <v>2.2599999999999993</v>
      </c>
      <c r="D12">
        <f>SUBTOTAL(101,_grav_32_15[work_time_avg])</f>
        <v>2.5220000000000002</v>
      </c>
      <c r="E12">
        <f>SUBTOTAL(101,_grav_32_15[work_time_max])</f>
        <v>2.7909999999999995</v>
      </c>
      <c r="F12">
        <f>SUBTOTAL(101,_grav_32_15[prep_time_min])</f>
        <v>4.2620000000000002E-3</v>
      </c>
      <c r="G12">
        <f>SUBTOTAL(101,_grav_32_15[prep_time_avg])</f>
        <v>0.17061299999999999</v>
      </c>
      <c r="H12">
        <f>SUBTOTAL(101,_grav_32_15[prep_time_max])</f>
        <v>0.45521700000000004</v>
      </c>
      <c r="I12">
        <f>SUBTOTAL(101,_grav_32_15[comm_time_min])</f>
        <v>1.524E-3</v>
      </c>
      <c r="J12">
        <f>SUBTOTAL(101,_grav_32_15[comm_time_avg])</f>
        <v>1.6719999999999999E-3</v>
      </c>
      <c r="K12">
        <f>SUBTOTAL(101,_grav_32_15[comm_time_max])</f>
        <v>1.841E-3</v>
      </c>
      <c r="L12">
        <f>SUBTOTAL(101,_grav_32_15[max_alloced])</f>
        <v>12350464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A 7 H x T O k 4 W Q u o A A A A + A A A A B I A H A B D b 2 5 m a W c v U G F j a 2 F n Z S 5 4 b W w g o h g A K K A U A A A A A A A A A A A A A A A A A A A A A A A A A A A A h Y / N C o J A G E V f R W b v / C h C y e e 4 q H Y J Q R B t h 3 H S I R 3 D G R v f r U W P 1 C s k l N W u 5 b 2 c C + c + b n f I x 7 Y J r q q 3 u j M Z Y p i i Q B n Z l d p U G R r c K V y g n M N O y L O o V D D B x q a j 1 R m q n b u k h H j v s Y 9 x 1 1 c k o p S R Y 7 H d y 1 q 1 I t T G O m G k Q p 9 V + X + F O B x e M j z C y R I n L E 4 w i x i Q u Y Z C m y 8 S T c a Y A v k p Y T U 0 b u g V L 1 W 4 3 g C Z I 5 D 3 C / 4 E U E s D B B Q A A g A I A A O x 8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s f F M A h K J u z Y C A A D G K w A A E w A c A E Z v c m 1 1 b G F z L 1 N l Y 3 R p b 2 4 x L m 0 g o h g A K K A U A A A A A A A A A A A A A A A A A A A A A A A A A A A A 7 d n N b t p A E A D g O x L v s H I v I L k o N j 9 J G n G o I G 1 6 a N U I e o o r a z E T s s p 6 F + 2 u a S O U t + k z 9 A X y Y t 3 g S r j I u F K l K n M Y L n h n P O N d w 3 c a C 5 k T W r F Z + R 1 d t F v t l r 3 j B p Y s X R m + S f t x G p 2 w M Z P g 2 i 3 m P 9 c F S A k + M r G b 3 l R n R Q 7 K d d 4 J C b 2 J V s 4 v b C e Y v k m m 3 F 8 n U 3 2 / u w G S 9 F K s Q A F 7 j g u f + a J E 8 p F b B 4 a b B Q i X G L C F d D b p x 5 + N z q K T 1 3 E / q e y h l 9 l N 0 A 1 v p i B F L n z Z O L g I Q j b R s s i V H U d x y C 5 V p p d C r f x i 6 J f X h X Y w c w 8 S x v v L 3 i e t 4 G s 3 L A / z K r h 6 + n k H h q 3 A u u L W A b s C v g Q T + P P N + c L f 7 v e S + 9 o y b D v l 6 U N 2 8 z v + V s p Z x i U 3 d u x M U W 3 8 H p 5 + K F / j d 8 r m D + t 9 x 7 n h y t 5 q k 5 d b 9 z m w n a M b C b f b w L + k t T / q B + V G g 9 7 z / Y 8 h 2 w Z O O y 5 T J 3 L w O e e j T B X 5 A s w u + U 2 b + 1 0 u z Y V q z P P N q r m e f 6 / J r w 2 s m / r v 8 / X 9 K / W 1 / T O d 5 0 3 9 9 / n 6 / p X 6 2 v 4 + m n I p d Q b L P 9 / s Y 7 f d E u r Y j 1 j v I 0 L g I y I f 5 A O p j x i B j 5 h 8 k A + k P v o I f P T J B / l A 6 m O A w M e A f J A P p D 6 G C H w M y Q f 5 Q O p j h M D H i H y Q D 6 Q + T h H 4 O C U f 5 A O p j z M E P s 7 I B / l A 6 u M c g Y 9 z 8 k E + c P q I E c z P Y 5 q f v 6 i P g 2 c T j w o P B O P z m M b n j T w O c o c 6 j q b L f 9 f x a r L x F x s I R u c x j c 7 J x n + x U c 3 + C w 4 E c / O Y 5 u a E 4 6 V x / A J Q S w E C L Q A U A A I A C A A D s f F M 6 T h Z C 6 g A A A D 4 A A A A E g A A A A A A A A A A A A A A A A A A A A A A Q 2 9 u Z m l n L 1 B h Y 2 t h Z 2 U u e G 1 s U E s B A i 0 A F A A C A A g A A 7 H x T A / K 6 a u k A A A A 6 Q A A A B M A A A A A A A A A A A A A A A A A 9 A A A A F t D b 2 5 0 Z W 5 0 X 1 R 5 c G V z X S 5 4 b W x Q S w E C L Q A U A A I A C A A D s f F M A h K J u z Y C A A D G K w A A E w A A A A A A A A A A A A A A A A D l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x A A A A A A A A F z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1 O j E x L j U w N z I w N j R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A v R 2 X D p G 5 k Z X J 0 Z X I g V H l w L n t z d G V w L D B 9 J n F 1 b 3 Q 7 L C Z x d W 9 0 O 1 N l Y 3 R p b 2 4 x L 1 9 n c m F 2 X z M y X z E w L 0 d l w 6 R u Z G V y d G V y I F R 5 c C 5 7 d G 9 0 Y W x f d G l t Z S w x f S Z x d W 9 0 O y w m c X V v d D t T Z W N 0 a W 9 u M S 9 f Z 3 J h d l 8 z M l 8 x M C 9 H Z c O k b m R l c n R l c i B U e X A u e 3 d v c m t f d G l t Z V 9 t a W 4 s M n 0 m c X V v d D s s J n F 1 b 3 Q 7 U 2 V j d G l v b j E v X 2 d y Y X Z f M z J f M T A v R 2 X D p G 5 k Z X J 0 Z X I g V H l w L n t 3 b 3 J r X 3 R p b W V f Y X Z n L D N 9 J n F 1 b 3 Q 7 L C Z x d W 9 0 O 1 N l Y 3 R p b 2 4 x L 1 9 n c m F 2 X z M y X z E w L 0 d l w 6 R u Z G V y d G V y I F R 5 c C 5 7 d 2 9 y a 1 9 0 a W 1 l X 2 1 h e C w 0 f S Z x d W 9 0 O y w m c X V v d D t T Z W N 0 a W 9 u M S 9 f Z 3 J h d l 8 z M l 8 x M C 9 H Z c O k b m R l c n R l c i B U e X A u e 3 B y Z X B f d G l t Z V 9 t a W 4 s N X 0 m c X V v d D s s J n F 1 b 3 Q 7 U 2 V j d G l v b j E v X 2 d y Y X Z f M z J f M T A v R 2 X D p G 5 k Z X J 0 Z X I g V H l w L n t w c m V w X 3 R p b W V f Y X Z n L D Z 9 J n F 1 b 3 Q 7 L C Z x d W 9 0 O 1 N l Y 3 R p b 2 4 x L 1 9 n c m F 2 X z M y X z E w L 0 d l w 6 R u Z G V y d G V y I F R 5 c C 5 7 c H J l c F 9 0 a W 1 l X 2 1 h e C w 3 f S Z x d W 9 0 O y w m c X V v d D t T Z W N 0 a W 9 u M S 9 f Z 3 J h d l 8 z M l 8 x M C 9 H Z c O k b m R l c n R l c i B U e X A u e 2 N v b W 1 f d G l t Z V 9 t a W 4 s O H 0 m c X V v d D s s J n F 1 b 3 Q 7 U 2 V j d G l v b j E v X 2 d y Y X Z f M z J f M T A v R 2 X D p G 5 k Z X J 0 Z X I g V H l w L n t j b 2 1 t X 3 R p b W V f Y X Z n L D l 9 J n F 1 b 3 Q 7 L C Z x d W 9 0 O 1 N l Y 3 R p b 2 4 x L 1 9 n c m F 2 X z M y X z E w L 0 d l w 6 R u Z G V y d G V y I F R 5 c C 5 7 Y 2 9 t b V 9 0 a W 1 l X 2 1 h e C w x M H 0 m c X V v d D s s J n F 1 b 3 Q 7 U 2 V j d G l v b j E v X 2 d y Y X Z f M z J f M T A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w L 0 d l w 6 R u Z G V y d G V y I F R 5 c C 5 7 c 3 R l c C w w f S Z x d W 9 0 O y w m c X V v d D t T Z W N 0 a W 9 u M S 9 f Z 3 J h d l 8 z M l 8 x M C 9 H Z c O k b m R l c n R l c i B U e X A u e 3 R v d G F s X 3 R p b W U s M X 0 m c X V v d D s s J n F 1 b 3 Q 7 U 2 V j d G l v b j E v X 2 d y Y X Z f M z J f M T A v R 2 X D p G 5 k Z X J 0 Z X I g V H l w L n t 3 b 3 J r X 3 R p b W V f b W l u L D J 9 J n F 1 b 3 Q 7 L C Z x d W 9 0 O 1 N l Y 3 R p b 2 4 x L 1 9 n c m F 2 X z M y X z E w L 0 d l w 6 R u Z G V y d G V y I F R 5 c C 5 7 d 2 9 y a 1 9 0 a W 1 l X 2 F 2 Z y w z f S Z x d W 9 0 O y w m c X V v d D t T Z W N 0 a W 9 u M S 9 f Z 3 J h d l 8 z M l 8 x M C 9 H Z c O k b m R l c n R l c i B U e X A u e 3 d v c m t f d G l t Z V 9 t Y X g s N H 0 m c X V v d D s s J n F 1 b 3 Q 7 U 2 V j d G l v b j E v X 2 d y Y X Z f M z J f M T A v R 2 X D p G 5 k Z X J 0 Z X I g V H l w L n t w c m V w X 3 R p b W V f b W l u L D V 9 J n F 1 b 3 Q 7 L C Z x d W 9 0 O 1 N l Y 3 R p b 2 4 x L 1 9 n c m F 2 X z M y X z E w L 0 d l w 6 R u Z G V y d G V y I F R 5 c C 5 7 c H J l c F 9 0 a W 1 l X 2 F 2 Z y w 2 f S Z x d W 9 0 O y w m c X V v d D t T Z W N 0 a W 9 u M S 9 f Z 3 J h d l 8 z M l 8 x M C 9 H Z c O k b m R l c n R l c i B U e X A u e 3 B y Z X B f d G l t Z V 9 t Y X g s N 3 0 m c X V v d D s s J n F 1 b 3 Q 7 U 2 V j d G l v b j E v X 2 d y Y X Z f M z J f M T A v R 2 X D p G 5 k Z X J 0 Z X I g V H l w L n t j b 2 1 t X 3 R p b W V f b W l u L D h 9 J n F 1 b 3 Q 7 L C Z x d W 9 0 O 1 N l Y 3 R p b 2 4 x L 1 9 n c m F 2 X z M y X z E w L 0 d l w 6 R u Z G V y d G V y I F R 5 c C 5 7 Y 2 9 t b V 9 0 a W 1 l X 2 F 2 Z y w 5 f S Z x d W 9 0 O y w m c X V v d D t T Z W N 0 a W 9 u M S 9 f Z 3 J h d l 8 z M l 8 x M C 9 H Z c O k b m R l c n R l c i B U e X A u e 2 N v b W 1 f d G l t Z V 9 t Y X g s M T B 9 J n F 1 b 3 Q 7 L C Z x d W 9 0 O 1 N l Y 3 R p b 2 4 x L 1 9 n c m F 2 X z M y X z E w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1 O j I 1 L j g 4 M D g 1 O D d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E v R 2 X D p G 5 k Z X J 0 Z X I g V H l w L n t z d G V w L D B 9 J n F 1 b 3 Q 7 L C Z x d W 9 0 O 1 N l Y 3 R p b 2 4 x L 1 9 n c m F 2 X z M y X z E x L 0 d l w 6 R u Z G V y d G V y I F R 5 c C 5 7 d G 9 0 Y W x f d G l t Z S w x f S Z x d W 9 0 O y w m c X V v d D t T Z W N 0 a W 9 u M S 9 f Z 3 J h d l 8 z M l 8 x M S 9 H Z c O k b m R l c n R l c i B U e X A u e 3 d v c m t f d G l t Z V 9 t a W 4 s M n 0 m c X V v d D s s J n F 1 b 3 Q 7 U 2 V j d G l v b j E v X 2 d y Y X Z f M z J f M T E v R 2 X D p G 5 k Z X J 0 Z X I g V H l w L n t 3 b 3 J r X 3 R p b W V f Y X Z n L D N 9 J n F 1 b 3 Q 7 L C Z x d W 9 0 O 1 N l Y 3 R p b 2 4 x L 1 9 n c m F 2 X z M y X z E x L 0 d l w 6 R u Z G V y d G V y I F R 5 c C 5 7 d 2 9 y a 1 9 0 a W 1 l X 2 1 h e C w 0 f S Z x d W 9 0 O y w m c X V v d D t T Z W N 0 a W 9 u M S 9 f Z 3 J h d l 8 z M l 8 x M S 9 H Z c O k b m R l c n R l c i B U e X A u e 3 B y Z X B f d G l t Z V 9 t a W 4 s N X 0 m c X V v d D s s J n F 1 b 3 Q 7 U 2 V j d G l v b j E v X 2 d y Y X Z f M z J f M T E v R 2 X D p G 5 k Z X J 0 Z X I g V H l w L n t w c m V w X 3 R p b W V f Y X Z n L D Z 9 J n F 1 b 3 Q 7 L C Z x d W 9 0 O 1 N l Y 3 R p b 2 4 x L 1 9 n c m F 2 X z M y X z E x L 0 d l w 6 R u Z G V y d G V y I F R 5 c C 5 7 c H J l c F 9 0 a W 1 l X 2 1 h e C w 3 f S Z x d W 9 0 O y w m c X V v d D t T Z W N 0 a W 9 u M S 9 f Z 3 J h d l 8 z M l 8 x M S 9 H Z c O k b m R l c n R l c i B U e X A u e 2 N v b W 1 f d G l t Z V 9 t a W 4 s O H 0 m c X V v d D s s J n F 1 b 3 Q 7 U 2 V j d G l v b j E v X 2 d y Y X Z f M z J f M T E v R 2 X D p G 5 k Z X J 0 Z X I g V H l w L n t j b 2 1 t X 3 R p b W V f Y X Z n L D l 9 J n F 1 b 3 Q 7 L C Z x d W 9 0 O 1 N l Y 3 R p b 2 4 x L 1 9 n c m F 2 X z M y X z E x L 0 d l w 6 R u Z G V y d G V y I F R 5 c C 5 7 Y 2 9 t b V 9 0 a W 1 l X 2 1 h e C w x M H 0 m c X V v d D s s J n F 1 b 3 Q 7 U 2 V j d G l v b j E v X 2 d y Y X Z f M z J f M T E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x L 0 d l w 6 R u Z G V y d G V y I F R 5 c C 5 7 c 3 R l c C w w f S Z x d W 9 0 O y w m c X V v d D t T Z W N 0 a W 9 u M S 9 f Z 3 J h d l 8 z M l 8 x M S 9 H Z c O k b m R l c n R l c i B U e X A u e 3 R v d G F s X 3 R p b W U s M X 0 m c X V v d D s s J n F 1 b 3 Q 7 U 2 V j d G l v b j E v X 2 d y Y X Z f M z J f M T E v R 2 X D p G 5 k Z X J 0 Z X I g V H l w L n t 3 b 3 J r X 3 R p b W V f b W l u L D J 9 J n F 1 b 3 Q 7 L C Z x d W 9 0 O 1 N l Y 3 R p b 2 4 x L 1 9 n c m F 2 X z M y X z E x L 0 d l w 6 R u Z G V y d G V y I F R 5 c C 5 7 d 2 9 y a 1 9 0 a W 1 l X 2 F 2 Z y w z f S Z x d W 9 0 O y w m c X V v d D t T Z W N 0 a W 9 u M S 9 f Z 3 J h d l 8 z M l 8 x M S 9 H Z c O k b m R l c n R l c i B U e X A u e 3 d v c m t f d G l t Z V 9 t Y X g s N H 0 m c X V v d D s s J n F 1 b 3 Q 7 U 2 V j d G l v b j E v X 2 d y Y X Z f M z J f M T E v R 2 X D p G 5 k Z X J 0 Z X I g V H l w L n t w c m V w X 3 R p b W V f b W l u L D V 9 J n F 1 b 3 Q 7 L C Z x d W 9 0 O 1 N l Y 3 R p b 2 4 x L 1 9 n c m F 2 X z M y X z E x L 0 d l w 6 R u Z G V y d G V y I F R 5 c C 5 7 c H J l c F 9 0 a W 1 l X 2 F 2 Z y w 2 f S Z x d W 9 0 O y w m c X V v d D t T Z W N 0 a W 9 u M S 9 f Z 3 J h d l 8 z M l 8 x M S 9 H Z c O k b m R l c n R l c i B U e X A u e 3 B y Z X B f d G l t Z V 9 t Y X g s N 3 0 m c X V v d D s s J n F 1 b 3 Q 7 U 2 V j d G l v b j E v X 2 d y Y X Z f M z J f M T E v R 2 X D p G 5 k Z X J 0 Z X I g V H l w L n t j b 2 1 t X 3 R p b W V f b W l u L D h 9 J n F 1 b 3 Q 7 L C Z x d W 9 0 O 1 N l Y 3 R p b 2 4 x L 1 9 n c m F 2 X z M y X z E x L 0 d l w 6 R u Z G V y d G V y I F R 5 c C 5 7 Y 2 9 t b V 9 0 a W 1 l X 2 F 2 Z y w 5 f S Z x d W 9 0 O y w m c X V v d D t T Z W N 0 a W 9 u M S 9 f Z 3 J h d l 8 z M l 8 x M S 9 H Z c O k b m R l c n R l c i B U e X A u e 2 N v b W 1 f d G l t Z V 9 t Y X g s M T B 9 J n F 1 b 3 Q 7 L C Z x d W 9 0 O 1 N l Y 3 R p b 2 4 x L 1 9 n c m F 2 X z M y X z E x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1 O j M 3 L j Y 1 N j c x N T J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I v R 2 X D p G 5 k Z X J 0 Z X I g V H l w L n t z d G V w L D B 9 J n F 1 b 3 Q 7 L C Z x d W 9 0 O 1 N l Y 3 R p b 2 4 x L 1 9 n c m F 2 X z M y X z E y L 0 d l w 6 R u Z G V y d G V y I F R 5 c C 5 7 d G 9 0 Y W x f d G l t Z S w x f S Z x d W 9 0 O y w m c X V v d D t T Z W N 0 a W 9 u M S 9 f Z 3 J h d l 8 z M l 8 x M i 9 H Z c O k b m R l c n R l c i B U e X A u e 3 d v c m t f d G l t Z V 9 t a W 4 s M n 0 m c X V v d D s s J n F 1 b 3 Q 7 U 2 V j d G l v b j E v X 2 d y Y X Z f M z J f M T I v R 2 X D p G 5 k Z X J 0 Z X I g V H l w L n t 3 b 3 J r X 3 R p b W V f Y X Z n L D N 9 J n F 1 b 3 Q 7 L C Z x d W 9 0 O 1 N l Y 3 R p b 2 4 x L 1 9 n c m F 2 X z M y X z E y L 0 d l w 6 R u Z G V y d G V y I F R 5 c C 5 7 d 2 9 y a 1 9 0 a W 1 l X 2 1 h e C w 0 f S Z x d W 9 0 O y w m c X V v d D t T Z W N 0 a W 9 u M S 9 f Z 3 J h d l 8 z M l 8 x M i 9 H Z c O k b m R l c n R l c i B U e X A u e 3 B y Z X B f d G l t Z V 9 t a W 4 s N X 0 m c X V v d D s s J n F 1 b 3 Q 7 U 2 V j d G l v b j E v X 2 d y Y X Z f M z J f M T I v R 2 X D p G 5 k Z X J 0 Z X I g V H l w L n t w c m V w X 3 R p b W V f Y X Z n L D Z 9 J n F 1 b 3 Q 7 L C Z x d W 9 0 O 1 N l Y 3 R p b 2 4 x L 1 9 n c m F 2 X z M y X z E y L 0 d l w 6 R u Z G V y d G V y I F R 5 c C 5 7 c H J l c F 9 0 a W 1 l X 2 1 h e C w 3 f S Z x d W 9 0 O y w m c X V v d D t T Z W N 0 a W 9 u M S 9 f Z 3 J h d l 8 z M l 8 x M i 9 H Z c O k b m R l c n R l c i B U e X A u e 2 N v b W 1 f d G l t Z V 9 t a W 4 s O H 0 m c X V v d D s s J n F 1 b 3 Q 7 U 2 V j d G l v b j E v X 2 d y Y X Z f M z J f M T I v R 2 X D p G 5 k Z X J 0 Z X I g V H l w L n t j b 2 1 t X 3 R p b W V f Y X Z n L D l 9 J n F 1 b 3 Q 7 L C Z x d W 9 0 O 1 N l Y 3 R p b 2 4 x L 1 9 n c m F 2 X z M y X z E y L 0 d l w 6 R u Z G V y d G V y I F R 5 c C 5 7 Y 2 9 t b V 9 0 a W 1 l X 2 1 h e C w x M H 0 m c X V v d D s s J n F 1 b 3 Q 7 U 2 V j d G l v b j E v X 2 d y Y X Z f M z J f M T I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y L 0 d l w 6 R u Z G V y d G V y I F R 5 c C 5 7 c 3 R l c C w w f S Z x d W 9 0 O y w m c X V v d D t T Z W N 0 a W 9 u M S 9 f Z 3 J h d l 8 z M l 8 x M i 9 H Z c O k b m R l c n R l c i B U e X A u e 3 R v d G F s X 3 R p b W U s M X 0 m c X V v d D s s J n F 1 b 3 Q 7 U 2 V j d G l v b j E v X 2 d y Y X Z f M z J f M T I v R 2 X D p G 5 k Z X J 0 Z X I g V H l w L n t 3 b 3 J r X 3 R p b W V f b W l u L D J 9 J n F 1 b 3 Q 7 L C Z x d W 9 0 O 1 N l Y 3 R p b 2 4 x L 1 9 n c m F 2 X z M y X z E y L 0 d l w 6 R u Z G V y d G V y I F R 5 c C 5 7 d 2 9 y a 1 9 0 a W 1 l X 2 F 2 Z y w z f S Z x d W 9 0 O y w m c X V v d D t T Z W N 0 a W 9 u M S 9 f Z 3 J h d l 8 z M l 8 x M i 9 H Z c O k b m R l c n R l c i B U e X A u e 3 d v c m t f d G l t Z V 9 t Y X g s N H 0 m c X V v d D s s J n F 1 b 3 Q 7 U 2 V j d G l v b j E v X 2 d y Y X Z f M z J f M T I v R 2 X D p G 5 k Z X J 0 Z X I g V H l w L n t w c m V w X 3 R p b W V f b W l u L D V 9 J n F 1 b 3 Q 7 L C Z x d W 9 0 O 1 N l Y 3 R p b 2 4 x L 1 9 n c m F 2 X z M y X z E y L 0 d l w 6 R u Z G V y d G V y I F R 5 c C 5 7 c H J l c F 9 0 a W 1 l X 2 F 2 Z y w 2 f S Z x d W 9 0 O y w m c X V v d D t T Z W N 0 a W 9 u M S 9 f Z 3 J h d l 8 z M l 8 x M i 9 H Z c O k b m R l c n R l c i B U e X A u e 3 B y Z X B f d G l t Z V 9 t Y X g s N 3 0 m c X V v d D s s J n F 1 b 3 Q 7 U 2 V j d G l v b j E v X 2 d y Y X Z f M z J f M T I v R 2 X D p G 5 k Z X J 0 Z X I g V H l w L n t j b 2 1 t X 3 R p b W V f b W l u L D h 9 J n F 1 b 3 Q 7 L C Z x d W 9 0 O 1 N l Y 3 R p b 2 4 x L 1 9 n c m F 2 X z M y X z E y L 0 d l w 6 R u Z G V y d G V y I F R 5 c C 5 7 Y 2 9 t b V 9 0 a W 1 l X 2 F 2 Z y w 5 f S Z x d W 9 0 O y w m c X V v d D t T Z W N 0 a W 9 u M S 9 f Z 3 J h d l 8 z M l 8 x M i 9 H Z c O k b m R l c n R l c i B U e X A u e 2 N v b W 1 f d G l t Z V 9 t Y X g s M T B 9 J n F 1 b 3 Q 7 L C Z x d W 9 0 O 1 N l Y 3 R p b 2 4 x L 1 9 n c m F 2 X z M y X z E y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1 O j Q 4 L j c 3 M j Q z M j B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M v R 2 X D p G 5 k Z X J 0 Z X I g V H l w L n t z d G V w L D B 9 J n F 1 b 3 Q 7 L C Z x d W 9 0 O 1 N l Y 3 R p b 2 4 x L 1 9 n c m F 2 X z M y X z E z L 0 d l w 6 R u Z G V y d G V y I F R 5 c C 5 7 d G 9 0 Y W x f d G l t Z S w x f S Z x d W 9 0 O y w m c X V v d D t T Z W N 0 a W 9 u M S 9 f Z 3 J h d l 8 z M l 8 x M y 9 H Z c O k b m R l c n R l c i B U e X A u e 3 d v c m t f d G l t Z V 9 t a W 4 s M n 0 m c X V v d D s s J n F 1 b 3 Q 7 U 2 V j d G l v b j E v X 2 d y Y X Z f M z J f M T M v R 2 X D p G 5 k Z X J 0 Z X I g V H l w L n t 3 b 3 J r X 3 R p b W V f Y X Z n L D N 9 J n F 1 b 3 Q 7 L C Z x d W 9 0 O 1 N l Y 3 R p b 2 4 x L 1 9 n c m F 2 X z M y X z E z L 0 d l w 6 R u Z G V y d G V y I F R 5 c C 5 7 d 2 9 y a 1 9 0 a W 1 l X 2 1 h e C w 0 f S Z x d W 9 0 O y w m c X V v d D t T Z W N 0 a W 9 u M S 9 f Z 3 J h d l 8 z M l 8 x M y 9 H Z c O k b m R l c n R l c i B U e X A u e 3 B y Z X B f d G l t Z V 9 t a W 4 s N X 0 m c X V v d D s s J n F 1 b 3 Q 7 U 2 V j d G l v b j E v X 2 d y Y X Z f M z J f M T M v R 2 X D p G 5 k Z X J 0 Z X I g V H l w L n t w c m V w X 3 R p b W V f Y X Z n L D Z 9 J n F 1 b 3 Q 7 L C Z x d W 9 0 O 1 N l Y 3 R p b 2 4 x L 1 9 n c m F 2 X z M y X z E z L 0 d l w 6 R u Z G V y d G V y I F R 5 c C 5 7 c H J l c F 9 0 a W 1 l X 2 1 h e C w 3 f S Z x d W 9 0 O y w m c X V v d D t T Z W N 0 a W 9 u M S 9 f Z 3 J h d l 8 z M l 8 x M y 9 H Z c O k b m R l c n R l c i B U e X A u e 2 N v b W 1 f d G l t Z V 9 t a W 4 s O H 0 m c X V v d D s s J n F 1 b 3 Q 7 U 2 V j d G l v b j E v X 2 d y Y X Z f M z J f M T M v R 2 X D p G 5 k Z X J 0 Z X I g V H l w L n t j b 2 1 t X 3 R p b W V f Y X Z n L D l 9 J n F 1 b 3 Q 7 L C Z x d W 9 0 O 1 N l Y 3 R p b 2 4 x L 1 9 n c m F 2 X z M y X z E z L 0 d l w 6 R u Z G V y d G V y I F R 5 c C 5 7 Y 2 9 t b V 9 0 a W 1 l X 2 1 h e C w x M H 0 m c X V v d D s s J n F 1 b 3 Q 7 U 2 V j d G l v b j E v X 2 d y Y X Z f M z J f M T M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z L 0 d l w 6 R u Z G V y d G V y I F R 5 c C 5 7 c 3 R l c C w w f S Z x d W 9 0 O y w m c X V v d D t T Z W N 0 a W 9 u M S 9 f Z 3 J h d l 8 z M l 8 x M y 9 H Z c O k b m R l c n R l c i B U e X A u e 3 R v d G F s X 3 R p b W U s M X 0 m c X V v d D s s J n F 1 b 3 Q 7 U 2 V j d G l v b j E v X 2 d y Y X Z f M z J f M T M v R 2 X D p G 5 k Z X J 0 Z X I g V H l w L n t 3 b 3 J r X 3 R p b W V f b W l u L D J 9 J n F 1 b 3 Q 7 L C Z x d W 9 0 O 1 N l Y 3 R p b 2 4 x L 1 9 n c m F 2 X z M y X z E z L 0 d l w 6 R u Z G V y d G V y I F R 5 c C 5 7 d 2 9 y a 1 9 0 a W 1 l X 2 F 2 Z y w z f S Z x d W 9 0 O y w m c X V v d D t T Z W N 0 a W 9 u M S 9 f Z 3 J h d l 8 z M l 8 x M y 9 H Z c O k b m R l c n R l c i B U e X A u e 3 d v c m t f d G l t Z V 9 t Y X g s N H 0 m c X V v d D s s J n F 1 b 3 Q 7 U 2 V j d G l v b j E v X 2 d y Y X Z f M z J f M T M v R 2 X D p G 5 k Z X J 0 Z X I g V H l w L n t w c m V w X 3 R p b W V f b W l u L D V 9 J n F 1 b 3 Q 7 L C Z x d W 9 0 O 1 N l Y 3 R p b 2 4 x L 1 9 n c m F 2 X z M y X z E z L 0 d l w 6 R u Z G V y d G V y I F R 5 c C 5 7 c H J l c F 9 0 a W 1 l X 2 F 2 Z y w 2 f S Z x d W 9 0 O y w m c X V v d D t T Z W N 0 a W 9 u M S 9 f Z 3 J h d l 8 z M l 8 x M y 9 H Z c O k b m R l c n R l c i B U e X A u e 3 B y Z X B f d G l t Z V 9 t Y X g s N 3 0 m c X V v d D s s J n F 1 b 3 Q 7 U 2 V j d G l v b j E v X 2 d y Y X Z f M z J f M T M v R 2 X D p G 5 k Z X J 0 Z X I g V H l w L n t j b 2 1 t X 3 R p b W V f b W l u L D h 9 J n F 1 b 3 Q 7 L C Z x d W 9 0 O 1 N l Y 3 R p b 2 4 x L 1 9 n c m F 2 X z M y X z E z L 0 d l w 6 R u Z G V y d G V y I F R 5 c C 5 7 Y 2 9 t b V 9 0 a W 1 l X 2 F 2 Z y w 5 f S Z x d W 9 0 O y w m c X V v d D t T Z W N 0 a W 9 u M S 9 f Z 3 J h d l 8 z M l 8 x M y 9 H Z c O k b m R l c n R l c i B U e X A u e 2 N v b W 1 f d G l t Z V 9 t Y X g s M T B 9 J n F 1 b 3 Q 7 L C Z x d W 9 0 O 1 N l Y 3 R p b 2 4 x L 1 9 n c m F 2 X z M y X z E z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1 O j U 5 L j Q x M D g z N z l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Q v R 2 X D p G 5 k Z X J 0 Z X I g V H l w L n t z d G V w L D B 9 J n F 1 b 3 Q 7 L C Z x d W 9 0 O 1 N l Y 3 R p b 2 4 x L 1 9 n c m F 2 X z M y X z E 0 L 0 d l w 6 R u Z G V y d G V y I F R 5 c C 5 7 d G 9 0 Y W x f d G l t Z S w x f S Z x d W 9 0 O y w m c X V v d D t T Z W N 0 a W 9 u M S 9 f Z 3 J h d l 8 z M l 8 x N C 9 H Z c O k b m R l c n R l c i B U e X A u e 3 d v c m t f d G l t Z V 9 t a W 4 s M n 0 m c X V v d D s s J n F 1 b 3 Q 7 U 2 V j d G l v b j E v X 2 d y Y X Z f M z J f M T Q v R 2 X D p G 5 k Z X J 0 Z X I g V H l w L n t 3 b 3 J r X 3 R p b W V f Y X Z n L D N 9 J n F 1 b 3 Q 7 L C Z x d W 9 0 O 1 N l Y 3 R p b 2 4 x L 1 9 n c m F 2 X z M y X z E 0 L 0 d l w 6 R u Z G V y d G V y I F R 5 c C 5 7 d 2 9 y a 1 9 0 a W 1 l X 2 1 h e C w 0 f S Z x d W 9 0 O y w m c X V v d D t T Z W N 0 a W 9 u M S 9 f Z 3 J h d l 8 z M l 8 x N C 9 H Z c O k b m R l c n R l c i B U e X A u e 3 B y Z X B f d G l t Z V 9 t a W 4 s N X 0 m c X V v d D s s J n F 1 b 3 Q 7 U 2 V j d G l v b j E v X 2 d y Y X Z f M z J f M T Q v R 2 X D p G 5 k Z X J 0 Z X I g V H l w L n t w c m V w X 3 R p b W V f Y X Z n L D Z 9 J n F 1 b 3 Q 7 L C Z x d W 9 0 O 1 N l Y 3 R p b 2 4 x L 1 9 n c m F 2 X z M y X z E 0 L 0 d l w 6 R u Z G V y d G V y I F R 5 c C 5 7 c H J l c F 9 0 a W 1 l X 2 1 h e C w 3 f S Z x d W 9 0 O y w m c X V v d D t T Z W N 0 a W 9 u M S 9 f Z 3 J h d l 8 z M l 8 x N C 9 H Z c O k b m R l c n R l c i B U e X A u e 2 N v b W 1 f d G l t Z V 9 t a W 4 s O H 0 m c X V v d D s s J n F 1 b 3 Q 7 U 2 V j d G l v b j E v X 2 d y Y X Z f M z J f M T Q v R 2 X D p G 5 k Z X J 0 Z X I g V H l w L n t j b 2 1 t X 3 R p b W V f Y X Z n L D l 9 J n F 1 b 3 Q 7 L C Z x d W 9 0 O 1 N l Y 3 R p b 2 4 x L 1 9 n c m F 2 X z M y X z E 0 L 0 d l w 6 R u Z G V y d G V y I F R 5 c C 5 7 Y 2 9 t b V 9 0 a W 1 l X 2 1 h e C w x M H 0 m c X V v d D s s J n F 1 b 3 Q 7 U 2 V j d G l v b j E v X 2 d y Y X Z f M z J f M T Q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0 L 0 d l w 6 R u Z G V y d G V y I F R 5 c C 5 7 c 3 R l c C w w f S Z x d W 9 0 O y w m c X V v d D t T Z W N 0 a W 9 u M S 9 f Z 3 J h d l 8 z M l 8 x N C 9 H Z c O k b m R l c n R l c i B U e X A u e 3 R v d G F s X 3 R p b W U s M X 0 m c X V v d D s s J n F 1 b 3 Q 7 U 2 V j d G l v b j E v X 2 d y Y X Z f M z J f M T Q v R 2 X D p G 5 k Z X J 0 Z X I g V H l w L n t 3 b 3 J r X 3 R p b W V f b W l u L D J 9 J n F 1 b 3 Q 7 L C Z x d W 9 0 O 1 N l Y 3 R p b 2 4 x L 1 9 n c m F 2 X z M y X z E 0 L 0 d l w 6 R u Z G V y d G V y I F R 5 c C 5 7 d 2 9 y a 1 9 0 a W 1 l X 2 F 2 Z y w z f S Z x d W 9 0 O y w m c X V v d D t T Z W N 0 a W 9 u M S 9 f Z 3 J h d l 8 z M l 8 x N C 9 H Z c O k b m R l c n R l c i B U e X A u e 3 d v c m t f d G l t Z V 9 t Y X g s N H 0 m c X V v d D s s J n F 1 b 3 Q 7 U 2 V j d G l v b j E v X 2 d y Y X Z f M z J f M T Q v R 2 X D p G 5 k Z X J 0 Z X I g V H l w L n t w c m V w X 3 R p b W V f b W l u L D V 9 J n F 1 b 3 Q 7 L C Z x d W 9 0 O 1 N l Y 3 R p b 2 4 x L 1 9 n c m F 2 X z M y X z E 0 L 0 d l w 6 R u Z G V y d G V y I F R 5 c C 5 7 c H J l c F 9 0 a W 1 l X 2 F 2 Z y w 2 f S Z x d W 9 0 O y w m c X V v d D t T Z W N 0 a W 9 u M S 9 f Z 3 J h d l 8 z M l 8 x N C 9 H Z c O k b m R l c n R l c i B U e X A u e 3 B y Z X B f d G l t Z V 9 t Y X g s N 3 0 m c X V v d D s s J n F 1 b 3 Q 7 U 2 V j d G l v b j E v X 2 d y Y X Z f M z J f M T Q v R 2 X D p G 5 k Z X J 0 Z X I g V H l w L n t j b 2 1 t X 3 R p b W V f b W l u L D h 9 J n F 1 b 3 Q 7 L C Z x d W 9 0 O 1 N l Y 3 R p b 2 4 x L 1 9 n c m F 2 X z M y X z E 0 L 0 d l w 6 R u Z G V y d G V y I F R 5 c C 5 7 Y 2 9 t b V 9 0 a W 1 l X 2 F 2 Z y w 5 f S Z x d W 9 0 O y w m c X V v d D t T Z W N 0 a W 9 u M S 9 f Z 3 J h d l 8 z M l 8 x N C 9 H Z c O k b m R l c n R l c i B U e X A u e 2 N v b W 1 f d G l t Z V 9 t Y X g s M T B 9 J n F 1 b 3 Q 7 L C Z x d W 9 0 O 1 N l Y 3 R p b 2 4 x L 1 9 n c m F 2 X z M y X z E 0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2 O j E y L j Y 5 M T M x M j l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U v R 2 X D p G 5 k Z X J 0 Z X I g V H l w L n t z d G V w L D B 9 J n F 1 b 3 Q 7 L C Z x d W 9 0 O 1 N l Y 3 R p b 2 4 x L 1 9 n c m F 2 X z M y X z E 1 L 0 d l w 6 R u Z G V y d G V y I F R 5 c C 5 7 d G 9 0 Y W x f d G l t Z S w x f S Z x d W 9 0 O y w m c X V v d D t T Z W N 0 a W 9 u M S 9 f Z 3 J h d l 8 z M l 8 x N S 9 H Z c O k b m R l c n R l c i B U e X A u e 3 d v c m t f d G l t Z V 9 t a W 4 s M n 0 m c X V v d D s s J n F 1 b 3 Q 7 U 2 V j d G l v b j E v X 2 d y Y X Z f M z J f M T U v R 2 X D p G 5 k Z X J 0 Z X I g V H l w L n t 3 b 3 J r X 3 R p b W V f Y X Z n L D N 9 J n F 1 b 3 Q 7 L C Z x d W 9 0 O 1 N l Y 3 R p b 2 4 x L 1 9 n c m F 2 X z M y X z E 1 L 0 d l w 6 R u Z G V y d G V y I F R 5 c C 5 7 d 2 9 y a 1 9 0 a W 1 l X 2 1 h e C w 0 f S Z x d W 9 0 O y w m c X V v d D t T Z W N 0 a W 9 u M S 9 f Z 3 J h d l 8 z M l 8 x N S 9 H Z c O k b m R l c n R l c i B U e X A u e 3 B y Z X B f d G l t Z V 9 t a W 4 s N X 0 m c X V v d D s s J n F 1 b 3 Q 7 U 2 V j d G l v b j E v X 2 d y Y X Z f M z J f M T U v R 2 X D p G 5 k Z X J 0 Z X I g V H l w L n t w c m V w X 3 R p b W V f Y X Z n L D Z 9 J n F 1 b 3 Q 7 L C Z x d W 9 0 O 1 N l Y 3 R p b 2 4 x L 1 9 n c m F 2 X z M y X z E 1 L 0 d l w 6 R u Z G V y d G V y I F R 5 c C 5 7 c H J l c F 9 0 a W 1 l X 2 1 h e C w 3 f S Z x d W 9 0 O y w m c X V v d D t T Z W N 0 a W 9 u M S 9 f Z 3 J h d l 8 z M l 8 x N S 9 H Z c O k b m R l c n R l c i B U e X A u e 2 N v b W 1 f d G l t Z V 9 t a W 4 s O H 0 m c X V v d D s s J n F 1 b 3 Q 7 U 2 V j d G l v b j E v X 2 d y Y X Z f M z J f M T U v R 2 X D p G 5 k Z X J 0 Z X I g V H l w L n t j b 2 1 t X 3 R p b W V f Y X Z n L D l 9 J n F 1 b 3 Q 7 L C Z x d W 9 0 O 1 N l Y 3 R p b 2 4 x L 1 9 n c m F 2 X z M y X z E 1 L 0 d l w 6 R u Z G V y d G V y I F R 5 c C 5 7 Y 2 9 t b V 9 0 a W 1 l X 2 1 h e C w x M H 0 m c X V v d D s s J n F 1 b 3 Q 7 U 2 V j d G l v b j E v X 2 d y Y X Z f M z J f M T U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1 L 0 d l w 6 R u Z G V y d G V y I F R 5 c C 5 7 c 3 R l c C w w f S Z x d W 9 0 O y w m c X V v d D t T Z W N 0 a W 9 u M S 9 f Z 3 J h d l 8 z M l 8 x N S 9 H Z c O k b m R l c n R l c i B U e X A u e 3 R v d G F s X 3 R p b W U s M X 0 m c X V v d D s s J n F 1 b 3 Q 7 U 2 V j d G l v b j E v X 2 d y Y X Z f M z J f M T U v R 2 X D p G 5 k Z X J 0 Z X I g V H l w L n t 3 b 3 J r X 3 R p b W V f b W l u L D J 9 J n F 1 b 3 Q 7 L C Z x d W 9 0 O 1 N l Y 3 R p b 2 4 x L 1 9 n c m F 2 X z M y X z E 1 L 0 d l w 6 R u Z G V y d G V y I F R 5 c C 5 7 d 2 9 y a 1 9 0 a W 1 l X 2 F 2 Z y w z f S Z x d W 9 0 O y w m c X V v d D t T Z W N 0 a W 9 u M S 9 f Z 3 J h d l 8 z M l 8 x N S 9 H Z c O k b m R l c n R l c i B U e X A u e 3 d v c m t f d G l t Z V 9 t Y X g s N H 0 m c X V v d D s s J n F 1 b 3 Q 7 U 2 V j d G l v b j E v X 2 d y Y X Z f M z J f M T U v R 2 X D p G 5 k Z X J 0 Z X I g V H l w L n t w c m V w X 3 R p b W V f b W l u L D V 9 J n F 1 b 3 Q 7 L C Z x d W 9 0 O 1 N l Y 3 R p b 2 4 x L 1 9 n c m F 2 X z M y X z E 1 L 0 d l w 6 R u Z G V y d G V y I F R 5 c C 5 7 c H J l c F 9 0 a W 1 l X 2 F 2 Z y w 2 f S Z x d W 9 0 O y w m c X V v d D t T Z W N 0 a W 9 u M S 9 f Z 3 J h d l 8 z M l 8 x N S 9 H Z c O k b m R l c n R l c i B U e X A u e 3 B y Z X B f d G l t Z V 9 t Y X g s N 3 0 m c X V v d D s s J n F 1 b 3 Q 7 U 2 V j d G l v b j E v X 2 d y Y X Z f M z J f M T U v R 2 X D p G 5 k Z X J 0 Z X I g V H l w L n t j b 2 1 t X 3 R p b W V f b W l u L D h 9 J n F 1 b 3 Q 7 L C Z x d W 9 0 O 1 N l Y 3 R p b 2 4 x L 1 9 n c m F 2 X z M y X z E 1 L 0 d l w 6 R u Z G V y d G V y I F R 5 c C 5 7 Y 2 9 t b V 9 0 a W 1 l X 2 F 2 Z y w 5 f S Z x d W 9 0 O y w m c X V v d D t T Z W N 0 a W 9 u M S 9 f Z 3 J h d l 8 z M l 8 x N S 9 H Z c O k b m R l c n R l c i B U e X A u e 2 N v b W 1 f d G l t Z V 9 t Y X g s M T B 9 J n F 1 b 3 Q 7 L C Z x d W 9 0 O 1 N l Y 3 R p b 2 4 x L 1 9 n c m F 2 X z M y X z E 1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2 O j I 1 L j E 4 M D A w N z h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Y v R 2 X D p G 5 k Z X J 0 Z X I g V H l w L n t z d G V w L D B 9 J n F 1 b 3 Q 7 L C Z x d W 9 0 O 1 N l Y 3 R p b 2 4 x L 1 9 n c m F 2 X z M y X z E 2 L 0 d l w 6 R u Z G V y d G V y I F R 5 c C 5 7 d G 9 0 Y W x f d G l t Z S w x f S Z x d W 9 0 O y w m c X V v d D t T Z W N 0 a W 9 u M S 9 f Z 3 J h d l 8 z M l 8 x N i 9 H Z c O k b m R l c n R l c i B U e X A u e 3 d v c m t f d G l t Z V 9 t a W 4 s M n 0 m c X V v d D s s J n F 1 b 3 Q 7 U 2 V j d G l v b j E v X 2 d y Y X Z f M z J f M T Y v R 2 X D p G 5 k Z X J 0 Z X I g V H l w L n t 3 b 3 J r X 3 R p b W V f Y X Z n L D N 9 J n F 1 b 3 Q 7 L C Z x d W 9 0 O 1 N l Y 3 R p b 2 4 x L 1 9 n c m F 2 X z M y X z E 2 L 0 d l w 6 R u Z G V y d G V y I F R 5 c C 5 7 d 2 9 y a 1 9 0 a W 1 l X 2 1 h e C w 0 f S Z x d W 9 0 O y w m c X V v d D t T Z W N 0 a W 9 u M S 9 f Z 3 J h d l 8 z M l 8 x N i 9 H Z c O k b m R l c n R l c i B U e X A u e 3 B y Z X B f d G l t Z V 9 t a W 4 s N X 0 m c X V v d D s s J n F 1 b 3 Q 7 U 2 V j d G l v b j E v X 2 d y Y X Z f M z J f M T Y v R 2 X D p G 5 k Z X J 0 Z X I g V H l w L n t w c m V w X 3 R p b W V f Y X Z n L D Z 9 J n F 1 b 3 Q 7 L C Z x d W 9 0 O 1 N l Y 3 R p b 2 4 x L 1 9 n c m F 2 X z M y X z E 2 L 0 d l w 6 R u Z G V y d G V y I F R 5 c C 5 7 c H J l c F 9 0 a W 1 l X 2 1 h e C w 3 f S Z x d W 9 0 O y w m c X V v d D t T Z W N 0 a W 9 u M S 9 f Z 3 J h d l 8 z M l 8 x N i 9 H Z c O k b m R l c n R l c i B U e X A u e 2 N v b W 1 f d G l t Z V 9 t a W 4 s O H 0 m c X V v d D s s J n F 1 b 3 Q 7 U 2 V j d G l v b j E v X 2 d y Y X Z f M z J f M T Y v R 2 X D p G 5 k Z X J 0 Z X I g V H l w L n t j b 2 1 t X 3 R p b W V f Y X Z n L D l 9 J n F 1 b 3 Q 7 L C Z x d W 9 0 O 1 N l Y 3 R p b 2 4 x L 1 9 n c m F 2 X z M y X z E 2 L 0 d l w 6 R u Z G V y d G V y I F R 5 c C 5 7 Y 2 9 t b V 9 0 a W 1 l X 2 1 h e C w x M H 0 m c X V v d D s s J n F 1 b 3 Q 7 U 2 V j d G l v b j E v X 2 d y Y X Z f M z J f M T Y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2 L 0 d l w 6 R u Z G V y d G V y I F R 5 c C 5 7 c 3 R l c C w w f S Z x d W 9 0 O y w m c X V v d D t T Z W N 0 a W 9 u M S 9 f Z 3 J h d l 8 z M l 8 x N i 9 H Z c O k b m R l c n R l c i B U e X A u e 3 R v d G F s X 3 R p b W U s M X 0 m c X V v d D s s J n F 1 b 3 Q 7 U 2 V j d G l v b j E v X 2 d y Y X Z f M z J f M T Y v R 2 X D p G 5 k Z X J 0 Z X I g V H l w L n t 3 b 3 J r X 3 R p b W V f b W l u L D J 9 J n F 1 b 3 Q 7 L C Z x d W 9 0 O 1 N l Y 3 R p b 2 4 x L 1 9 n c m F 2 X z M y X z E 2 L 0 d l w 6 R u Z G V y d G V y I F R 5 c C 5 7 d 2 9 y a 1 9 0 a W 1 l X 2 F 2 Z y w z f S Z x d W 9 0 O y w m c X V v d D t T Z W N 0 a W 9 u M S 9 f Z 3 J h d l 8 z M l 8 x N i 9 H Z c O k b m R l c n R l c i B U e X A u e 3 d v c m t f d G l t Z V 9 t Y X g s N H 0 m c X V v d D s s J n F 1 b 3 Q 7 U 2 V j d G l v b j E v X 2 d y Y X Z f M z J f M T Y v R 2 X D p G 5 k Z X J 0 Z X I g V H l w L n t w c m V w X 3 R p b W V f b W l u L D V 9 J n F 1 b 3 Q 7 L C Z x d W 9 0 O 1 N l Y 3 R p b 2 4 x L 1 9 n c m F 2 X z M y X z E 2 L 0 d l w 6 R u Z G V y d G V y I F R 5 c C 5 7 c H J l c F 9 0 a W 1 l X 2 F 2 Z y w 2 f S Z x d W 9 0 O y w m c X V v d D t T Z W N 0 a W 9 u M S 9 f Z 3 J h d l 8 z M l 8 x N i 9 H Z c O k b m R l c n R l c i B U e X A u e 3 B y Z X B f d G l t Z V 9 t Y X g s N 3 0 m c X V v d D s s J n F 1 b 3 Q 7 U 2 V j d G l v b j E v X 2 d y Y X Z f M z J f M T Y v R 2 X D p G 5 k Z X J 0 Z X I g V H l w L n t j b 2 1 t X 3 R p b W V f b W l u L D h 9 J n F 1 b 3 Q 7 L C Z x d W 9 0 O 1 N l Y 3 R p b 2 4 x L 1 9 n c m F 2 X z M y X z E 2 L 0 d l w 6 R u Z G V y d G V y I F R 5 c C 5 7 Y 2 9 t b V 9 0 a W 1 l X 2 F 2 Z y w 5 f S Z x d W 9 0 O y w m c X V v d D t T Z W N 0 a W 9 u M S 9 f Z 3 J h d l 8 z M l 8 x N i 9 H Z c O k b m R l c n R l c i B U e X A u e 2 N v b W 1 f d G l t Z V 9 t Y X g s M T B 9 J n F 1 b 3 Q 7 L C Z x d W 9 0 O 1 N l Y 3 R p b 2 4 x L 1 9 n c m F 2 X z M y X z E 2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2 O j M 4 L j Y y M T k y N z F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c v R 2 X D p G 5 k Z X J 0 Z X I g V H l w L n t z d G V w L D B 9 J n F 1 b 3 Q 7 L C Z x d W 9 0 O 1 N l Y 3 R p b 2 4 x L 1 9 n c m F 2 X z M y X z E 3 L 0 d l w 6 R u Z G V y d G V y I F R 5 c C 5 7 d G 9 0 Y W x f d G l t Z S w x f S Z x d W 9 0 O y w m c X V v d D t T Z W N 0 a W 9 u M S 9 f Z 3 J h d l 8 z M l 8 x N y 9 H Z c O k b m R l c n R l c i B U e X A u e 3 d v c m t f d G l t Z V 9 t a W 4 s M n 0 m c X V v d D s s J n F 1 b 3 Q 7 U 2 V j d G l v b j E v X 2 d y Y X Z f M z J f M T c v R 2 X D p G 5 k Z X J 0 Z X I g V H l w L n t 3 b 3 J r X 3 R p b W V f Y X Z n L D N 9 J n F 1 b 3 Q 7 L C Z x d W 9 0 O 1 N l Y 3 R p b 2 4 x L 1 9 n c m F 2 X z M y X z E 3 L 0 d l w 6 R u Z G V y d G V y I F R 5 c C 5 7 d 2 9 y a 1 9 0 a W 1 l X 2 1 h e C w 0 f S Z x d W 9 0 O y w m c X V v d D t T Z W N 0 a W 9 u M S 9 f Z 3 J h d l 8 z M l 8 x N y 9 H Z c O k b m R l c n R l c i B U e X A u e 3 B y Z X B f d G l t Z V 9 t a W 4 s N X 0 m c X V v d D s s J n F 1 b 3 Q 7 U 2 V j d G l v b j E v X 2 d y Y X Z f M z J f M T c v R 2 X D p G 5 k Z X J 0 Z X I g V H l w L n t w c m V w X 3 R p b W V f Y X Z n L D Z 9 J n F 1 b 3 Q 7 L C Z x d W 9 0 O 1 N l Y 3 R p b 2 4 x L 1 9 n c m F 2 X z M y X z E 3 L 0 d l w 6 R u Z G V y d G V y I F R 5 c C 5 7 c H J l c F 9 0 a W 1 l X 2 1 h e C w 3 f S Z x d W 9 0 O y w m c X V v d D t T Z W N 0 a W 9 u M S 9 f Z 3 J h d l 8 z M l 8 x N y 9 H Z c O k b m R l c n R l c i B U e X A u e 2 N v b W 1 f d G l t Z V 9 t a W 4 s O H 0 m c X V v d D s s J n F 1 b 3 Q 7 U 2 V j d G l v b j E v X 2 d y Y X Z f M z J f M T c v R 2 X D p G 5 k Z X J 0 Z X I g V H l w L n t j b 2 1 t X 3 R p b W V f Y X Z n L D l 9 J n F 1 b 3 Q 7 L C Z x d W 9 0 O 1 N l Y 3 R p b 2 4 x L 1 9 n c m F 2 X z M y X z E 3 L 0 d l w 6 R u Z G V y d G V y I F R 5 c C 5 7 Y 2 9 t b V 9 0 a W 1 l X 2 1 h e C w x M H 0 m c X V v d D s s J n F 1 b 3 Q 7 U 2 V j d G l v b j E v X 2 d y Y X Z f M z J f M T c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3 L 0 d l w 6 R u Z G V y d G V y I F R 5 c C 5 7 c 3 R l c C w w f S Z x d W 9 0 O y w m c X V v d D t T Z W N 0 a W 9 u M S 9 f Z 3 J h d l 8 z M l 8 x N y 9 H Z c O k b m R l c n R l c i B U e X A u e 3 R v d G F s X 3 R p b W U s M X 0 m c X V v d D s s J n F 1 b 3 Q 7 U 2 V j d G l v b j E v X 2 d y Y X Z f M z J f M T c v R 2 X D p G 5 k Z X J 0 Z X I g V H l w L n t 3 b 3 J r X 3 R p b W V f b W l u L D J 9 J n F 1 b 3 Q 7 L C Z x d W 9 0 O 1 N l Y 3 R p b 2 4 x L 1 9 n c m F 2 X z M y X z E 3 L 0 d l w 6 R u Z G V y d G V y I F R 5 c C 5 7 d 2 9 y a 1 9 0 a W 1 l X 2 F 2 Z y w z f S Z x d W 9 0 O y w m c X V v d D t T Z W N 0 a W 9 u M S 9 f Z 3 J h d l 8 z M l 8 x N y 9 H Z c O k b m R l c n R l c i B U e X A u e 3 d v c m t f d G l t Z V 9 t Y X g s N H 0 m c X V v d D s s J n F 1 b 3 Q 7 U 2 V j d G l v b j E v X 2 d y Y X Z f M z J f M T c v R 2 X D p G 5 k Z X J 0 Z X I g V H l w L n t w c m V w X 3 R p b W V f b W l u L D V 9 J n F 1 b 3 Q 7 L C Z x d W 9 0 O 1 N l Y 3 R p b 2 4 x L 1 9 n c m F 2 X z M y X z E 3 L 0 d l w 6 R u Z G V y d G V y I F R 5 c C 5 7 c H J l c F 9 0 a W 1 l X 2 F 2 Z y w 2 f S Z x d W 9 0 O y w m c X V v d D t T Z W N 0 a W 9 u M S 9 f Z 3 J h d l 8 z M l 8 x N y 9 H Z c O k b m R l c n R l c i B U e X A u e 3 B y Z X B f d G l t Z V 9 t Y X g s N 3 0 m c X V v d D s s J n F 1 b 3 Q 7 U 2 V j d G l v b j E v X 2 d y Y X Z f M z J f M T c v R 2 X D p G 5 k Z X J 0 Z X I g V H l w L n t j b 2 1 t X 3 R p b W V f b W l u L D h 9 J n F 1 b 3 Q 7 L C Z x d W 9 0 O 1 N l Y 3 R p b 2 4 x L 1 9 n c m F 2 X z M y X z E 3 L 0 d l w 6 R u Z G V y d G V y I F R 5 c C 5 7 Y 2 9 t b V 9 0 a W 1 l X 2 F 2 Z y w 5 f S Z x d W 9 0 O y w m c X V v d D t T Z W N 0 a W 9 u M S 9 f Z 3 J h d l 8 z M l 8 x N y 9 H Z c O k b m R l c n R l c i B U e X A u e 2 N v b W 1 f d G l t Z V 9 t Y X g s M T B 9 J n F 1 b 3 Q 7 L C Z x d W 9 0 O 1 N l Y 3 R p b 2 4 x L 1 9 n c m F 2 X z M y X z E 3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2 O j U w L j I 4 N T Q x N j Z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g v R 2 X D p G 5 k Z X J 0 Z X I g V H l w L n t z d G V w L D B 9 J n F 1 b 3 Q 7 L C Z x d W 9 0 O 1 N l Y 3 R p b 2 4 x L 1 9 n c m F 2 X z M y X z E 4 L 0 d l w 6 R u Z G V y d G V y I F R 5 c C 5 7 d G 9 0 Y W x f d G l t Z S w x f S Z x d W 9 0 O y w m c X V v d D t T Z W N 0 a W 9 u M S 9 f Z 3 J h d l 8 z M l 8 x O C 9 H Z c O k b m R l c n R l c i B U e X A u e 3 d v c m t f d G l t Z V 9 t a W 4 s M n 0 m c X V v d D s s J n F 1 b 3 Q 7 U 2 V j d G l v b j E v X 2 d y Y X Z f M z J f M T g v R 2 X D p G 5 k Z X J 0 Z X I g V H l w L n t 3 b 3 J r X 3 R p b W V f Y X Z n L D N 9 J n F 1 b 3 Q 7 L C Z x d W 9 0 O 1 N l Y 3 R p b 2 4 x L 1 9 n c m F 2 X z M y X z E 4 L 0 d l w 6 R u Z G V y d G V y I F R 5 c C 5 7 d 2 9 y a 1 9 0 a W 1 l X 2 1 h e C w 0 f S Z x d W 9 0 O y w m c X V v d D t T Z W N 0 a W 9 u M S 9 f Z 3 J h d l 8 z M l 8 x O C 9 H Z c O k b m R l c n R l c i B U e X A u e 3 B y Z X B f d G l t Z V 9 t a W 4 s N X 0 m c X V v d D s s J n F 1 b 3 Q 7 U 2 V j d G l v b j E v X 2 d y Y X Z f M z J f M T g v R 2 X D p G 5 k Z X J 0 Z X I g V H l w L n t w c m V w X 3 R p b W V f Y X Z n L D Z 9 J n F 1 b 3 Q 7 L C Z x d W 9 0 O 1 N l Y 3 R p b 2 4 x L 1 9 n c m F 2 X z M y X z E 4 L 0 d l w 6 R u Z G V y d G V y I F R 5 c C 5 7 c H J l c F 9 0 a W 1 l X 2 1 h e C w 3 f S Z x d W 9 0 O y w m c X V v d D t T Z W N 0 a W 9 u M S 9 f Z 3 J h d l 8 z M l 8 x O C 9 H Z c O k b m R l c n R l c i B U e X A u e 2 N v b W 1 f d G l t Z V 9 t a W 4 s O H 0 m c X V v d D s s J n F 1 b 3 Q 7 U 2 V j d G l v b j E v X 2 d y Y X Z f M z J f M T g v R 2 X D p G 5 k Z X J 0 Z X I g V H l w L n t j b 2 1 t X 3 R p b W V f Y X Z n L D l 9 J n F 1 b 3 Q 7 L C Z x d W 9 0 O 1 N l Y 3 R p b 2 4 x L 1 9 n c m F 2 X z M y X z E 4 L 0 d l w 6 R u Z G V y d G V y I F R 5 c C 5 7 Y 2 9 t b V 9 0 a W 1 l X 2 1 h e C w x M H 0 m c X V v d D s s J n F 1 b 3 Q 7 U 2 V j d G l v b j E v X 2 d y Y X Z f M z J f M T g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4 L 0 d l w 6 R u Z G V y d G V y I F R 5 c C 5 7 c 3 R l c C w w f S Z x d W 9 0 O y w m c X V v d D t T Z W N 0 a W 9 u M S 9 f Z 3 J h d l 8 z M l 8 x O C 9 H Z c O k b m R l c n R l c i B U e X A u e 3 R v d G F s X 3 R p b W U s M X 0 m c X V v d D s s J n F 1 b 3 Q 7 U 2 V j d G l v b j E v X 2 d y Y X Z f M z J f M T g v R 2 X D p G 5 k Z X J 0 Z X I g V H l w L n t 3 b 3 J r X 3 R p b W V f b W l u L D J 9 J n F 1 b 3 Q 7 L C Z x d W 9 0 O 1 N l Y 3 R p b 2 4 x L 1 9 n c m F 2 X z M y X z E 4 L 0 d l w 6 R u Z G V y d G V y I F R 5 c C 5 7 d 2 9 y a 1 9 0 a W 1 l X 2 F 2 Z y w z f S Z x d W 9 0 O y w m c X V v d D t T Z W N 0 a W 9 u M S 9 f Z 3 J h d l 8 z M l 8 x O C 9 H Z c O k b m R l c n R l c i B U e X A u e 3 d v c m t f d G l t Z V 9 t Y X g s N H 0 m c X V v d D s s J n F 1 b 3 Q 7 U 2 V j d G l v b j E v X 2 d y Y X Z f M z J f M T g v R 2 X D p G 5 k Z X J 0 Z X I g V H l w L n t w c m V w X 3 R p b W V f b W l u L D V 9 J n F 1 b 3 Q 7 L C Z x d W 9 0 O 1 N l Y 3 R p b 2 4 x L 1 9 n c m F 2 X z M y X z E 4 L 0 d l w 6 R u Z G V y d G V y I F R 5 c C 5 7 c H J l c F 9 0 a W 1 l X 2 F 2 Z y w 2 f S Z x d W 9 0 O y w m c X V v d D t T Z W N 0 a W 9 u M S 9 f Z 3 J h d l 8 z M l 8 x O C 9 H Z c O k b m R l c n R l c i B U e X A u e 3 B y Z X B f d G l t Z V 9 t Y X g s N 3 0 m c X V v d D s s J n F 1 b 3 Q 7 U 2 V j d G l v b j E v X 2 d y Y X Z f M z J f M T g v R 2 X D p G 5 k Z X J 0 Z X I g V H l w L n t j b 2 1 t X 3 R p b W V f b W l u L D h 9 J n F 1 b 3 Q 7 L C Z x d W 9 0 O 1 N l Y 3 R p b 2 4 x L 1 9 n c m F 2 X z M y X z E 4 L 0 d l w 6 R u Z G V y d G V y I F R 5 c C 5 7 Y 2 9 t b V 9 0 a W 1 l X 2 F 2 Z y w 5 f S Z x d W 9 0 O y w m c X V v d D t T Z W N 0 a W 9 u M S 9 f Z 3 J h d l 8 z M l 8 x O C 9 H Z c O k b m R l c n R l c i B U e X A u e 2 N v b W 1 f d G l t Z V 9 t Y X g s M T B 9 J n F 1 b 3 Q 7 L C Z x d W 9 0 O 1 N l Y 3 R p b 2 4 x L 1 9 n c m F 2 X z M y X z E 4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3 O j A 0 L j Y y N T E 3 M z d a I i A v P j x F b n R y e S B U e X B l P S J G a W x s Q 2 9 s d W 1 u V H l w Z X M i I F Z h b H V l P S J z Q X d V R k J R V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k v R 2 X D p G 5 k Z X J 0 Z X I g V H l w L n t z d G V w L D B 9 J n F 1 b 3 Q 7 L C Z x d W 9 0 O 1 N l Y 3 R p b 2 4 x L 1 9 n c m F 2 X z M y X z E 5 L 0 d l w 6 R u Z G V y d G V y I F R 5 c C 5 7 d G 9 0 Y W x f d G l t Z S w x f S Z x d W 9 0 O y w m c X V v d D t T Z W N 0 a W 9 u M S 9 f Z 3 J h d l 8 z M l 8 x O S 9 H Z c O k b m R l c n R l c i B U e X A u e 3 d v c m t f d G l t Z V 9 t a W 4 s M n 0 m c X V v d D s s J n F 1 b 3 Q 7 U 2 V j d G l v b j E v X 2 d y Y X Z f M z J f M T k v R 2 X D p G 5 k Z X J 0 Z X I g V H l w L n t 3 b 3 J r X 3 R p b W V f Y X Z n L D N 9 J n F 1 b 3 Q 7 L C Z x d W 9 0 O 1 N l Y 3 R p b 2 4 x L 1 9 n c m F 2 X z M y X z E 5 L 0 d l w 6 R u Z G V y d G V y I F R 5 c C 5 7 d 2 9 y a 1 9 0 a W 1 l X 2 1 h e C w 0 f S Z x d W 9 0 O y w m c X V v d D t T Z W N 0 a W 9 u M S 9 f Z 3 J h d l 8 z M l 8 x O S 9 H Z c O k b m R l c n R l c i B U e X A u e 3 B y Z X B f d G l t Z V 9 t a W 4 s N X 0 m c X V v d D s s J n F 1 b 3 Q 7 U 2 V j d G l v b j E v X 2 d y Y X Z f M z J f M T k v R 2 X D p G 5 k Z X J 0 Z X I g V H l w L n t w c m V w X 3 R p b W V f Y X Z n L D Z 9 J n F 1 b 3 Q 7 L C Z x d W 9 0 O 1 N l Y 3 R p b 2 4 x L 1 9 n c m F 2 X z M y X z E 5 L 0 d l w 6 R u Z G V y d G V y I F R 5 c C 5 7 c H J l c F 9 0 a W 1 l X 2 1 h e C w 3 f S Z x d W 9 0 O y w m c X V v d D t T Z W N 0 a W 9 u M S 9 f Z 3 J h d l 8 z M l 8 x O S 9 H Z c O k b m R l c n R l c i B U e X A u e 2 N v b W 1 f d G l t Z V 9 t a W 4 s O H 0 m c X V v d D s s J n F 1 b 3 Q 7 U 2 V j d G l v b j E v X 2 d y Y X Z f M z J f M T k v R 2 X D p G 5 k Z X J 0 Z X I g V H l w L n t j b 2 1 t X 3 R p b W V f Y X Z n L D l 9 J n F 1 b 3 Q 7 L C Z x d W 9 0 O 1 N l Y 3 R p b 2 4 x L 1 9 n c m F 2 X z M y X z E 5 L 0 d l w 6 R u Z G V y d G V y I F R 5 c C 5 7 Y 2 9 t b V 9 0 a W 1 l X 2 1 h e C w x M H 0 m c X V v d D s s J n F 1 b 3 Q 7 U 2 V j d G l v b j E v X 2 d y Y X Z f M z J f M T k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E 5 L 0 d l w 6 R u Z G V y d G V y I F R 5 c C 5 7 c 3 R l c C w w f S Z x d W 9 0 O y w m c X V v d D t T Z W N 0 a W 9 u M S 9 f Z 3 J h d l 8 z M l 8 x O S 9 H Z c O k b m R l c n R l c i B U e X A u e 3 R v d G F s X 3 R p b W U s M X 0 m c X V v d D s s J n F 1 b 3 Q 7 U 2 V j d G l v b j E v X 2 d y Y X Z f M z J f M T k v R 2 X D p G 5 k Z X J 0 Z X I g V H l w L n t 3 b 3 J r X 3 R p b W V f b W l u L D J 9 J n F 1 b 3 Q 7 L C Z x d W 9 0 O 1 N l Y 3 R p b 2 4 x L 1 9 n c m F 2 X z M y X z E 5 L 0 d l w 6 R u Z G V y d G V y I F R 5 c C 5 7 d 2 9 y a 1 9 0 a W 1 l X 2 F 2 Z y w z f S Z x d W 9 0 O y w m c X V v d D t T Z W N 0 a W 9 u M S 9 f Z 3 J h d l 8 z M l 8 x O S 9 H Z c O k b m R l c n R l c i B U e X A u e 3 d v c m t f d G l t Z V 9 t Y X g s N H 0 m c X V v d D s s J n F 1 b 3 Q 7 U 2 V j d G l v b j E v X 2 d y Y X Z f M z J f M T k v R 2 X D p G 5 k Z X J 0 Z X I g V H l w L n t w c m V w X 3 R p b W V f b W l u L D V 9 J n F 1 b 3 Q 7 L C Z x d W 9 0 O 1 N l Y 3 R p b 2 4 x L 1 9 n c m F 2 X z M y X z E 5 L 0 d l w 6 R u Z G V y d G V y I F R 5 c C 5 7 c H J l c F 9 0 a W 1 l X 2 F 2 Z y w 2 f S Z x d W 9 0 O y w m c X V v d D t T Z W N 0 a W 9 u M S 9 f Z 3 J h d l 8 z M l 8 x O S 9 H Z c O k b m R l c n R l c i B U e X A u e 3 B y Z X B f d G l t Z V 9 t Y X g s N 3 0 m c X V v d D s s J n F 1 b 3 Q 7 U 2 V j d G l v b j E v X 2 d y Y X Z f M z J f M T k v R 2 X D p G 5 k Z X J 0 Z X I g V H l w L n t j b 2 1 t X 3 R p b W V f b W l u L D h 9 J n F 1 b 3 Q 7 L C Z x d W 9 0 O 1 N l Y 3 R p b 2 4 x L 1 9 n c m F 2 X z M y X z E 5 L 0 d l w 6 R u Z G V y d G V y I F R 5 c C 5 7 Y 2 9 t b V 9 0 a W 1 l X 2 F 2 Z y w 5 f S Z x d W 9 0 O y w m c X V v d D t T Z W N 0 a W 9 u M S 9 f Z 3 J h d l 8 z M l 8 x O S 9 H Z c O k b m R l c n R l c i B U e X A u e 2 N v b W 1 f d G l t Z V 9 t Y X g s M T B 9 J n F 1 b 3 Q 7 L C Z x d W 9 0 O 1 N l Y 3 R p b 2 4 x L 1 9 n c m F 2 X z M y X z E 5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I w O j A 3 O j I w L j g z O T c z N T h a I i A v P j x F b n R y e S B U e X B l P S J G a W x s Q 2 9 s d W 1 u V H l w Z X M i I F Z h b H V l P S J z Q X d V R k J R T U Z C U V V G Q l F V R C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s s J n F 1 b 3 Q 7 b W F 4 X 2 F s b G 9 j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j A v R 2 X D p G 5 k Z X J 0 Z X I g V H l w L n t z d G V w L D B 9 J n F 1 b 3 Q 7 L C Z x d W 9 0 O 1 N l Y 3 R p b 2 4 x L 1 9 n c m F 2 X z M y X z I w L 0 d l w 6 R u Z G V y d G V y I F R 5 c C 5 7 d G 9 0 Y W x f d G l t Z S w x f S Z x d W 9 0 O y w m c X V v d D t T Z W N 0 a W 9 u M S 9 f Z 3 J h d l 8 z M l 8 y M C 9 H Z c O k b m R l c n R l c i B U e X A u e 3 d v c m t f d G l t Z V 9 t a W 4 s M n 0 m c X V v d D s s J n F 1 b 3 Q 7 U 2 V j d G l v b j E v X 2 d y Y X Z f M z J f M j A v R 2 X D p G 5 k Z X J 0 Z X I g V H l w L n t 3 b 3 J r X 3 R p b W V f Y X Z n L D N 9 J n F 1 b 3 Q 7 L C Z x d W 9 0 O 1 N l Y 3 R p b 2 4 x L 1 9 n c m F 2 X z M y X z I w L 0 d l w 6 R u Z G V y d G V y I F R 5 c C 5 7 d 2 9 y a 1 9 0 a W 1 l X 2 1 h e C w 0 f S Z x d W 9 0 O y w m c X V v d D t T Z W N 0 a W 9 u M S 9 f Z 3 J h d l 8 z M l 8 y M C 9 H Z c O k b m R l c n R l c i B U e X A u e 3 B y Z X B f d G l t Z V 9 t a W 4 s N X 0 m c X V v d D s s J n F 1 b 3 Q 7 U 2 V j d G l v b j E v X 2 d y Y X Z f M z J f M j A v R 2 X D p G 5 k Z X J 0 Z X I g V H l w L n t w c m V w X 3 R p b W V f Y X Z n L D Z 9 J n F 1 b 3 Q 7 L C Z x d W 9 0 O 1 N l Y 3 R p b 2 4 x L 1 9 n c m F 2 X z M y X z I w L 0 d l w 6 R u Z G V y d G V y I F R 5 c C 5 7 c H J l c F 9 0 a W 1 l X 2 1 h e C w 3 f S Z x d W 9 0 O y w m c X V v d D t T Z W N 0 a W 9 u M S 9 f Z 3 J h d l 8 z M l 8 y M C 9 H Z c O k b m R l c n R l c i B U e X A u e 2 N v b W 1 f d G l t Z V 9 t a W 4 s O H 0 m c X V v d D s s J n F 1 b 3 Q 7 U 2 V j d G l v b j E v X 2 d y Y X Z f M z J f M j A v R 2 X D p G 5 k Z X J 0 Z X I g V H l w L n t j b 2 1 t X 3 R p b W V f Y X Z n L D l 9 J n F 1 b 3 Q 7 L C Z x d W 9 0 O 1 N l Y 3 R p b 2 4 x L 1 9 n c m F 2 X z M y X z I w L 0 d l w 6 R u Z G V y d G V y I F R 5 c C 5 7 Y 2 9 t b V 9 0 a W 1 l X 2 1 h e C w x M H 0 m c X V v d D s s J n F 1 b 3 Q 7 U 2 V j d G l v b j E v X 2 d y Y X Z f M z J f M j A v R 2 X D p G 5 k Z X J 0 Z X I g V H l w L n t t Y X h f Y W x s b 2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9 n c m F 2 X z M y X z I w L 0 d l w 6 R u Z G V y d G V y I F R 5 c C 5 7 c 3 R l c C w w f S Z x d W 9 0 O y w m c X V v d D t T Z W N 0 a W 9 u M S 9 f Z 3 J h d l 8 z M l 8 y M C 9 H Z c O k b m R l c n R l c i B U e X A u e 3 R v d G F s X 3 R p b W U s M X 0 m c X V v d D s s J n F 1 b 3 Q 7 U 2 V j d G l v b j E v X 2 d y Y X Z f M z J f M j A v R 2 X D p G 5 k Z X J 0 Z X I g V H l w L n t 3 b 3 J r X 3 R p b W V f b W l u L D J 9 J n F 1 b 3 Q 7 L C Z x d W 9 0 O 1 N l Y 3 R p b 2 4 x L 1 9 n c m F 2 X z M y X z I w L 0 d l w 6 R u Z G V y d G V y I F R 5 c C 5 7 d 2 9 y a 1 9 0 a W 1 l X 2 F 2 Z y w z f S Z x d W 9 0 O y w m c X V v d D t T Z W N 0 a W 9 u M S 9 f Z 3 J h d l 8 z M l 8 y M C 9 H Z c O k b m R l c n R l c i B U e X A u e 3 d v c m t f d G l t Z V 9 t Y X g s N H 0 m c X V v d D s s J n F 1 b 3 Q 7 U 2 V j d G l v b j E v X 2 d y Y X Z f M z J f M j A v R 2 X D p G 5 k Z X J 0 Z X I g V H l w L n t w c m V w X 3 R p b W V f b W l u L D V 9 J n F 1 b 3 Q 7 L C Z x d W 9 0 O 1 N l Y 3 R p b 2 4 x L 1 9 n c m F 2 X z M y X z I w L 0 d l w 6 R u Z G V y d G V y I F R 5 c C 5 7 c H J l c F 9 0 a W 1 l X 2 F 2 Z y w 2 f S Z x d W 9 0 O y w m c X V v d D t T Z W N 0 a W 9 u M S 9 f Z 3 J h d l 8 z M l 8 y M C 9 H Z c O k b m R l c n R l c i B U e X A u e 3 B y Z X B f d G l t Z V 9 t Y X g s N 3 0 m c X V v d D s s J n F 1 b 3 Q 7 U 2 V j d G l v b j E v X 2 d y Y X Z f M z J f M j A v R 2 X D p G 5 k Z X J 0 Z X I g V H l w L n t j b 2 1 t X 3 R p b W V f b W l u L D h 9 J n F 1 b 3 Q 7 L C Z x d W 9 0 O 1 N l Y 3 R p b 2 4 x L 1 9 n c m F 2 X z M y X z I w L 0 d l w 6 R u Z G V y d G V y I F R 5 c C 5 7 Y 2 9 t b V 9 0 a W 1 l X 2 F 2 Z y w 5 f S Z x d W 9 0 O y w m c X V v d D t T Z W N 0 a W 9 u M S 9 f Z 3 J h d l 8 z M l 8 y M C 9 H Z c O k b m R l c n R l c i B U e X A u e 2 N v b W 1 f d G l t Z V 9 t Y X g s M T B 9 J n F 1 b 3 Q 7 L C Z x d W 9 0 O 1 N l Y 3 R p b 2 4 x L 1 9 n c m F 2 X z M y X z I w L 0 d l w 6 R u Z G V y d G V y I F R 5 c C 5 7 b W F 4 X 2 F s b G 9 j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d U M j A 6 M D c 6 M z Y u O T M 2 M D k 3 N F o i I C 8 + P E V u d H J 5 I F R 5 c G U 9 I k Z p b G x D b 2 x 1 b W 5 U e X B l c y I g V m F s d W U 9 I n N B d 0 1 E Q X d N R k J R V U Z C U V V E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y w m c X V v d D t t Y X h f Y W x s b 2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y M S 9 H Z c O k b m R l c n R l c i B U e X A u e 3 N 0 Z X A s M H 0 m c X V v d D s s J n F 1 b 3 Q 7 U 2 V j d G l v b j E v X 2 d y Y X Z f M z J f M j E v R 2 X D p G 5 k Z X J 0 Z X I g V H l w L n t 0 b 3 R h b F 9 0 a W 1 l L D F 9 J n F 1 b 3 Q 7 L C Z x d W 9 0 O 1 N l Y 3 R p b 2 4 x L 1 9 n c m F 2 X z M y X z I x L 0 d l w 6 R u Z G V y d G V y I F R 5 c C 5 7 d 2 9 y a 1 9 0 a W 1 l X 2 1 p b i w y f S Z x d W 9 0 O y w m c X V v d D t T Z W N 0 a W 9 u M S 9 f Z 3 J h d l 8 z M l 8 y M S 9 H Z c O k b m R l c n R l c i B U e X A u e 3 d v c m t f d G l t Z V 9 h d m c s M 3 0 m c X V v d D s s J n F 1 b 3 Q 7 U 2 V j d G l v b j E v X 2 d y Y X Z f M z J f M j E v R 2 X D p G 5 k Z X J 0 Z X I g V H l w L n t 3 b 3 J r X 3 R p b W V f b W F 4 L D R 9 J n F 1 b 3 Q 7 L C Z x d W 9 0 O 1 N l Y 3 R p b 2 4 x L 1 9 n c m F 2 X z M y X z I x L 0 d l w 6 R u Z G V y d G V y I F R 5 c C 5 7 c H J l c F 9 0 a W 1 l X 2 1 p b i w 1 f S Z x d W 9 0 O y w m c X V v d D t T Z W N 0 a W 9 u M S 9 f Z 3 J h d l 8 z M l 8 y M S 9 H Z c O k b m R l c n R l c i B U e X A u e 3 B y Z X B f d G l t Z V 9 h d m c s N n 0 m c X V v d D s s J n F 1 b 3 Q 7 U 2 V j d G l v b j E v X 2 d y Y X Z f M z J f M j E v R 2 X D p G 5 k Z X J 0 Z X I g V H l w L n t w c m V w X 3 R p b W V f b W F 4 L D d 9 J n F 1 b 3 Q 7 L C Z x d W 9 0 O 1 N l Y 3 R p b 2 4 x L 1 9 n c m F 2 X z M y X z I x L 0 d l w 6 R u Z G V y d G V y I F R 5 c C 5 7 Y 2 9 t b V 9 0 a W 1 l X 2 1 p b i w 4 f S Z x d W 9 0 O y w m c X V v d D t T Z W N 0 a W 9 u M S 9 f Z 3 J h d l 8 z M l 8 y M S 9 H Z c O k b m R l c n R l c i B U e X A u e 2 N v b W 1 f d G l t Z V 9 h d m c s O X 0 m c X V v d D s s J n F 1 b 3 Q 7 U 2 V j d G l v b j E v X 2 d y Y X Z f M z J f M j E v R 2 X D p G 5 k Z X J 0 Z X I g V H l w L n t j b 2 1 t X 3 R p b W V f b W F 4 L D E w f S Z x d W 9 0 O y w m c X V v d D t T Z W N 0 a W 9 u M S 9 f Z 3 J h d l 8 z M l 8 y M S 9 H Z c O k b m R l c n R l c i B U e X A u e 2 1 h e F 9 h b G x v Y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X 2 d y Y X Z f M z J f M j E v R 2 X D p G 5 k Z X J 0 Z X I g V H l w L n t z d G V w L D B 9 J n F 1 b 3 Q 7 L C Z x d W 9 0 O 1 N l Y 3 R p b 2 4 x L 1 9 n c m F 2 X z M y X z I x L 0 d l w 6 R u Z G V y d G V y I F R 5 c C 5 7 d G 9 0 Y W x f d G l t Z S w x f S Z x d W 9 0 O y w m c X V v d D t T Z W N 0 a W 9 u M S 9 f Z 3 J h d l 8 z M l 8 y M S 9 H Z c O k b m R l c n R l c i B U e X A u e 3 d v c m t f d G l t Z V 9 t a W 4 s M n 0 m c X V v d D s s J n F 1 b 3 Q 7 U 2 V j d G l v b j E v X 2 d y Y X Z f M z J f M j E v R 2 X D p G 5 k Z X J 0 Z X I g V H l w L n t 3 b 3 J r X 3 R p b W V f Y X Z n L D N 9 J n F 1 b 3 Q 7 L C Z x d W 9 0 O 1 N l Y 3 R p b 2 4 x L 1 9 n c m F 2 X z M y X z I x L 0 d l w 6 R u Z G V y d G V y I F R 5 c C 5 7 d 2 9 y a 1 9 0 a W 1 l X 2 1 h e C w 0 f S Z x d W 9 0 O y w m c X V v d D t T Z W N 0 a W 9 u M S 9 f Z 3 J h d l 8 z M l 8 y M S 9 H Z c O k b m R l c n R l c i B U e X A u e 3 B y Z X B f d G l t Z V 9 t a W 4 s N X 0 m c X V v d D s s J n F 1 b 3 Q 7 U 2 V j d G l v b j E v X 2 d y Y X Z f M z J f M j E v R 2 X D p G 5 k Z X J 0 Z X I g V H l w L n t w c m V w X 3 R p b W V f Y X Z n L D Z 9 J n F 1 b 3 Q 7 L C Z x d W 9 0 O 1 N l Y 3 R p b 2 4 x L 1 9 n c m F 2 X z M y X z I x L 0 d l w 6 R u Z G V y d G V y I F R 5 c C 5 7 c H J l c F 9 0 a W 1 l X 2 1 h e C w 3 f S Z x d W 9 0 O y w m c X V v d D t T Z W N 0 a W 9 u M S 9 f Z 3 J h d l 8 z M l 8 y M S 9 H Z c O k b m R l c n R l c i B U e X A u e 2 N v b W 1 f d G l t Z V 9 t a W 4 s O H 0 m c X V v d D s s J n F 1 b 3 Q 7 U 2 V j d G l v b j E v X 2 d y Y X Z f M z J f M j E v R 2 X D p G 5 k Z X J 0 Z X I g V H l w L n t j b 2 1 t X 3 R p b W V f Y X Z n L D l 9 J n F 1 b 3 Q 7 L C Z x d W 9 0 O 1 N l Y 3 R p b 2 4 x L 1 9 n c m F 2 X z M y X z I x L 0 d l w 6 R u Z G V y d G V y I F R 5 c C 5 7 Y 2 9 t b V 9 0 a W 1 l X 2 1 h e C w x M H 0 m c X V v d D s s J n F 1 b 3 Q 7 U 2 V j d G l v b j E v X 2 d y Y X Z f M z J f M j E v R 2 X D p G 5 k Z X J 0 Z X I g V H l w L n t t Y X h f Y W x s b 2 N l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I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d U M j A 6 M D c 6 N D k u O T M 5 N j Y 4 M 1 o i I C 8 + P E V u d H J 5 I F R 5 c G U 9 I k Z p b G x D b 2 x 1 b W 5 U e X B l c y I g V m F s d W U 9 I n N B d 0 1 E Q X d N R k J R V U Z C U V V G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y w m c X V v d D t t Y X h f Y W x s b 2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y M i 9 H Z c O k b m R l c n R l c i B U e X A u e 3 N 0 Z X A s M H 0 m c X V v d D s s J n F 1 b 3 Q 7 U 2 V j d G l v b j E v X 2 d y Y X Z f M z J f M j I v R 2 X D p G 5 k Z X J 0 Z X I g V H l w L n t 0 b 3 R h b F 9 0 a W 1 l L D F 9 J n F 1 b 3 Q 7 L C Z x d W 9 0 O 1 N l Y 3 R p b 2 4 x L 1 9 n c m F 2 X z M y X z I y L 0 d l w 6 R u Z G V y d G V y I F R 5 c C 5 7 d 2 9 y a 1 9 0 a W 1 l X 2 1 p b i w y f S Z x d W 9 0 O y w m c X V v d D t T Z W N 0 a W 9 u M S 9 f Z 3 J h d l 8 z M l 8 y M i 9 H Z c O k b m R l c n R l c i B U e X A u e 3 d v c m t f d G l t Z V 9 h d m c s M 3 0 m c X V v d D s s J n F 1 b 3 Q 7 U 2 V j d G l v b j E v X 2 d y Y X Z f M z J f M j I v R 2 X D p G 5 k Z X J 0 Z X I g V H l w L n t 3 b 3 J r X 3 R p b W V f b W F 4 L D R 9 J n F 1 b 3 Q 7 L C Z x d W 9 0 O 1 N l Y 3 R p b 2 4 x L 1 9 n c m F 2 X z M y X z I y L 0 d l w 6 R u Z G V y d G V y I F R 5 c C 5 7 c H J l c F 9 0 a W 1 l X 2 1 p b i w 1 f S Z x d W 9 0 O y w m c X V v d D t T Z W N 0 a W 9 u M S 9 f Z 3 J h d l 8 z M l 8 y M i 9 H Z c O k b m R l c n R l c i B U e X A u e 3 B y Z X B f d G l t Z V 9 h d m c s N n 0 m c X V v d D s s J n F 1 b 3 Q 7 U 2 V j d G l v b j E v X 2 d y Y X Z f M z J f M j I v R 2 X D p G 5 k Z X J 0 Z X I g V H l w L n t w c m V w X 3 R p b W V f b W F 4 L D d 9 J n F 1 b 3 Q 7 L C Z x d W 9 0 O 1 N l Y 3 R p b 2 4 x L 1 9 n c m F 2 X z M y X z I y L 0 d l w 6 R u Z G V y d G V y I F R 5 c C 5 7 Y 2 9 t b V 9 0 a W 1 l X 2 1 p b i w 4 f S Z x d W 9 0 O y w m c X V v d D t T Z W N 0 a W 9 u M S 9 f Z 3 J h d l 8 z M l 8 y M i 9 H Z c O k b m R l c n R l c i B U e X A u e 2 N v b W 1 f d G l t Z V 9 h d m c s O X 0 m c X V v d D s s J n F 1 b 3 Q 7 U 2 V j d G l v b j E v X 2 d y Y X Z f M z J f M j I v R 2 X D p G 5 k Z X J 0 Z X I g V H l w L n t j b 2 1 t X 3 R p b W V f b W F 4 L D E w f S Z x d W 9 0 O y w m c X V v d D t T Z W N 0 a W 9 u M S 9 f Z 3 J h d l 8 z M l 8 y M i 9 H Z c O k b m R l c n R l c i B U e X A u e 2 1 h e F 9 h b G x v Y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X 2 d y Y X Z f M z J f M j I v R 2 X D p G 5 k Z X J 0 Z X I g V H l w L n t z d G V w L D B 9 J n F 1 b 3 Q 7 L C Z x d W 9 0 O 1 N l Y 3 R p b 2 4 x L 1 9 n c m F 2 X z M y X z I y L 0 d l w 6 R u Z G V y d G V y I F R 5 c C 5 7 d G 9 0 Y W x f d G l t Z S w x f S Z x d W 9 0 O y w m c X V v d D t T Z W N 0 a W 9 u M S 9 f Z 3 J h d l 8 z M l 8 y M i 9 H Z c O k b m R l c n R l c i B U e X A u e 3 d v c m t f d G l t Z V 9 t a W 4 s M n 0 m c X V v d D s s J n F 1 b 3 Q 7 U 2 V j d G l v b j E v X 2 d y Y X Z f M z J f M j I v R 2 X D p G 5 k Z X J 0 Z X I g V H l w L n t 3 b 3 J r X 3 R p b W V f Y X Z n L D N 9 J n F 1 b 3 Q 7 L C Z x d W 9 0 O 1 N l Y 3 R p b 2 4 x L 1 9 n c m F 2 X z M y X z I y L 0 d l w 6 R u Z G V y d G V y I F R 5 c C 5 7 d 2 9 y a 1 9 0 a W 1 l X 2 1 h e C w 0 f S Z x d W 9 0 O y w m c X V v d D t T Z W N 0 a W 9 u M S 9 f Z 3 J h d l 8 z M l 8 y M i 9 H Z c O k b m R l c n R l c i B U e X A u e 3 B y Z X B f d G l t Z V 9 t a W 4 s N X 0 m c X V v d D s s J n F 1 b 3 Q 7 U 2 V j d G l v b j E v X 2 d y Y X Z f M z J f M j I v R 2 X D p G 5 k Z X J 0 Z X I g V H l w L n t w c m V w X 3 R p b W V f Y X Z n L D Z 9 J n F 1 b 3 Q 7 L C Z x d W 9 0 O 1 N l Y 3 R p b 2 4 x L 1 9 n c m F 2 X z M y X z I y L 0 d l w 6 R u Z G V y d G V y I F R 5 c C 5 7 c H J l c F 9 0 a W 1 l X 2 1 h e C w 3 f S Z x d W 9 0 O y w m c X V v d D t T Z W N 0 a W 9 u M S 9 f Z 3 J h d l 8 z M l 8 y M i 9 H Z c O k b m R l c n R l c i B U e X A u e 2 N v b W 1 f d G l t Z V 9 t a W 4 s O H 0 m c X V v d D s s J n F 1 b 3 Q 7 U 2 V j d G l v b j E v X 2 d y Y X Z f M z J f M j I v R 2 X D p G 5 k Z X J 0 Z X I g V H l w L n t j b 2 1 t X 3 R p b W V f Y X Z n L D l 9 J n F 1 b 3 Q 7 L C Z x d W 9 0 O 1 N l Y 3 R p b 2 4 x L 1 9 n c m F 2 X z M y X z I y L 0 d l w 6 R u Z G V y d G V y I F R 5 c C 5 7 Y 2 9 t b V 9 0 a W 1 l X 2 1 h e C w x M H 0 m c X V v d D s s J n F 1 b 3 Q 7 U 2 V j d G l v b j E v X 2 d y Y X Z f M z J f M j I v R 2 X D p G 5 k Z X J 0 Z X I g V H l w L n t t Y X h f Y W x s b 2 N l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I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d U M j A 6 M D g 6 M D Y u M D I 1 N z g w N V o i I C 8 + P E V u d H J 5 I F R 5 c G U 9 I k Z p b G x D b 2 x 1 b W 5 U e X B l c y I g V m F s d W U 9 I n N B d 0 1 E Q X d N R k J R V U Z C U V V G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y w m c X V v d D t t Y X h f Y W x s b 2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y M y 9 H Z c O k b m R l c n R l c i B U e X A u e 3 N 0 Z X A s M H 0 m c X V v d D s s J n F 1 b 3 Q 7 U 2 V j d G l v b j E v X 2 d y Y X Z f M z J f M j M v R 2 X D p G 5 k Z X J 0 Z X I g V H l w L n t 0 b 3 R h b F 9 0 a W 1 l L D F 9 J n F 1 b 3 Q 7 L C Z x d W 9 0 O 1 N l Y 3 R p b 2 4 x L 1 9 n c m F 2 X z M y X z I z L 0 d l w 6 R u Z G V y d G V y I F R 5 c C 5 7 d 2 9 y a 1 9 0 a W 1 l X 2 1 p b i w y f S Z x d W 9 0 O y w m c X V v d D t T Z W N 0 a W 9 u M S 9 f Z 3 J h d l 8 z M l 8 y M y 9 H Z c O k b m R l c n R l c i B U e X A u e 3 d v c m t f d G l t Z V 9 h d m c s M 3 0 m c X V v d D s s J n F 1 b 3 Q 7 U 2 V j d G l v b j E v X 2 d y Y X Z f M z J f M j M v R 2 X D p G 5 k Z X J 0 Z X I g V H l w L n t 3 b 3 J r X 3 R p b W V f b W F 4 L D R 9 J n F 1 b 3 Q 7 L C Z x d W 9 0 O 1 N l Y 3 R p b 2 4 x L 1 9 n c m F 2 X z M y X z I z L 0 d l w 6 R u Z G V y d G V y I F R 5 c C 5 7 c H J l c F 9 0 a W 1 l X 2 1 p b i w 1 f S Z x d W 9 0 O y w m c X V v d D t T Z W N 0 a W 9 u M S 9 f Z 3 J h d l 8 z M l 8 y M y 9 H Z c O k b m R l c n R l c i B U e X A u e 3 B y Z X B f d G l t Z V 9 h d m c s N n 0 m c X V v d D s s J n F 1 b 3 Q 7 U 2 V j d G l v b j E v X 2 d y Y X Z f M z J f M j M v R 2 X D p G 5 k Z X J 0 Z X I g V H l w L n t w c m V w X 3 R p b W V f b W F 4 L D d 9 J n F 1 b 3 Q 7 L C Z x d W 9 0 O 1 N l Y 3 R p b 2 4 x L 1 9 n c m F 2 X z M y X z I z L 0 d l w 6 R u Z G V y d G V y I F R 5 c C 5 7 Y 2 9 t b V 9 0 a W 1 l X 2 1 p b i w 4 f S Z x d W 9 0 O y w m c X V v d D t T Z W N 0 a W 9 u M S 9 f Z 3 J h d l 8 z M l 8 y M y 9 H Z c O k b m R l c n R l c i B U e X A u e 2 N v b W 1 f d G l t Z V 9 h d m c s O X 0 m c X V v d D s s J n F 1 b 3 Q 7 U 2 V j d G l v b j E v X 2 d y Y X Z f M z J f M j M v R 2 X D p G 5 k Z X J 0 Z X I g V H l w L n t j b 2 1 t X 3 R p b W V f b W F 4 L D E w f S Z x d W 9 0 O y w m c X V v d D t T Z W N 0 a W 9 u M S 9 f Z 3 J h d l 8 z M l 8 y M y 9 H Z c O k b m R l c n R l c i B U e X A u e 2 1 h e F 9 h b G x v Y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X 2 d y Y X Z f M z J f M j M v R 2 X D p G 5 k Z X J 0 Z X I g V H l w L n t z d G V w L D B 9 J n F 1 b 3 Q 7 L C Z x d W 9 0 O 1 N l Y 3 R p b 2 4 x L 1 9 n c m F 2 X z M y X z I z L 0 d l w 6 R u Z G V y d G V y I F R 5 c C 5 7 d G 9 0 Y W x f d G l t Z S w x f S Z x d W 9 0 O y w m c X V v d D t T Z W N 0 a W 9 u M S 9 f Z 3 J h d l 8 z M l 8 y M y 9 H Z c O k b m R l c n R l c i B U e X A u e 3 d v c m t f d G l t Z V 9 t a W 4 s M n 0 m c X V v d D s s J n F 1 b 3 Q 7 U 2 V j d G l v b j E v X 2 d y Y X Z f M z J f M j M v R 2 X D p G 5 k Z X J 0 Z X I g V H l w L n t 3 b 3 J r X 3 R p b W V f Y X Z n L D N 9 J n F 1 b 3 Q 7 L C Z x d W 9 0 O 1 N l Y 3 R p b 2 4 x L 1 9 n c m F 2 X z M y X z I z L 0 d l w 6 R u Z G V y d G V y I F R 5 c C 5 7 d 2 9 y a 1 9 0 a W 1 l X 2 1 h e C w 0 f S Z x d W 9 0 O y w m c X V v d D t T Z W N 0 a W 9 u M S 9 f Z 3 J h d l 8 z M l 8 y M y 9 H Z c O k b m R l c n R l c i B U e X A u e 3 B y Z X B f d G l t Z V 9 t a W 4 s N X 0 m c X V v d D s s J n F 1 b 3 Q 7 U 2 V j d G l v b j E v X 2 d y Y X Z f M z J f M j M v R 2 X D p G 5 k Z X J 0 Z X I g V H l w L n t w c m V w X 3 R p b W V f Y X Z n L D Z 9 J n F 1 b 3 Q 7 L C Z x d W 9 0 O 1 N l Y 3 R p b 2 4 x L 1 9 n c m F 2 X z M y X z I z L 0 d l w 6 R u Z G V y d G V y I F R 5 c C 5 7 c H J l c F 9 0 a W 1 l X 2 1 h e C w 3 f S Z x d W 9 0 O y w m c X V v d D t T Z W N 0 a W 9 u M S 9 f Z 3 J h d l 8 z M l 8 y M y 9 H Z c O k b m R l c n R l c i B U e X A u e 2 N v b W 1 f d G l t Z V 9 t a W 4 s O H 0 m c X V v d D s s J n F 1 b 3 Q 7 U 2 V j d G l v b j E v X 2 d y Y X Z f M z J f M j M v R 2 X D p G 5 k Z X J 0 Z X I g V H l w L n t j b 2 1 t X 3 R p b W V f Y X Z n L D l 9 J n F 1 b 3 Q 7 L C Z x d W 9 0 O 1 N l Y 3 R p b 2 4 x L 1 9 n c m F 2 X z M y X z I z L 0 d l w 6 R u Z G V y d G V y I F R 5 c C 5 7 Y 2 9 t b V 9 0 a W 1 l X 2 1 h e C w x M H 0 m c X V v d D s s J n F 1 b 3 Q 7 U 2 V j d G l v b j E v X 2 d y Y X Z f M z J f M j M v R 2 X D p G 5 k Z X J 0 Z X I g V H l w L n t t Y X h f Y W x s b 2 N l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I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v T W O s P o U Q o 3 / B C t P i + c w A A A A A A I A A A A A A B B m A A A A A Q A A I A A A A B O L j Q g / P C t M U b H 6 E p h q a U F I l j r K O V Z a W 1 J H 8 l v k e c Y K A A A A A A 6 A A A A A A g A A I A A A A E P 6 o H Z 2 k f L B 3 c 5 l + y K 9 k X + b 8 Y d o v 7 F M / O 2 c b 9 w z n x w k U A A A A M s z y n W c U 2 y 8 x P g Q O b 8 F J V g K V K r k O 2 / k f t 3 q n R k p q E p v r Z r B Y z y k m 0 o W v n 5 6 0 6 H x 1 S v O x l T 3 o z T 0 q / L 1 S P s b N K p J N H b + 2 7 Q n y T S X d V 5 F F f v X Q A A A A O x n / H N 6 D W 1 1 m v k 7 + R S O 3 T e X m w P Y x W t 4 X I H R z H 1 s x n Z 6 N 4 4 n a Z C G G 6 O H I S 2 P t P H 1 h 5 4 9 l y d 7 R T N M a p l S 5 M c e u 9 Y = < / D a t a M a s h u p > 
</file>

<file path=customXml/itemProps1.xml><?xml version="1.0" encoding="utf-8"?>
<ds:datastoreItem xmlns:ds="http://schemas.openxmlformats.org/officeDocument/2006/customXml" ds:itemID="{BA383A37-B054-46CB-BCC0-1051C0B8FF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Pegler</dc:creator>
  <cp:lastModifiedBy>Familie Pegler</cp:lastModifiedBy>
  <dcterms:created xsi:type="dcterms:W3CDTF">2018-07-17T19:54:27Z</dcterms:created>
  <dcterms:modified xsi:type="dcterms:W3CDTF">2018-07-17T20:17:47Z</dcterms:modified>
</cp:coreProperties>
</file>