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en\Dokumente\_Eigene Dateien\Uni\Masterarbeit\results\"/>
    </mc:Choice>
  </mc:AlternateContent>
  <xr:revisionPtr revIDLastSave="0" documentId="13_ncr:1_{528B9986-DC75-4C99-B3C8-92ED446DAD79}" xr6:coauthVersionLast="33" xr6:coauthVersionMax="33" xr10:uidLastSave="{00000000-0000-0000-0000-000000000000}"/>
  <bookViews>
    <workbookView xWindow="0" yWindow="0" windowWidth="28800" windowHeight="12810" activeTab="13" xr2:uid="{738E50F3-0DA1-4954-B352-AB06D55CBD5C}"/>
  </bookViews>
  <sheets>
    <sheet name="22" sheetId="14" r:id="rId1"/>
    <sheet name="21" sheetId="13" r:id="rId2"/>
    <sheet name="20" sheetId="12" r:id="rId3"/>
    <sheet name="19" sheetId="11" r:id="rId4"/>
    <sheet name="18" sheetId="10" r:id="rId5"/>
    <sheet name="17" sheetId="9" r:id="rId6"/>
    <sheet name="16" sheetId="8" r:id="rId7"/>
    <sheet name="15" sheetId="7" r:id="rId8"/>
    <sheet name="14" sheetId="6" r:id="rId9"/>
    <sheet name="13" sheetId="5" r:id="rId10"/>
    <sheet name="12" sheetId="4" r:id="rId11"/>
    <sheet name="11" sheetId="3" r:id="rId12"/>
    <sheet name="10" sheetId="2" r:id="rId13"/>
    <sheet name="Tabelle1" sheetId="1" r:id="rId14"/>
  </sheets>
  <definedNames>
    <definedName name="ExterneDaten_1" localSheetId="12" hidden="1">'10'!$A$1:$K$11</definedName>
    <definedName name="ExterneDaten_10" localSheetId="3" hidden="1">'19'!$A$1:$K$11</definedName>
    <definedName name="ExterneDaten_11" localSheetId="2" hidden="1">'20'!$A$1:$K$11</definedName>
    <definedName name="ExterneDaten_12" localSheetId="1" hidden="1">'21'!$A$1:$K$10</definedName>
    <definedName name="ExterneDaten_13" localSheetId="0" hidden="1">'22'!$A$1:$K$11</definedName>
    <definedName name="ExterneDaten_2" localSheetId="11" hidden="1">'11'!$A$1:$K$11</definedName>
    <definedName name="ExterneDaten_3" localSheetId="10" hidden="1">'12'!$A$1:$K$11</definedName>
    <definedName name="ExterneDaten_4" localSheetId="9" hidden="1">'13'!$A$1:$K$11</definedName>
    <definedName name="ExterneDaten_5" localSheetId="8" hidden="1">'14'!$A$1:$K$11</definedName>
    <definedName name="ExterneDaten_6" localSheetId="7" hidden="1">'15'!$A$1:$K$11</definedName>
    <definedName name="ExterneDaten_7" localSheetId="6" hidden="1">'16'!$A$1:$K$11</definedName>
    <definedName name="ExterneDaten_8" localSheetId="5" hidden="1">'17'!$A$1:$K$11</definedName>
    <definedName name="ExterneDaten_9" localSheetId="4" hidden="1">'18'!$A$1:$K$11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  <c r="H14" i="1" s="1"/>
  <c r="E13" i="1"/>
  <c r="D13" i="1"/>
  <c r="C13" i="1"/>
  <c r="B13" i="1"/>
  <c r="G13" i="1" s="1"/>
  <c r="E12" i="1"/>
  <c r="D12" i="1"/>
  <c r="C12" i="1"/>
  <c r="B12" i="1"/>
  <c r="E11" i="1"/>
  <c r="D11" i="1"/>
  <c r="C11" i="1"/>
  <c r="B11" i="1"/>
  <c r="G11" i="1" s="1"/>
  <c r="E10" i="1"/>
  <c r="D10" i="1"/>
  <c r="C10" i="1"/>
  <c r="B10" i="1"/>
  <c r="E9" i="1"/>
  <c r="D9" i="1"/>
  <c r="C9" i="1"/>
  <c r="B9" i="1"/>
  <c r="G9" i="1" s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H4" i="1" s="1"/>
  <c r="E3" i="1"/>
  <c r="D3" i="1"/>
  <c r="C3" i="1"/>
  <c r="B3" i="1"/>
  <c r="H3" i="1" s="1"/>
  <c r="H6" i="1"/>
  <c r="E2" i="1"/>
  <c r="D2" i="1"/>
  <c r="C2" i="1"/>
  <c r="B2" i="1"/>
  <c r="B12" i="2"/>
  <c r="C12" i="2"/>
  <c r="D12" i="2"/>
  <c r="E12" i="2"/>
  <c r="F12" i="2"/>
  <c r="G12" i="2"/>
  <c r="H12" i="2"/>
  <c r="I12" i="2"/>
  <c r="J12" i="2"/>
  <c r="K12" i="2"/>
  <c r="B12" i="3"/>
  <c r="C12" i="3"/>
  <c r="D12" i="3"/>
  <c r="E12" i="3"/>
  <c r="F12" i="3"/>
  <c r="G12" i="3"/>
  <c r="H12" i="3"/>
  <c r="I12" i="3"/>
  <c r="J12" i="3"/>
  <c r="K12" i="3"/>
  <c r="B12" i="4"/>
  <c r="C12" i="4"/>
  <c r="D12" i="4"/>
  <c r="E12" i="4"/>
  <c r="F12" i="4"/>
  <c r="G12" i="4"/>
  <c r="H12" i="4"/>
  <c r="I12" i="4"/>
  <c r="J12" i="4"/>
  <c r="K12" i="4"/>
  <c r="B12" i="5"/>
  <c r="C12" i="5"/>
  <c r="D12" i="5"/>
  <c r="E12" i="5"/>
  <c r="F12" i="5"/>
  <c r="G12" i="5"/>
  <c r="H12" i="5"/>
  <c r="I12" i="5"/>
  <c r="J12" i="5"/>
  <c r="K12" i="5"/>
  <c r="B12" i="6"/>
  <c r="C12" i="6"/>
  <c r="D12" i="6"/>
  <c r="E12" i="6"/>
  <c r="F12" i="6"/>
  <c r="G12" i="6"/>
  <c r="H12" i="6"/>
  <c r="I12" i="6"/>
  <c r="J12" i="6"/>
  <c r="K12" i="6"/>
  <c r="B12" i="7"/>
  <c r="C12" i="7"/>
  <c r="D12" i="7"/>
  <c r="E12" i="7"/>
  <c r="F12" i="7"/>
  <c r="G12" i="7"/>
  <c r="H12" i="7"/>
  <c r="I12" i="7"/>
  <c r="J12" i="7"/>
  <c r="K12" i="7"/>
  <c r="B12" i="8"/>
  <c r="C12" i="8"/>
  <c r="D12" i="8"/>
  <c r="E12" i="8"/>
  <c r="F12" i="8"/>
  <c r="G12" i="8"/>
  <c r="H12" i="8"/>
  <c r="I12" i="8"/>
  <c r="J12" i="8"/>
  <c r="K12" i="8"/>
  <c r="B12" i="9"/>
  <c r="C12" i="9"/>
  <c r="D12" i="9"/>
  <c r="E12" i="9"/>
  <c r="F12" i="9"/>
  <c r="G12" i="9"/>
  <c r="H12" i="9"/>
  <c r="I12" i="9"/>
  <c r="J12" i="9"/>
  <c r="K12" i="9"/>
  <c r="B12" i="10"/>
  <c r="C12" i="10"/>
  <c r="D12" i="10"/>
  <c r="E12" i="10"/>
  <c r="F12" i="10"/>
  <c r="G12" i="10"/>
  <c r="H12" i="10"/>
  <c r="I12" i="10"/>
  <c r="J12" i="10"/>
  <c r="K12" i="10"/>
  <c r="B12" i="11"/>
  <c r="C12" i="11"/>
  <c r="D12" i="11"/>
  <c r="E12" i="11"/>
  <c r="F12" i="11"/>
  <c r="G12" i="11"/>
  <c r="H12" i="11"/>
  <c r="I12" i="11"/>
  <c r="J12" i="11"/>
  <c r="K12" i="11"/>
  <c r="B12" i="12"/>
  <c r="C12" i="12"/>
  <c r="D12" i="12"/>
  <c r="E12" i="12"/>
  <c r="F12" i="12"/>
  <c r="G12" i="12"/>
  <c r="H12" i="12"/>
  <c r="I12" i="12"/>
  <c r="J12" i="12"/>
  <c r="K12" i="12"/>
  <c r="B11" i="13"/>
  <c r="C11" i="13"/>
  <c r="D11" i="13"/>
  <c r="E11" i="13"/>
  <c r="F11" i="13"/>
  <c r="G11" i="13"/>
  <c r="H11" i="13"/>
  <c r="I11" i="13"/>
  <c r="J11" i="13"/>
  <c r="K11" i="13"/>
  <c r="B12" i="14"/>
  <c r="C12" i="14"/>
  <c r="D12" i="14"/>
  <c r="E12" i="14"/>
  <c r="F12" i="14"/>
  <c r="G12" i="14"/>
  <c r="H12" i="14"/>
  <c r="I12" i="14"/>
  <c r="J12" i="14"/>
  <c r="K12" i="14"/>
  <c r="A14" i="1"/>
  <c r="A13" i="1"/>
  <c r="A12" i="1"/>
  <c r="A11" i="1"/>
  <c r="H10" i="1"/>
  <c r="G10" i="1"/>
  <c r="A10" i="1"/>
  <c r="A9" i="1"/>
  <c r="A8" i="1"/>
  <c r="H7" i="1"/>
  <c r="G7" i="1"/>
  <c r="A7" i="1"/>
  <c r="A6" i="1"/>
  <c r="G5" i="1"/>
  <c r="A5" i="1"/>
  <c r="A4" i="1"/>
  <c r="A3" i="1"/>
  <c r="H2" i="1"/>
  <c r="A2" i="1"/>
  <c r="H11" i="1" l="1"/>
  <c r="H9" i="1"/>
  <c r="H8" i="1"/>
  <c r="G8" i="1"/>
  <c r="H12" i="1"/>
  <c r="G6" i="1"/>
  <c r="G4" i="1"/>
  <c r="H5" i="1"/>
  <c r="G12" i="1"/>
  <c r="H13" i="1"/>
  <c r="G3" i="1"/>
  <c r="G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D66DD63-4CDE-4FD8-99F3-E308FA15E234}" keepAlive="1" name="Abfrage - _grav_32_10" description="Verbindung mit der Abfrage '_grav_32_10' in der Arbeitsmappe." type="5" refreshedVersion="6" background="1" saveData="1">
    <dbPr connection="Provider=Microsoft.Mashup.OleDb.1;Data Source=$Workbook$;Location=_grav_32_10;Extended Properties=&quot;&quot;" command="SELECT * FROM [_grav_32_10]"/>
  </connection>
  <connection id="2" xr16:uid="{E0E69C6F-2125-4560-A160-7AFEE85EDB4F}" keepAlive="1" name="Abfrage - _grav_32_11" description="Verbindung mit der Abfrage '_grav_32_11' in der Arbeitsmappe." type="5" refreshedVersion="6" background="1" saveData="1">
    <dbPr connection="Provider=Microsoft.Mashup.OleDb.1;Data Source=$Workbook$;Location=_grav_32_11;Extended Properties=&quot;&quot;" command="SELECT * FROM [_grav_32_11]"/>
  </connection>
  <connection id="3" xr16:uid="{2C9671A5-25D8-4955-9D50-D09E420195E9}" keepAlive="1" name="Abfrage - _grav_32_12" description="Verbindung mit der Abfrage '_grav_32_12' in der Arbeitsmappe." type="5" refreshedVersion="6" background="1" saveData="1">
    <dbPr connection="Provider=Microsoft.Mashup.OleDb.1;Data Source=$Workbook$;Location=_grav_32_12;Extended Properties=&quot;&quot;" command="SELECT * FROM [_grav_32_12]"/>
  </connection>
  <connection id="4" xr16:uid="{8C2E515B-3F3A-422A-AE3C-388BD48BFB1C}" keepAlive="1" name="Abfrage - _grav_32_13" description="Verbindung mit der Abfrage '_grav_32_13' in der Arbeitsmappe." type="5" refreshedVersion="6" background="1" saveData="1">
    <dbPr connection="Provider=Microsoft.Mashup.OleDb.1;Data Source=$Workbook$;Location=_grav_32_13;Extended Properties=&quot;&quot;" command="SELECT * FROM [_grav_32_13]"/>
  </connection>
  <connection id="5" xr16:uid="{FEBBDB49-D7D9-4430-9E49-2ED0D5148473}" keepAlive="1" name="Abfrage - _grav_32_14" description="Verbindung mit der Abfrage '_grav_32_14' in der Arbeitsmappe." type="5" refreshedVersion="6" background="1" saveData="1">
    <dbPr connection="Provider=Microsoft.Mashup.OleDb.1;Data Source=$Workbook$;Location=_grav_32_14;Extended Properties=&quot;&quot;" command="SELECT * FROM [_grav_32_14]"/>
  </connection>
  <connection id="6" xr16:uid="{8A921B6F-42D6-452F-B00C-D690F14ED906}" keepAlive="1" name="Abfrage - _grav_32_15" description="Verbindung mit der Abfrage '_grav_32_15' in der Arbeitsmappe." type="5" refreshedVersion="6" background="1" saveData="1">
    <dbPr connection="Provider=Microsoft.Mashup.OleDb.1;Data Source=$Workbook$;Location=_grav_32_15;Extended Properties=&quot;&quot;" command="SELECT * FROM [_grav_32_15]"/>
  </connection>
  <connection id="7" xr16:uid="{8D120E91-E08A-4F84-B2A6-97F63FC7EB52}" keepAlive="1" name="Abfrage - _grav_32_16" description="Verbindung mit der Abfrage '_grav_32_16' in der Arbeitsmappe." type="5" refreshedVersion="6" background="1" saveData="1">
    <dbPr connection="Provider=Microsoft.Mashup.OleDb.1;Data Source=$Workbook$;Location=_grav_32_16;Extended Properties=&quot;&quot;" command="SELECT * FROM [_grav_32_16]"/>
  </connection>
  <connection id="8" xr16:uid="{F393C60A-BA71-4CDE-80AF-3F23AB93C1D6}" keepAlive="1" name="Abfrage - _grav_32_17" description="Verbindung mit der Abfrage '_grav_32_17' in der Arbeitsmappe." type="5" refreshedVersion="6" background="1" saveData="1">
    <dbPr connection="Provider=Microsoft.Mashup.OleDb.1;Data Source=$Workbook$;Location=_grav_32_17;Extended Properties=&quot;&quot;" command="SELECT * FROM [_grav_32_17]"/>
  </connection>
  <connection id="9" xr16:uid="{E38CD915-4381-4585-B900-5AE8DC4A8B6A}" keepAlive="1" name="Abfrage - _grav_32_18" description="Verbindung mit der Abfrage '_grav_32_18' in der Arbeitsmappe." type="5" refreshedVersion="6" background="1" saveData="1">
    <dbPr connection="Provider=Microsoft.Mashup.OleDb.1;Data Source=$Workbook$;Location=_grav_32_18;Extended Properties=&quot;&quot;" command="SELECT * FROM [_grav_32_18]"/>
  </connection>
  <connection id="10" xr16:uid="{28CFF477-8119-43EA-880A-A7F2D33656E3}" keepAlive="1" name="Abfrage - _grav_32_19" description="Verbindung mit der Abfrage '_grav_32_19' in der Arbeitsmappe." type="5" refreshedVersion="6" background="1" saveData="1">
    <dbPr connection="Provider=Microsoft.Mashup.OleDb.1;Data Source=$Workbook$;Location=_grav_32_19;Extended Properties=&quot;&quot;" command="SELECT * FROM [_grav_32_19]"/>
  </connection>
  <connection id="11" xr16:uid="{9A38D40F-417B-4BF5-B630-F5A113ECDB6D}" keepAlive="1" name="Abfrage - _grav_32_20" description="Verbindung mit der Abfrage '_grav_32_20' in der Arbeitsmappe." type="5" refreshedVersion="6" background="1" saveData="1">
    <dbPr connection="Provider=Microsoft.Mashup.OleDb.1;Data Source=$Workbook$;Location=_grav_32_20;Extended Properties=&quot;&quot;" command="SELECT * FROM [_grav_32_20]"/>
  </connection>
  <connection id="12" xr16:uid="{0B99B019-207D-4C7A-BE54-6187AC5D3B44}" keepAlive="1" name="Abfrage - _grav_32_21" description="Verbindung mit der Abfrage '_grav_32_21' in der Arbeitsmappe." type="5" refreshedVersion="6" background="1" saveData="1">
    <dbPr connection="Provider=Microsoft.Mashup.OleDb.1;Data Source=$Workbook$;Location=_grav_32_21;Extended Properties=&quot;&quot;" command="SELECT * FROM [_grav_32_21]"/>
  </connection>
  <connection id="13" xr16:uid="{E81141E8-386D-4EEF-AFFA-F90B2DE3CECC}" keepAlive="1" name="Abfrage - _grav_32_22" description="Verbindung mit der Abfrage '_grav_32_22' in der Arbeitsmappe." type="5" refreshedVersion="6" background="1" saveData="1">
    <dbPr connection="Provider=Microsoft.Mashup.OleDb.1;Data Source=$Workbook$;Location=_grav_32_22;Extended Properties=&quot;&quot;" command="SELECT * FROM [_grav_32_22]"/>
  </connection>
</connections>
</file>

<file path=xl/sharedStrings.xml><?xml version="1.0" encoding="utf-8"?>
<sst xmlns="http://schemas.openxmlformats.org/spreadsheetml/2006/main" count="164" uniqueCount="21">
  <si>
    <t>step</t>
  </si>
  <si>
    <t>total_time</t>
  </si>
  <si>
    <t>work_time_min</t>
  </si>
  <si>
    <t>work_time_avg</t>
  </si>
  <si>
    <t>work_time_max</t>
  </si>
  <si>
    <t>prep_time_min</t>
  </si>
  <si>
    <t>prep_time_avg</t>
  </si>
  <si>
    <t>prep_time_max</t>
  </si>
  <si>
    <t>comm_time_min</t>
  </si>
  <si>
    <t>comm_time_avg</t>
  </si>
  <si>
    <t>comm_time_max</t>
  </si>
  <si>
    <t>10</t>
  </si>
  <si>
    <t># Elemente</t>
  </si>
  <si>
    <t>Zeit</t>
  </si>
  <si>
    <t>Arbeitszeit</t>
  </si>
  <si>
    <t>Prepzeit</t>
  </si>
  <si>
    <t>Commzeit</t>
  </si>
  <si>
    <t>Wachstum</t>
  </si>
  <si>
    <t>Zeit pro Element</t>
  </si>
  <si>
    <t>pot</t>
  </si>
  <si>
    <t>Ergebnis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</si>
</sst>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3" connectionId="13" xr16:uid="{323EB6B0-5B64-47B3-98F8-295D2C1D395B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4" xr16:uid="{34B11834-EA99-4FB4-825E-735E3B637041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3" xr16:uid="{AB4859E1-EBCF-4947-9E9C-546AAF429A0F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" xr16:uid="{8FE27A8C-A5D9-48CA-A491-700F30785AB6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A8A74E6D-0848-47E1-ABAF-8EBF331B3D50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2" connectionId="12" xr16:uid="{BF95F2A3-80F1-4C2F-BF8C-1338C5EE7932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1" connectionId="11" xr16:uid="{F4D67C4E-EE48-46A6-84A6-15C5F0BBBA37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0" connectionId="10" xr16:uid="{FA19B1A2-6375-4979-BD6F-7ED8EBE7034B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9" connectionId="9" xr16:uid="{ED9627E6-1982-475C-9237-B2A3BF1C67CF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8" connectionId="8" xr16:uid="{30F48DEC-A4A0-4EE5-B115-20F2906300D4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7" connectionId="7" xr16:uid="{D64D77BA-EF54-4DB8-9DD6-9F1C590D31B7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6" xr16:uid="{4D48256F-CE01-423F-9E91-DABB23FB17C7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5" xr16:uid="{B46EECDB-B635-4FB6-9FB1-F158CD449823}" autoFormatId="16" applyNumberFormats="0" applyBorderFormats="0" applyFontFormats="0" applyPatternFormats="0" applyAlignmentFormats="0" applyWidthHeightFormats="0">
  <queryTableRefresh nextId="12">
    <queryTableFields count="11">
      <queryTableField id="1" name="step" tableColumnId="1"/>
      <queryTableField id="2" name="total_time" tableColumnId="2"/>
      <queryTableField id="3" name="work_time_min" tableColumnId="3"/>
      <queryTableField id="4" name="work_time_avg" tableColumnId="4"/>
      <queryTableField id="5" name="work_time_max" tableColumnId="5"/>
      <queryTableField id="6" name="prep_time_min" tableColumnId="6"/>
      <queryTableField id="7" name="prep_time_avg" tableColumnId="7"/>
      <queryTableField id="8" name="prep_time_max" tableColumnId="8"/>
      <queryTableField id="9" name="comm_time_min" tableColumnId="9"/>
      <queryTableField id="10" name="comm_time_avg" tableColumnId="10"/>
      <queryTableField id="11" name="comm_time_max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6FC9520-30CF-49E2-8FE2-33319AE6D92B}" name="_grav_32_22" displayName="_grav_32_22" ref="A1:K12" tableType="queryTable" totalsRowCount="1">
  <autoFilter ref="A1:K11" xr:uid="{32173AFC-6F5C-45ED-9509-A36214ED3298}"/>
  <tableColumns count="11">
    <tableColumn id="1" xr3:uid="{1E3027A8-6F49-40BD-970A-3A47842C2D91}" uniqueName="1" name="step" totalsRowLabel="Ergebnis" queryTableFieldId="1"/>
    <tableColumn id="2" xr3:uid="{93566180-51AE-4F8C-ACF6-4543F0777A79}" uniqueName="2" name="total_time" totalsRowFunction="average" queryTableFieldId="2"/>
    <tableColumn id="3" xr3:uid="{DD58971E-C35E-4B0C-8C16-515016D21730}" uniqueName="3" name="work_time_min" totalsRowFunction="average" queryTableFieldId="3"/>
    <tableColumn id="4" xr3:uid="{9B7EA11C-BF72-4437-8928-85A45D4A0EF8}" uniqueName="4" name="work_time_avg" totalsRowFunction="average" queryTableFieldId="4"/>
    <tableColumn id="5" xr3:uid="{39DB2E07-0F4F-46BE-9731-E86C512690CB}" uniqueName="5" name="work_time_max" totalsRowFunction="average" queryTableFieldId="5"/>
    <tableColumn id="6" xr3:uid="{34963A72-C073-4B5B-BE9F-E28253723B1F}" uniqueName="6" name="prep_time_min" totalsRowFunction="average" queryTableFieldId="6"/>
    <tableColumn id="7" xr3:uid="{7C96D6EC-BC7D-43A8-A573-3FBCEA245345}" uniqueName="7" name="prep_time_avg" totalsRowFunction="average" queryTableFieldId="7"/>
    <tableColumn id="8" xr3:uid="{5FD5C313-80B5-49D3-88B8-B1B89C962A1A}" uniqueName="8" name="prep_time_max" totalsRowFunction="average" queryTableFieldId="8"/>
    <tableColumn id="9" xr3:uid="{1ED65C34-BC02-4846-AE32-9A17CA7C8E9E}" uniqueName="9" name="comm_time_min" totalsRowFunction="average" queryTableFieldId="9"/>
    <tableColumn id="10" xr3:uid="{68FFAD16-B44E-4ADC-AA69-FAE29074888B}" uniqueName="10" name="comm_time_avg" totalsRowFunction="average" queryTableFieldId="10"/>
    <tableColumn id="11" xr3:uid="{7FAAAD8E-9F00-46B7-837F-51102BA8CC0A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9BA3ED-E01C-47AE-9A0A-5693C6186837}" name="_grav_32_13" displayName="_grav_32_13" ref="A1:K12" tableType="queryTable" totalsRowCount="1">
  <autoFilter ref="A1:K11" xr:uid="{29BADF56-EA87-4032-9E64-36B1C6FC487E}"/>
  <tableColumns count="11">
    <tableColumn id="1" xr3:uid="{3DC5C312-AFFC-4B74-AA5C-5C93814D9EB6}" uniqueName="1" name="step" totalsRowLabel="Ergebnis" queryTableFieldId="1"/>
    <tableColumn id="2" xr3:uid="{373DF9B7-C0A1-43C0-B37F-8CE21526A677}" uniqueName="2" name="total_time" totalsRowFunction="average" queryTableFieldId="2"/>
    <tableColumn id="3" xr3:uid="{C8329545-1370-4D59-931B-0E591BAEE224}" uniqueName="3" name="work_time_min" totalsRowFunction="average" queryTableFieldId="3"/>
    <tableColumn id="4" xr3:uid="{844FE7E5-3442-4211-9068-946B3ED0CC38}" uniqueName="4" name="work_time_avg" totalsRowFunction="average" queryTableFieldId="4"/>
    <tableColumn id="5" xr3:uid="{26A804C4-AFAF-43A3-B1B5-41B47AA4378A}" uniqueName="5" name="work_time_max" totalsRowFunction="average" queryTableFieldId="5"/>
    <tableColumn id="6" xr3:uid="{A933CCEE-F809-45E3-A833-A4BA3D4D5226}" uniqueName="6" name="prep_time_min" totalsRowFunction="average" queryTableFieldId="6"/>
    <tableColumn id="7" xr3:uid="{49D008B1-B6A5-4371-AED2-C87D8D751F20}" uniqueName="7" name="prep_time_avg" totalsRowFunction="average" queryTableFieldId="7"/>
    <tableColumn id="8" xr3:uid="{20BA4DA7-06C2-43AB-A1B4-9BD5352C6EC9}" uniqueName="8" name="prep_time_max" totalsRowFunction="average" queryTableFieldId="8"/>
    <tableColumn id="9" xr3:uid="{1B7360E1-CACD-4523-B83D-55A52525FA62}" uniqueName="9" name="comm_time_min" totalsRowFunction="average" queryTableFieldId="9"/>
    <tableColumn id="10" xr3:uid="{01A853F4-0DFD-435D-9594-835170D35186}" uniqueName="10" name="comm_time_avg" totalsRowFunction="average" queryTableFieldId="10"/>
    <tableColumn id="11" xr3:uid="{44202008-8970-41F4-9A9E-29FAB9BF308B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757980-2069-4EE0-AEFD-FF98652BE546}" name="_grav_32_12" displayName="_grav_32_12" ref="A1:K12" tableType="queryTable" totalsRowCount="1">
  <autoFilter ref="A1:K11" xr:uid="{DE655774-2C52-4E3A-B783-782F4CCA4801}"/>
  <tableColumns count="11">
    <tableColumn id="1" xr3:uid="{4AB14F40-1939-4D7F-A43B-480056782BE8}" uniqueName="1" name="step" totalsRowLabel="Ergebnis" queryTableFieldId="1"/>
    <tableColumn id="2" xr3:uid="{AC3E5C00-0B3E-4086-B709-43F54D9B4362}" uniqueName="2" name="total_time" totalsRowFunction="average" queryTableFieldId="2"/>
    <tableColumn id="3" xr3:uid="{33AF12F1-7613-423A-AA91-92B9A3E8A0BB}" uniqueName="3" name="work_time_min" totalsRowFunction="average" queryTableFieldId="3"/>
    <tableColumn id="4" xr3:uid="{05869F80-839E-468A-BF93-8D62F5BA61B0}" uniqueName="4" name="work_time_avg" totalsRowFunction="average" queryTableFieldId="4"/>
    <tableColumn id="5" xr3:uid="{FD13142E-908D-4873-9AB0-A9815EF35E20}" uniqueName="5" name="work_time_max" totalsRowFunction="average" queryTableFieldId="5"/>
    <tableColumn id="6" xr3:uid="{383D97BE-7660-4855-8F96-9ADF20EBDF57}" uniqueName="6" name="prep_time_min" totalsRowFunction="average" queryTableFieldId="6"/>
    <tableColumn id="7" xr3:uid="{1EFE58AB-2A8C-4FA1-83E9-099CFBE0A211}" uniqueName="7" name="prep_time_avg" totalsRowFunction="average" queryTableFieldId="7"/>
    <tableColumn id="8" xr3:uid="{76E20CBE-C5B2-4143-8680-4ADE241E7955}" uniqueName="8" name="prep_time_max" totalsRowFunction="average" queryTableFieldId="8"/>
    <tableColumn id="9" xr3:uid="{EDFC50CB-3E10-4486-A744-DFEBB022E0BE}" uniqueName="9" name="comm_time_min" totalsRowFunction="average" queryTableFieldId="9"/>
    <tableColumn id="10" xr3:uid="{6BD7A7A7-5D9D-4173-8F8E-DC3A9F39889E}" uniqueName="10" name="comm_time_avg" totalsRowFunction="average" queryTableFieldId="10"/>
    <tableColumn id="11" xr3:uid="{37B50D13-F835-47FC-84AD-040216F01421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8E1A3D-C0EA-40DB-9C03-4F4AFA010136}" name="_grav_32_11" displayName="_grav_32_11" ref="A1:K12" tableType="queryTable" totalsRowCount="1">
  <autoFilter ref="A1:K11" xr:uid="{3E06C467-A002-4BC6-8429-51B81DED6F04}"/>
  <tableColumns count="11">
    <tableColumn id="1" xr3:uid="{7D978857-ED6F-4876-A654-135FE23B06BB}" uniqueName="1" name="step" totalsRowLabel="Ergebnis" queryTableFieldId="1"/>
    <tableColumn id="2" xr3:uid="{C0699931-1DE2-44D3-813B-6DDAFF83FD83}" uniqueName="2" name="total_time" totalsRowFunction="average" queryTableFieldId="2"/>
    <tableColumn id="3" xr3:uid="{506604D5-CE7B-4ED0-8825-E9E4A41EF3AF}" uniqueName="3" name="work_time_min" totalsRowFunction="average" queryTableFieldId="3"/>
    <tableColumn id="4" xr3:uid="{4959FF6E-D0F4-48FB-9825-80A63BD507EB}" uniqueName="4" name="work_time_avg" totalsRowFunction="average" queryTableFieldId="4"/>
    <tableColumn id="5" xr3:uid="{CE02D3B2-2CB9-4AFC-A969-5A14DB3F858D}" uniqueName="5" name="work_time_max" totalsRowFunction="average" queryTableFieldId="5"/>
    <tableColumn id="6" xr3:uid="{5FB8FC9C-F457-46ED-8073-C3DB01CE4F93}" uniqueName="6" name="prep_time_min" totalsRowFunction="average" queryTableFieldId="6"/>
    <tableColumn id="7" xr3:uid="{DFD6E1A2-EAA1-4629-83CB-D7CFE97A5FCB}" uniqueName="7" name="prep_time_avg" totalsRowFunction="average" queryTableFieldId="7"/>
    <tableColumn id="8" xr3:uid="{14BBBFBA-A856-4F6A-81F9-83363F0C35D4}" uniqueName="8" name="prep_time_max" totalsRowFunction="average" queryTableFieldId="8"/>
    <tableColumn id="9" xr3:uid="{AD9F2726-B72C-4A0F-9CC0-EBAE1A330694}" uniqueName="9" name="comm_time_min" totalsRowFunction="average" queryTableFieldId="9"/>
    <tableColumn id="10" xr3:uid="{62F35473-62A8-415E-83A4-C6D43CB30562}" uniqueName="10" name="comm_time_avg" totalsRowFunction="average" queryTableFieldId="10"/>
    <tableColumn id="11" xr3:uid="{CD00563E-4BD8-4727-B3DD-F44764958F5D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1C46DE-A7AA-4454-9C78-3BDDFDFA1CF9}" name="_grav_32_10" displayName="_grav_32_10" ref="A1:K12" tableType="queryTable" totalsRowCount="1">
  <autoFilter ref="A1:K11" xr:uid="{F0A8E0C6-6D01-4BDC-BEA3-5BF6CE00E554}"/>
  <tableColumns count="11">
    <tableColumn id="1" xr3:uid="{994095AA-D1DB-4B1B-9932-69988A9824BE}" uniqueName="1" name="10" totalsRowLabel="Ergebnis" queryTableFieldId="1"/>
    <tableColumn id="2" xr3:uid="{E749708E-C077-4A49-8631-02654BC4B0ED}" uniqueName="2" name="total_time" totalsRowFunction="average" queryTableFieldId="2"/>
    <tableColumn id="3" xr3:uid="{8FCB5696-D6DB-4501-B0B6-F7117671420F}" uniqueName="3" name="work_time_min" totalsRowFunction="average" queryTableFieldId="3"/>
    <tableColumn id="4" xr3:uid="{CC5A135C-E6B5-4B55-B4B6-78B08ECDEEA0}" uniqueName="4" name="work_time_avg" totalsRowFunction="average" queryTableFieldId="4"/>
    <tableColumn id="5" xr3:uid="{D45CE6EE-B449-426C-85FB-D9437F2459FD}" uniqueName="5" name="work_time_max" totalsRowFunction="average" queryTableFieldId="5"/>
    <tableColumn id="6" xr3:uid="{E62FF520-E382-4360-ADCC-3CEA07271690}" uniqueName="6" name="prep_time_min" totalsRowFunction="average" queryTableFieldId="6"/>
    <tableColumn id="7" xr3:uid="{19C0868D-1F9C-49F3-8C5C-E30A98B78131}" uniqueName="7" name="prep_time_avg" totalsRowFunction="average" queryTableFieldId="7"/>
    <tableColumn id="8" xr3:uid="{BD6B6EE9-4EFD-4BA7-8883-1E4257A13F41}" uniqueName="8" name="prep_time_max" totalsRowFunction="average" queryTableFieldId="8"/>
    <tableColumn id="9" xr3:uid="{A3A54A31-45E3-4E0B-B288-D0D705997122}" uniqueName="9" name="comm_time_min" totalsRowFunction="average" queryTableFieldId="9"/>
    <tableColumn id="10" xr3:uid="{3E3232CA-35DA-4391-92A4-F1E073378517}" uniqueName="10" name="comm_time_avg" totalsRowFunction="average" queryTableFieldId="10"/>
    <tableColumn id="11" xr3:uid="{C56FD728-A9AD-40C2-A342-ADFCC5DA60AD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AE12BB-3CFE-4DE2-93E8-078CC8CC1A6A}" name="_grav_32_21" displayName="_grav_32_21" ref="A1:K11" tableType="queryTable" totalsRowCount="1">
  <autoFilter ref="A1:K10" xr:uid="{8A1C83EF-F672-441C-A4F9-4EC41F09A604}"/>
  <tableColumns count="11">
    <tableColumn id="1" xr3:uid="{0E82433A-DB36-4718-99D1-EA77858C33DC}" uniqueName="1" name="step" totalsRowLabel="Ergebnis" queryTableFieldId="1"/>
    <tableColumn id="2" xr3:uid="{E0FF0411-1CD9-4136-A41E-4389919E7DFF}" uniqueName="2" name="total_time" totalsRowFunction="average" queryTableFieldId="2"/>
    <tableColumn id="3" xr3:uid="{FD2BA8A5-0E1A-482F-8CB6-6E3E1E269F92}" uniqueName="3" name="work_time_min" totalsRowFunction="average" queryTableFieldId="3"/>
    <tableColumn id="4" xr3:uid="{B0A3D619-6366-4CB9-B539-63F44AF041AD}" uniqueName="4" name="work_time_avg" totalsRowFunction="average" queryTableFieldId="4"/>
    <tableColumn id="5" xr3:uid="{2F9BE531-914F-4533-AD74-280F0228D507}" uniqueName="5" name="work_time_max" totalsRowFunction="average" queryTableFieldId="5"/>
    <tableColumn id="6" xr3:uid="{BC09B5A9-6EF6-4B5A-90B4-FE7D9C517E90}" uniqueName="6" name="prep_time_min" totalsRowFunction="average" queryTableFieldId="6"/>
    <tableColumn id="7" xr3:uid="{11F298F6-87A6-42BE-8579-7DE1BBAC4386}" uniqueName="7" name="prep_time_avg" totalsRowFunction="average" queryTableFieldId="7"/>
    <tableColumn id="8" xr3:uid="{1D8019AE-3E7F-4C60-A15A-84C09CE10B1E}" uniqueName="8" name="prep_time_max" totalsRowFunction="average" queryTableFieldId="8"/>
    <tableColumn id="9" xr3:uid="{02506A27-7E30-4A2F-855F-EDEEC41E619C}" uniqueName="9" name="comm_time_min" totalsRowFunction="average" queryTableFieldId="9"/>
    <tableColumn id="10" xr3:uid="{E7546A5B-B611-41EB-A56B-392335A852F0}" uniqueName="10" name="comm_time_avg" totalsRowFunction="average" queryTableFieldId="10"/>
    <tableColumn id="11" xr3:uid="{C494E79C-1B90-4E77-8321-E6BF66C0AA98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C5C164-725F-43FE-BE9D-1FBA46B993AA}" name="_grav_32_20" displayName="_grav_32_20" ref="A1:K12" tableType="queryTable" totalsRowCount="1">
  <autoFilter ref="A1:K11" xr:uid="{A6AA081C-F98C-48C5-88AF-098872B131B3}"/>
  <tableColumns count="11">
    <tableColumn id="1" xr3:uid="{01BB2068-5965-4948-9123-DEEDCB633405}" uniqueName="1" name="step" totalsRowLabel="Ergebnis" queryTableFieldId="1"/>
    <tableColumn id="2" xr3:uid="{42EF2E68-3400-4CB8-AD21-9113429D8A43}" uniqueName="2" name="total_time" totalsRowFunction="average" queryTableFieldId="2"/>
    <tableColumn id="3" xr3:uid="{828BF0E0-2000-4129-B2F6-30BA0D9AA814}" uniqueName="3" name="work_time_min" totalsRowFunction="average" queryTableFieldId="3"/>
    <tableColumn id="4" xr3:uid="{66B84E9B-28A5-4E7D-9DF9-1AC18F2BEDB9}" uniqueName="4" name="work_time_avg" totalsRowFunction="average" queryTableFieldId="4"/>
    <tableColumn id="5" xr3:uid="{75FC1461-5E66-48C0-A47D-ACB6F858A1EF}" uniqueName="5" name="work_time_max" totalsRowFunction="average" queryTableFieldId="5"/>
    <tableColumn id="6" xr3:uid="{1F5992EE-6A19-4ACB-AA0C-E0ED7FB200C7}" uniqueName="6" name="prep_time_min" totalsRowFunction="average" queryTableFieldId="6"/>
    <tableColumn id="7" xr3:uid="{65965FF4-554A-440B-B7F6-A70FBF5E07DE}" uniqueName="7" name="prep_time_avg" totalsRowFunction="average" queryTableFieldId="7"/>
    <tableColumn id="8" xr3:uid="{C572E94E-B3E0-4836-8614-1C61E724A7B3}" uniqueName="8" name="prep_time_max" totalsRowFunction="average" queryTableFieldId="8"/>
    <tableColumn id="9" xr3:uid="{7DB56618-2C8B-4813-B85E-9CA317762B13}" uniqueName="9" name="comm_time_min" totalsRowFunction="average" queryTableFieldId="9"/>
    <tableColumn id="10" xr3:uid="{AA9F5F91-1146-4A35-9654-2AB49A6E6AE3}" uniqueName="10" name="comm_time_avg" totalsRowFunction="average" queryTableFieldId="10"/>
    <tableColumn id="11" xr3:uid="{F420E9E4-3316-4AB2-AF2E-AD09D9FE496B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20082EE-AA11-4FE4-A211-D89F7632B6EA}" name="_grav_32_19" displayName="_grav_32_19" ref="A1:K12" tableType="queryTable" totalsRowCount="1">
  <autoFilter ref="A1:K11" xr:uid="{6F657534-98FA-40FF-B3AE-890B11C5F0A1}"/>
  <tableColumns count="11">
    <tableColumn id="1" xr3:uid="{FFEC7E7C-35F3-4338-926C-63E7A4868E35}" uniqueName="1" name="step" totalsRowLabel="Ergebnis" queryTableFieldId="1"/>
    <tableColumn id="2" xr3:uid="{C667E3EC-A540-405F-A501-AF75ACD44B9F}" uniqueName="2" name="total_time" totalsRowFunction="average" queryTableFieldId="2"/>
    <tableColumn id="3" xr3:uid="{18F8DB02-E5BC-4B12-9465-1866EA8ACC01}" uniqueName="3" name="work_time_min" totalsRowFunction="average" queryTableFieldId="3"/>
    <tableColumn id="4" xr3:uid="{61C37229-45BE-4A06-8F62-697B9FB12082}" uniqueName="4" name="work_time_avg" totalsRowFunction="average" queryTableFieldId="4"/>
    <tableColumn id="5" xr3:uid="{F92B6AE1-9459-4962-B752-BF92AFA4282D}" uniqueName="5" name="work_time_max" totalsRowFunction="average" queryTableFieldId="5"/>
    <tableColumn id="6" xr3:uid="{A9CCB2BB-0B07-4E16-8807-EEDB55C37D9A}" uniqueName="6" name="prep_time_min" totalsRowFunction="average" queryTableFieldId="6"/>
    <tableColumn id="7" xr3:uid="{527C9F88-1406-4341-A79F-1542D53CBF25}" uniqueName="7" name="prep_time_avg" totalsRowFunction="average" queryTableFieldId="7"/>
    <tableColumn id="8" xr3:uid="{DA5F4DA1-6B60-4D62-AC96-53CAFD8A9310}" uniqueName="8" name="prep_time_max" totalsRowFunction="average" queryTableFieldId="8"/>
    <tableColumn id="9" xr3:uid="{B28AC8C5-0880-489B-BC18-8CA0433BC177}" uniqueName="9" name="comm_time_min" totalsRowFunction="average" queryTableFieldId="9"/>
    <tableColumn id="10" xr3:uid="{DB725EC0-1F9C-4BBF-A33B-245C8E1FAFE8}" uniqueName="10" name="comm_time_avg" totalsRowFunction="average" queryTableFieldId="10"/>
    <tableColumn id="11" xr3:uid="{1A677350-D7C5-478A-A5AF-DA67F2F858C1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E9B17C0-8487-4897-97D3-1FE95935B520}" name="_grav_32_18" displayName="_grav_32_18" ref="A1:K12" tableType="queryTable" totalsRowCount="1">
  <autoFilter ref="A1:K11" xr:uid="{1D49C70C-70CD-4E75-BACD-0EFBB8F40319}"/>
  <tableColumns count="11">
    <tableColumn id="1" xr3:uid="{2F55ED54-7E51-4037-8496-094F68636B8B}" uniqueName="1" name="step" totalsRowLabel="Ergebnis" queryTableFieldId="1"/>
    <tableColumn id="2" xr3:uid="{4E694DC0-E500-420E-AA28-1F83EF937BED}" uniqueName="2" name="total_time" totalsRowFunction="average" queryTableFieldId="2"/>
    <tableColumn id="3" xr3:uid="{BEDFED37-F8A5-4241-B3C8-18AE66ED01AB}" uniqueName="3" name="work_time_min" totalsRowFunction="average" queryTableFieldId="3"/>
    <tableColumn id="4" xr3:uid="{2039F286-74BE-4A07-9AC5-9E7D136763AB}" uniqueName="4" name="work_time_avg" totalsRowFunction="average" queryTableFieldId="4"/>
    <tableColumn id="5" xr3:uid="{0982307B-EA87-4424-AFF7-96196D231F64}" uniqueName="5" name="work_time_max" totalsRowFunction="average" queryTableFieldId="5"/>
    <tableColumn id="6" xr3:uid="{C5922C34-AC15-4D82-91C2-B838B686764D}" uniqueName="6" name="prep_time_min" totalsRowFunction="average" queryTableFieldId="6"/>
    <tableColumn id="7" xr3:uid="{0EC9545F-EFFE-4337-9A69-555BED80EF7A}" uniqueName="7" name="prep_time_avg" totalsRowFunction="average" queryTableFieldId="7"/>
    <tableColumn id="8" xr3:uid="{5028A836-F324-4FFB-B6B4-1D2CA7896E36}" uniqueName="8" name="prep_time_max" totalsRowFunction="average" queryTableFieldId="8"/>
    <tableColumn id="9" xr3:uid="{3727576B-894E-47DA-81F4-F28B37C359C5}" uniqueName="9" name="comm_time_min" totalsRowFunction="average" queryTableFieldId="9"/>
    <tableColumn id="10" xr3:uid="{B3C80EBC-C416-47BC-AA2A-E64C1A234E13}" uniqueName="10" name="comm_time_avg" totalsRowFunction="average" queryTableFieldId="10"/>
    <tableColumn id="11" xr3:uid="{4638CE65-9B9A-40C6-BB10-A28E5AC01736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E4685D3-64CA-4544-A879-3DD4940D1F77}" name="_grav_32_17" displayName="_grav_32_17" ref="A1:K12" tableType="queryTable" totalsRowCount="1">
  <autoFilter ref="A1:K11" xr:uid="{474DD28F-99CC-439F-AF5A-A27DEA6BFACF}"/>
  <tableColumns count="11">
    <tableColumn id="1" xr3:uid="{34064657-BDC8-477D-9E32-47783F4414DD}" uniqueName="1" name="step" totalsRowLabel="Ergebnis" queryTableFieldId="1"/>
    <tableColumn id="2" xr3:uid="{0DA9A7F3-DDFD-426C-8CC0-66D0FAA147EA}" uniqueName="2" name="total_time" totalsRowFunction="average" queryTableFieldId="2"/>
    <tableColumn id="3" xr3:uid="{6491DDFD-CE48-4A23-9A11-721DD0DDEA2D}" uniqueName="3" name="work_time_min" totalsRowFunction="average" queryTableFieldId="3"/>
    <tableColumn id="4" xr3:uid="{79B9C3EA-2950-4BB1-862E-03805123CA29}" uniqueName="4" name="work_time_avg" totalsRowFunction="average" queryTableFieldId="4"/>
    <tableColumn id="5" xr3:uid="{D0D53405-A44B-4D37-9A9C-438DEA9FC4BC}" uniqueName="5" name="work_time_max" totalsRowFunction="average" queryTableFieldId="5"/>
    <tableColumn id="6" xr3:uid="{E82E3BB4-BBF7-42F4-9ED7-157A03CFA516}" uniqueName="6" name="prep_time_min" totalsRowFunction="average" queryTableFieldId="6"/>
    <tableColumn id="7" xr3:uid="{3C0EC865-0F24-4F13-91C7-AEA7BCA657C8}" uniqueName="7" name="prep_time_avg" totalsRowFunction="average" queryTableFieldId="7"/>
    <tableColumn id="8" xr3:uid="{634645C5-934C-4F96-A346-AF691AFFA6C3}" uniqueName="8" name="prep_time_max" totalsRowFunction="average" queryTableFieldId="8"/>
    <tableColumn id="9" xr3:uid="{D4E1E9F4-2441-47BC-887A-5557652614C1}" uniqueName="9" name="comm_time_min" totalsRowFunction="average" queryTableFieldId="9"/>
    <tableColumn id="10" xr3:uid="{9B893847-8912-44DB-B2C0-6729F1FB0F65}" uniqueName="10" name="comm_time_avg" totalsRowFunction="average" queryTableFieldId="10"/>
    <tableColumn id="11" xr3:uid="{2F2471C8-1EE8-40C8-BB3C-8447C318CB05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0377F0-CCFD-4817-BABC-20530CABDDD7}" name="_grav_32_16" displayName="_grav_32_16" ref="A1:K12" tableType="queryTable" totalsRowCount="1">
  <autoFilter ref="A1:K11" xr:uid="{C4E815A5-78A3-435F-8E8D-F6A3CEDB68F9}"/>
  <tableColumns count="11">
    <tableColumn id="1" xr3:uid="{29ECD183-86D1-41C9-9F84-5B9EE86830F7}" uniqueName="1" name="step" totalsRowLabel="Ergebnis" queryTableFieldId="1"/>
    <tableColumn id="2" xr3:uid="{4826C877-61EF-4014-B391-E6A5E8B7C017}" uniqueName="2" name="total_time" totalsRowFunction="average" queryTableFieldId="2"/>
    <tableColumn id="3" xr3:uid="{6BC66693-472D-459F-8966-590E80E31A5C}" uniqueName="3" name="work_time_min" totalsRowFunction="average" queryTableFieldId="3"/>
    <tableColumn id="4" xr3:uid="{DB573EA1-0CB8-4F1B-895B-115F47E5C5A2}" uniqueName="4" name="work_time_avg" totalsRowFunction="average" queryTableFieldId="4"/>
    <tableColumn id="5" xr3:uid="{FC7A0955-BEE9-4B30-883F-47BAFF2E899F}" uniqueName="5" name="work_time_max" totalsRowFunction="average" queryTableFieldId="5"/>
    <tableColumn id="6" xr3:uid="{7951382B-DE39-408C-98CB-F1B189C8654B}" uniqueName="6" name="prep_time_min" totalsRowFunction="average" queryTableFieldId="6"/>
    <tableColumn id="7" xr3:uid="{A476EE19-FA30-48D3-9D8E-CF0516B3D9E3}" uniqueName="7" name="prep_time_avg" totalsRowFunction="average" queryTableFieldId="7"/>
    <tableColumn id="8" xr3:uid="{BDD37D83-F8DA-4956-9B65-F2B67859B1EE}" uniqueName="8" name="prep_time_max" totalsRowFunction="average" queryTableFieldId="8"/>
    <tableColumn id="9" xr3:uid="{011D61AB-4DBB-4C60-BC36-F87B3EA3AC33}" uniqueName="9" name="comm_time_min" totalsRowFunction="average" queryTableFieldId="9"/>
    <tableColumn id="10" xr3:uid="{13630FD7-1D0A-4DD6-B567-295F44481DC8}" uniqueName="10" name="comm_time_avg" totalsRowFunction="average" queryTableFieldId="10"/>
    <tableColumn id="11" xr3:uid="{E943B0F0-3CA0-4C89-9D19-A54F8BCBAD7B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CCE7EA-E47F-4EC9-A8D3-FE28D879F876}" name="_grav_32_15" displayName="_grav_32_15" ref="A1:K12" tableType="queryTable" totalsRowCount="1">
  <autoFilter ref="A1:K11" xr:uid="{3B99D4BB-9ED0-4B5D-A63C-BD7455489832}"/>
  <tableColumns count="11">
    <tableColumn id="1" xr3:uid="{0A468618-E298-4762-B5CB-27A11FAED7FC}" uniqueName="1" name="step" totalsRowLabel="Ergebnis" queryTableFieldId="1"/>
    <tableColumn id="2" xr3:uid="{B956D175-4130-478E-8E25-5412B10461E7}" uniqueName="2" name="total_time" totalsRowFunction="average" queryTableFieldId="2"/>
    <tableColumn id="3" xr3:uid="{D953E800-D57D-46F3-B19E-24E4447E969F}" uniqueName="3" name="work_time_min" totalsRowFunction="average" queryTableFieldId="3"/>
    <tableColumn id="4" xr3:uid="{8A500050-188A-417D-A0BF-11309BC16F3B}" uniqueName="4" name="work_time_avg" totalsRowFunction="average" queryTableFieldId="4"/>
    <tableColumn id="5" xr3:uid="{87AED616-AE34-47C9-913C-CC9B21881A56}" uniqueName="5" name="work_time_max" totalsRowFunction="average" queryTableFieldId="5"/>
    <tableColumn id="6" xr3:uid="{33E0D8B1-0ECF-468A-8077-8932791DB4D8}" uniqueName="6" name="prep_time_min" totalsRowFunction="average" queryTableFieldId="6"/>
    <tableColumn id="7" xr3:uid="{DE9B8691-F741-48B9-994F-E9A7E053FEDA}" uniqueName="7" name="prep_time_avg" totalsRowFunction="average" queryTableFieldId="7"/>
    <tableColumn id="8" xr3:uid="{909DAD27-9635-4744-BE8D-C7BAE9109163}" uniqueName="8" name="prep_time_max" totalsRowFunction="average" queryTableFieldId="8"/>
    <tableColumn id="9" xr3:uid="{45615126-0063-4C09-9F6A-E473B22BFE3C}" uniqueName="9" name="comm_time_min" totalsRowFunction="average" queryTableFieldId="9"/>
    <tableColumn id="10" xr3:uid="{64267915-C676-4FCB-BA56-6757CC60F790}" uniqueName="10" name="comm_time_avg" totalsRowFunction="average" queryTableFieldId="10"/>
    <tableColumn id="11" xr3:uid="{8C5B65B6-FC59-4F79-9D77-C131168FC01D}" uniqueName="11" name="comm_time_max" totalsRowFunction="average" queryTableFieldId="1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F2E4297-105E-4ACE-829E-54E805F1EDE6}" name="_grav_32_14" displayName="_grav_32_14" ref="A1:K12" tableType="queryTable" totalsRowCount="1">
  <autoFilter ref="A1:K11" xr:uid="{1C68C0D2-E7B4-4237-ABFA-87E8EC432A77}"/>
  <tableColumns count="11">
    <tableColumn id="1" xr3:uid="{B52296C7-1A00-463F-8B06-90B361A96F6E}" uniqueName="1" name="step" totalsRowLabel="Ergebnis" queryTableFieldId="1"/>
    <tableColumn id="2" xr3:uid="{E48A4089-DD06-4A7F-8DFB-F5BB7390F0DD}" uniqueName="2" name="total_time" totalsRowFunction="average" queryTableFieldId="2"/>
    <tableColumn id="3" xr3:uid="{B1E38BD0-DB70-4CEA-82F0-D57B4285AA21}" uniqueName="3" name="work_time_min" totalsRowFunction="average" queryTableFieldId="3"/>
    <tableColumn id="4" xr3:uid="{C57B1CE9-359B-44BD-ACEE-B113608D1859}" uniqueName="4" name="work_time_avg" totalsRowFunction="average" queryTableFieldId="4"/>
    <tableColumn id="5" xr3:uid="{657CD447-B07E-4468-90AB-EFA68D56AB00}" uniqueName="5" name="work_time_max" totalsRowFunction="average" queryTableFieldId="5"/>
    <tableColumn id="6" xr3:uid="{ADCD6F3D-B464-475A-9DF9-79C7053B5DD5}" uniqueName="6" name="prep_time_min" totalsRowFunction="average" queryTableFieldId="6"/>
    <tableColumn id="7" xr3:uid="{65A3A68F-758C-4BD2-B5BC-FEE76C4A739E}" uniqueName="7" name="prep_time_avg" totalsRowFunction="average" queryTableFieldId="7"/>
    <tableColumn id="8" xr3:uid="{B89BC982-EF47-48B1-AD9C-13E256D3AD07}" uniqueName="8" name="prep_time_max" totalsRowFunction="average" queryTableFieldId="8"/>
    <tableColumn id="9" xr3:uid="{7C106585-0C88-463C-951B-D3122CDA73C6}" uniqueName="9" name="comm_time_min" totalsRowFunction="average" queryTableFieldId="9"/>
    <tableColumn id="10" xr3:uid="{46D5BC29-C496-4584-859C-42F25942844C}" uniqueName="10" name="comm_time_avg" totalsRowFunction="average" queryTableFieldId="10"/>
    <tableColumn id="11" xr3:uid="{5E7B011D-C585-4EB7-9B6A-C71F335A13B1}" uniqueName="11" name="comm_time_max" totalsRowFunction="averag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BD0A3-FA5F-4992-8CB3-B62E27776CEB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479</v>
      </c>
      <c r="C2">
        <v>278</v>
      </c>
      <c r="D2">
        <v>398</v>
      </c>
      <c r="E2">
        <v>703</v>
      </c>
      <c r="F2">
        <v>0.60399999999999998</v>
      </c>
      <c r="G2">
        <v>95.8</v>
      </c>
      <c r="H2">
        <v>277</v>
      </c>
      <c r="I2">
        <v>1.39</v>
      </c>
      <c r="J2">
        <v>5.72</v>
      </c>
      <c r="K2">
        <v>8.0500000000000007</v>
      </c>
    </row>
    <row r="3" spans="1:11" x14ac:dyDescent="0.25">
      <c r="A3">
        <v>2</v>
      </c>
      <c r="B3">
        <v>158</v>
      </c>
      <c r="C3">
        <v>160</v>
      </c>
      <c r="D3">
        <v>164</v>
      </c>
      <c r="E3">
        <v>176</v>
      </c>
      <c r="F3">
        <v>0.81599999999999995</v>
      </c>
      <c r="G3">
        <v>34.200000000000003</v>
      </c>
      <c r="H3">
        <v>77.8</v>
      </c>
      <c r="I3">
        <v>1.8100000000000002E-2</v>
      </c>
      <c r="J3">
        <v>2.41E-2</v>
      </c>
      <c r="K3">
        <v>3.1300000000000001E-2</v>
      </c>
    </row>
    <row r="4" spans="1:11" x14ac:dyDescent="0.25">
      <c r="A4">
        <v>3</v>
      </c>
      <c r="B4">
        <v>158</v>
      </c>
      <c r="C4">
        <v>160</v>
      </c>
      <c r="D4">
        <v>164</v>
      </c>
      <c r="E4">
        <v>176</v>
      </c>
      <c r="F4">
        <v>0.84799999999999998</v>
      </c>
      <c r="G4">
        <v>11.1</v>
      </c>
      <c r="H4">
        <v>16.899999999999999</v>
      </c>
      <c r="I4">
        <v>1.7399999999999999E-2</v>
      </c>
      <c r="J4">
        <v>3.5499999999999997E-2</v>
      </c>
      <c r="K4">
        <v>5.1700000000000003E-2</v>
      </c>
    </row>
    <row r="5" spans="1:11" x14ac:dyDescent="0.25">
      <c r="A5">
        <v>4</v>
      </c>
      <c r="B5">
        <v>159</v>
      </c>
      <c r="C5">
        <v>160</v>
      </c>
      <c r="D5">
        <v>164</v>
      </c>
      <c r="E5">
        <v>176</v>
      </c>
      <c r="F5">
        <v>0.86099999999999999</v>
      </c>
      <c r="G5">
        <v>10.5</v>
      </c>
      <c r="H5">
        <v>16.2</v>
      </c>
      <c r="I5">
        <v>1.66E-2</v>
      </c>
      <c r="J5">
        <v>2.3300000000000001E-2</v>
      </c>
      <c r="K5">
        <v>2.7799999999999998E-2</v>
      </c>
    </row>
    <row r="6" spans="1:11" x14ac:dyDescent="0.25">
      <c r="A6">
        <v>5</v>
      </c>
      <c r="B6">
        <v>159</v>
      </c>
      <c r="C6">
        <v>160</v>
      </c>
      <c r="D6">
        <v>164</v>
      </c>
      <c r="E6">
        <v>176</v>
      </c>
      <c r="F6">
        <v>0.88500000000000001</v>
      </c>
      <c r="G6">
        <v>10.6</v>
      </c>
      <c r="H6">
        <v>16.5</v>
      </c>
      <c r="I6">
        <v>1.49E-2</v>
      </c>
      <c r="J6">
        <v>2.1499999999999998E-2</v>
      </c>
      <c r="K6">
        <v>2.6800000000000001E-2</v>
      </c>
    </row>
    <row r="7" spans="1:11" x14ac:dyDescent="0.25">
      <c r="A7">
        <v>6</v>
      </c>
      <c r="B7">
        <v>159</v>
      </c>
      <c r="C7">
        <v>160</v>
      </c>
      <c r="D7">
        <v>164</v>
      </c>
      <c r="E7">
        <v>176</v>
      </c>
      <c r="F7">
        <v>0.85099999999999998</v>
      </c>
      <c r="G7">
        <v>10.8</v>
      </c>
      <c r="H7">
        <v>16.899999999999999</v>
      </c>
      <c r="I7">
        <v>1.7000000000000001E-2</v>
      </c>
      <c r="J7">
        <v>2.3400000000000001E-2</v>
      </c>
      <c r="K7">
        <v>2.8199999999999999E-2</v>
      </c>
    </row>
    <row r="8" spans="1:11" x14ac:dyDescent="0.25">
      <c r="A8">
        <v>7</v>
      </c>
      <c r="B8">
        <v>159</v>
      </c>
      <c r="C8">
        <v>160</v>
      </c>
      <c r="D8">
        <v>164</v>
      </c>
      <c r="E8">
        <v>176</v>
      </c>
      <c r="F8">
        <v>0.86099999999999999</v>
      </c>
      <c r="G8">
        <v>10.6</v>
      </c>
      <c r="H8">
        <v>16.5</v>
      </c>
      <c r="I8">
        <v>4.1799999999999997E-2</v>
      </c>
      <c r="J8">
        <v>4.82E-2</v>
      </c>
      <c r="K8">
        <v>5.3699999999999998E-2</v>
      </c>
    </row>
    <row r="9" spans="1:11" x14ac:dyDescent="0.25">
      <c r="A9">
        <v>8</v>
      </c>
      <c r="B9">
        <v>159</v>
      </c>
      <c r="C9">
        <v>161</v>
      </c>
      <c r="D9">
        <v>165</v>
      </c>
      <c r="E9">
        <v>178</v>
      </c>
      <c r="F9">
        <v>0.86699999999999999</v>
      </c>
      <c r="G9">
        <v>10.8</v>
      </c>
      <c r="H9">
        <v>16.8</v>
      </c>
      <c r="I9">
        <v>1.7399999999999999E-2</v>
      </c>
      <c r="J9">
        <v>2.2700000000000001E-2</v>
      </c>
      <c r="K9">
        <v>2.7300000000000001E-2</v>
      </c>
    </row>
    <row r="10" spans="1:11" x14ac:dyDescent="0.25">
      <c r="A10">
        <v>9</v>
      </c>
      <c r="B10">
        <v>159</v>
      </c>
      <c r="C10">
        <v>160</v>
      </c>
      <c r="D10">
        <v>164</v>
      </c>
      <c r="E10">
        <v>176</v>
      </c>
      <c r="F10">
        <v>0.84699999999999998</v>
      </c>
      <c r="G10">
        <v>11.8</v>
      </c>
      <c r="H10">
        <v>18.2</v>
      </c>
      <c r="I10">
        <v>1.46E-2</v>
      </c>
      <c r="J10">
        <v>2.12E-2</v>
      </c>
      <c r="K10">
        <v>2.63E-2</v>
      </c>
    </row>
    <row r="11" spans="1:11" x14ac:dyDescent="0.25">
      <c r="A11">
        <v>10</v>
      </c>
      <c r="B11">
        <v>159</v>
      </c>
      <c r="C11">
        <v>161</v>
      </c>
      <c r="D11">
        <v>164</v>
      </c>
      <c r="E11">
        <v>175</v>
      </c>
      <c r="F11">
        <v>0.85099999999999998</v>
      </c>
      <c r="G11">
        <v>10.7</v>
      </c>
      <c r="H11">
        <v>16.7</v>
      </c>
      <c r="I11">
        <v>1.6299999999999999E-2</v>
      </c>
      <c r="J11">
        <v>2.1600000000000001E-2</v>
      </c>
      <c r="K11">
        <v>2.63E-2</v>
      </c>
    </row>
    <row r="12" spans="1:11" x14ac:dyDescent="0.25">
      <c r="A12" t="s">
        <v>20</v>
      </c>
      <c r="B12">
        <f>SUBTOTAL(101,_grav_32_22[total_time])</f>
        <v>190.8</v>
      </c>
      <c r="C12">
        <f>SUBTOTAL(101,_grav_32_22[work_time_min])</f>
        <v>172</v>
      </c>
      <c r="D12">
        <f>SUBTOTAL(101,_grav_32_22[work_time_avg])</f>
        <v>187.5</v>
      </c>
      <c r="E12">
        <f>SUBTOTAL(101,_grav_32_22[work_time_max])</f>
        <v>228.8</v>
      </c>
      <c r="F12">
        <f>SUBTOTAL(101,_grav_32_22[prep_time_min])</f>
        <v>0.82910000000000006</v>
      </c>
      <c r="G12">
        <f>SUBTOTAL(101,_grav_32_22[prep_time_avg])</f>
        <v>21.69</v>
      </c>
      <c r="H12">
        <f>SUBTOTAL(101,_grav_32_22[prep_time_max])</f>
        <v>48.949999999999996</v>
      </c>
      <c r="I12">
        <f>SUBTOTAL(101,_grav_32_22[comm_time_min])</f>
        <v>0.15640999999999999</v>
      </c>
      <c r="J12">
        <f>SUBTOTAL(101,_grav_32_22[comm_time_avg])</f>
        <v>0.59614999999999996</v>
      </c>
      <c r="K12">
        <f>SUBTOTAL(101,_grav_32_22[comm_time_max])</f>
        <v>0.83494000000000013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DCAED-5DFE-4956-A801-33A3067665C9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0.17699999999999999</v>
      </c>
      <c r="C2">
        <v>0.17899999999999999</v>
      </c>
      <c r="D2">
        <v>0.21</v>
      </c>
      <c r="E2">
        <v>0.24199999999999999</v>
      </c>
      <c r="F2">
        <v>1.2099999999999999E-3</v>
      </c>
      <c r="G2">
        <v>2.1700000000000001E-3</v>
      </c>
      <c r="H2">
        <v>2.49E-3</v>
      </c>
      <c r="I2">
        <v>2.2000000000000001E-3</v>
      </c>
      <c r="J2">
        <v>2.2499999999999998E-3</v>
      </c>
      <c r="K2">
        <v>2.32E-3</v>
      </c>
    </row>
    <row r="3" spans="1:11" x14ac:dyDescent="0.25">
      <c r="A3">
        <v>2</v>
      </c>
      <c r="B3">
        <v>0.17399999999999999</v>
      </c>
      <c r="C3">
        <v>0.18</v>
      </c>
      <c r="D3">
        <v>0.20899999999999999</v>
      </c>
      <c r="E3">
        <v>0.24199999999999999</v>
      </c>
      <c r="F3">
        <v>8.1599999999999999E-4</v>
      </c>
      <c r="G3">
        <v>2.3599999999999999E-2</v>
      </c>
      <c r="H3">
        <v>6.0299999999999999E-2</v>
      </c>
      <c r="I3">
        <v>4.2000000000000002E-4</v>
      </c>
      <c r="J3">
        <v>4.44E-4</v>
      </c>
      <c r="K3">
        <v>4.8999999999999998E-4</v>
      </c>
    </row>
    <row r="4" spans="1:11" x14ac:dyDescent="0.25">
      <c r="A4">
        <v>3</v>
      </c>
      <c r="B4">
        <v>0.17399999999999999</v>
      </c>
      <c r="C4">
        <v>0.17899999999999999</v>
      </c>
      <c r="D4">
        <v>0.20899999999999999</v>
      </c>
      <c r="E4">
        <v>0.24199999999999999</v>
      </c>
      <c r="F4">
        <v>8.1300000000000003E-4</v>
      </c>
      <c r="G4">
        <v>2.3800000000000002E-2</v>
      </c>
      <c r="H4">
        <v>6.0499999999999998E-2</v>
      </c>
      <c r="I4">
        <v>4.2099999999999999E-4</v>
      </c>
      <c r="J4">
        <v>4.4099999999999999E-4</v>
      </c>
      <c r="K4">
        <v>4.8200000000000001E-4</v>
      </c>
    </row>
    <row r="5" spans="1:11" x14ac:dyDescent="0.25">
      <c r="A5">
        <v>4</v>
      </c>
      <c r="B5">
        <v>0.17399999999999999</v>
      </c>
      <c r="C5">
        <v>0.17899999999999999</v>
      </c>
      <c r="D5">
        <v>0.20899999999999999</v>
      </c>
      <c r="E5">
        <v>0.24199999999999999</v>
      </c>
      <c r="F5">
        <v>8.1099999999999998E-4</v>
      </c>
      <c r="G5">
        <v>2.3699999999999999E-2</v>
      </c>
      <c r="H5">
        <v>6.0299999999999999E-2</v>
      </c>
      <c r="I5">
        <v>4.3899999999999999E-4</v>
      </c>
      <c r="J5">
        <v>4.57E-4</v>
      </c>
      <c r="K5">
        <v>4.9899999999999999E-4</v>
      </c>
    </row>
    <row r="6" spans="1:11" x14ac:dyDescent="0.25">
      <c r="A6">
        <v>5</v>
      </c>
      <c r="B6">
        <v>0.17399999999999999</v>
      </c>
      <c r="C6">
        <v>0.17899999999999999</v>
      </c>
      <c r="D6">
        <v>0.20899999999999999</v>
      </c>
      <c r="E6">
        <v>0.24199999999999999</v>
      </c>
      <c r="F6">
        <v>7.9600000000000005E-4</v>
      </c>
      <c r="G6">
        <v>2.3800000000000002E-2</v>
      </c>
      <c r="H6">
        <v>6.0499999999999998E-2</v>
      </c>
      <c r="I6">
        <v>4.3199999999999998E-4</v>
      </c>
      <c r="J6">
        <v>4.5300000000000001E-4</v>
      </c>
      <c r="K6">
        <v>4.8999999999999998E-4</v>
      </c>
    </row>
    <row r="7" spans="1:11" x14ac:dyDescent="0.25">
      <c r="A7">
        <v>6</v>
      </c>
      <c r="B7">
        <v>0.17399999999999999</v>
      </c>
      <c r="C7">
        <v>0.18</v>
      </c>
      <c r="D7">
        <v>0.20899999999999999</v>
      </c>
      <c r="E7">
        <v>0.24199999999999999</v>
      </c>
      <c r="F7">
        <v>7.9100000000000004E-4</v>
      </c>
      <c r="G7">
        <v>2.3699999999999999E-2</v>
      </c>
      <c r="H7">
        <v>6.0400000000000002E-2</v>
      </c>
      <c r="I7">
        <v>4.3600000000000003E-4</v>
      </c>
      <c r="J7">
        <v>4.5899999999999999E-4</v>
      </c>
      <c r="K7">
        <v>5.0000000000000001E-4</v>
      </c>
    </row>
    <row r="8" spans="1:11" x14ac:dyDescent="0.25">
      <c r="A8">
        <v>7</v>
      </c>
      <c r="B8">
        <v>0.17399999999999999</v>
      </c>
      <c r="C8">
        <v>0.17899999999999999</v>
      </c>
      <c r="D8">
        <v>0.20899999999999999</v>
      </c>
      <c r="E8">
        <v>0.24199999999999999</v>
      </c>
      <c r="F8">
        <v>7.7499999999999997E-4</v>
      </c>
      <c r="G8">
        <v>2.3800000000000002E-2</v>
      </c>
      <c r="H8">
        <v>6.0400000000000002E-2</v>
      </c>
      <c r="I8">
        <v>4.2499999999999998E-4</v>
      </c>
      <c r="J8">
        <v>4.4900000000000002E-4</v>
      </c>
      <c r="K8">
        <v>4.8700000000000002E-4</v>
      </c>
    </row>
    <row r="9" spans="1:11" x14ac:dyDescent="0.25">
      <c r="A9">
        <v>8</v>
      </c>
      <c r="B9">
        <v>0.17399999999999999</v>
      </c>
      <c r="C9">
        <v>0.18</v>
      </c>
      <c r="D9">
        <v>0.21</v>
      </c>
      <c r="E9">
        <v>0.24199999999999999</v>
      </c>
      <c r="F9">
        <v>7.7999999999999999E-4</v>
      </c>
      <c r="G9">
        <v>2.3699999999999999E-2</v>
      </c>
      <c r="H9">
        <v>6.0299999999999999E-2</v>
      </c>
      <c r="I9">
        <v>4.44E-4</v>
      </c>
      <c r="J9">
        <v>4.6500000000000003E-4</v>
      </c>
      <c r="K9">
        <v>5.04E-4</v>
      </c>
    </row>
    <row r="10" spans="1:11" x14ac:dyDescent="0.25">
      <c r="A10">
        <v>9</v>
      </c>
      <c r="B10">
        <v>0.17499999999999999</v>
      </c>
      <c r="C10">
        <v>0.18</v>
      </c>
      <c r="D10">
        <v>0.21</v>
      </c>
      <c r="E10">
        <v>0.24299999999999999</v>
      </c>
      <c r="F10">
        <v>1.41E-3</v>
      </c>
      <c r="G10">
        <v>2.3900000000000001E-2</v>
      </c>
      <c r="H10">
        <v>6.0499999999999998E-2</v>
      </c>
      <c r="I10">
        <v>5.4199999999999995E-4</v>
      </c>
      <c r="J10">
        <v>5.8399999999999999E-4</v>
      </c>
      <c r="K10">
        <v>6.8800000000000003E-4</v>
      </c>
    </row>
    <row r="11" spans="1:11" x14ac:dyDescent="0.25">
      <c r="A11">
        <v>10</v>
      </c>
      <c r="B11">
        <v>0.17399999999999999</v>
      </c>
      <c r="C11">
        <v>0.18</v>
      </c>
      <c r="D11">
        <v>0.21</v>
      </c>
      <c r="E11">
        <v>0.24199999999999999</v>
      </c>
      <c r="F11">
        <v>8.2100000000000001E-4</v>
      </c>
      <c r="G11">
        <v>2.35E-2</v>
      </c>
      <c r="H11">
        <v>6.0199999999999997E-2</v>
      </c>
      <c r="I11">
        <v>3.9899999999999999E-4</v>
      </c>
      <c r="J11">
        <v>4.5199999999999998E-4</v>
      </c>
      <c r="K11">
        <v>4.95E-4</v>
      </c>
    </row>
    <row r="12" spans="1:11" x14ac:dyDescent="0.25">
      <c r="A12" t="s">
        <v>20</v>
      </c>
      <c r="B12">
        <f>SUBTOTAL(101,_grav_32_13[total_time])</f>
        <v>0.17439999999999994</v>
      </c>
      <c r="C12">
        <f>SUBTOTAL(101,_grav_32_13[work_time_min])</f>
        <v>0.17949999999999999</v>
      </c>
      <c r="D12">
        <f>SUBTOTAL(101,_grav_32_13[work_time_avg])</f>
        <v>0.20940000000000003</v>
      </c>
      <c r="E12">
        <f>SUBTOTAL(101,_grav_32_13[work_time_max])</f>
        <v>0.24209999999999998</v>
      </c>
      <c r="F12">
        <f>SUBTOTAL(101,_grav_32_13[prep_time_min])</f>
        <v>9.0230000000000019E-4</v>
      </c>
      <c r="G12">
        <f>SUBTOTAL(101,_grav_32_13[prep_time_avg])</f>
        <v>2.1566999999999999E-2</v>
      </c>
      <c r="H12">
        <f>SUBTOTAL(101,_grav_32_13[prep_time_max])</f>
        <v>5.4588999999999999E-2</v>
      </c>
      <c r="I12">
        <f>SUBTOTAL(101,_grav_32_13[comm_time_min])</f>
        <v>6.157999999999999E-4</v>
      </c>
      <c r="J12">
        <f>SUBTOTAL(101,_grav_32_13[comm_time_avg])</f>
        <v>6.4540000000000008E-4</v>
      </c>
      <c r="K12">
        <f>SUBTOTAL(101,_grav_32_13[comm_time_max])</f>
        <v>6.9550000000000005E-4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49869-8691-4A25-984A-D4C75313AA85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0.13400000000000001</v>
      </c>
      <c r="C2">
        <v>0.121</v>
      </c>
      <c r="D2">
        <v>0.14299999999999999</v>
      </c>
      <c r="E2">
        <v>0.16700000000000001</v>
      </c>
      <c r="F2">
        <v>5.1599999999999997E-4</v>
      </c>
      <c r="G2">
        <v>1.1199999999999999E-3</v>
      </c>
      <c r="H2">
        <v>1.34E-3</v>
      </c>
      <c r="I2">
        <v>1.5100000000000001E-3</v>
      </c>
      <c r="J2">
        <v>1.58E-3</v>
      </c>
      <c r="K2">
        <v>1.6999999999999999E-3</v>
      </c>
    </row>
    <row r="3" spans="1:11" x14ac:dyDescent="0.25">
      <c r="A3">
        <v>2</v>
      </c>
      <c r="B3">
        <v>0.13200000000000001</v>
      </c>
      <c r="C3">
        <v>0.121</v>
      </c>
      <c r="D3">
        <v>0.14299999999999999</v>
      </c>
      <c r="E3">
        <v>0.16700000000000001</v>
      </c>
      <c r="F3">
        <v>3.3100000000000002E-4</v>
      </c>
      <c r="G3">
        <v>1.7000000000000001E-2</v>
      </c>
      <c r="H3">
        <v>4.4400000000000002E-2</v>
      </c>
      <c r="I3">
        <v>3.5100000000000002E-4</v>
      </c>
      <c r="J3">
        <v>3.6400000000000001E-4</v>
      </c>
      <c r="K3">
        <v>3.9199999999999999E-4</v>
      </c>
    </row>
    <row r="4" spans="1:11" x14ac:dyDescent="0.25">
      <c r="A4">
        <v>3</v>
      </c>
      <c r="B4">
        <v>0.13200000000000001</v>
      </c>
      <c r="C4">
        <v>0.121</v>
      </c>
      <c r="D4">
        <v>0.14299999999999999</v>
      </c>
      <c r="E4">
        <v>0.16700000000000001</v>
      </c>
      <c r="F4">
        <v>3.57E-4</v>
      </c>
      <c r="G4">
        <v>1.7000000000000001E-2</v>
      </c>
      <c r="H4">
        <v>4.4299999999999999E-2</v>
      </c>
      <c r="I4">
        <v>3.5799999999999997E-4</v>
      </c>
      <c r="J4">
        <v>3.8400000000000001E-4</v>
      </c>
      <c r="K4">
        <v>4.1300000000000001E-4</v>
      </c>
    </row>
    <row r="5" spans="1:11" x14ac:dyDescent="0.25">
      <c r="A5">
        <v>4</v>
      </c>
      <c r="B5">
        <v>0.13200000000000001</v>
      </c>
      <c r="C5">
        <v>0.121</v>
      </c>
      <c r="D5">
        <v>0.14299999999999999</v>
      </c>
      <c r="E5">
        <v>0.16700000000000001</v>
      </c>
      <c r="F5">
        <v>3.48E-4</v>
      </c>
      <c r="G5">
        <v>1.7000000000000001E-2</v>
      </c>
      <c r="H5">
        <v>4.4400000000000002E-2</v>
      </c>
      <c r="I5">
        <v>3.4299999999999999E-4</v>
      </c>
      <c r="J5">
        <v>3.6600000000000001E-4</v>
      </c>
      <c r="K5">
        <v>4.0000000000000002E-4</v>
      </c>
    </row>
    <row r="6" spans="1:11" x14ac:dyDescent="0.25">
      <c r="A6">
        <v>5</v>
      </c>
      <c r="B6">
        <v>0.13200000000000001</v>
      </c>
      <c r="C6">
        <v>0.121</v>
      </c>
      <c r="D6">
        <v>0.14299999999999999</v>
      </c>
      <c r="E6">
        <v>0.16700000000000001</v>
      </c>
      <c r="F6">
        <v>3.5199999999999999E-4</v>
      </c>
      <c r="G6">
        <v>1.7000000000000001E-2</v>
      </c>
      <c r="H6">
        <v>4.4400000000000002E-2</v>
      </c>
      <c r="I6">
        <v>3.5100000000000002E-4</v>
      </c>
      <c r="J6">
        <v>3.68E-4</v>
      </c>
      <c r="K6">
        <v>3.9399999999999998E-4</v>
      </c>
    </row>
    <row r="7" spans="1:11" x14ac:dyDescent="0.25">
      <c r="A7">
        <v>6</v>
      </c>
      <c r="B7">
        <v>0.13200000000000001</v>
      </c>
      <c r="C7">
        <v>0.121</v>
      </c>
      <c r="D7">
        <v>0.14299999999999999</v>
      </c>
      <c r="E7">
        <v>0.16700000000000001</v>
      </c>
      <c r="F7">
        <v>3.4699999999999998E-4</v>
      </c>
      <c r="G7">
        <v>1.7000000000000001E-2</v>
      </c>
      <c r="H7">
        <v>4.4299999999999999E-2</v>
      </c>
      <c r="I7">
        <v>3.4699999999999998E-4</v>
      </c>
      <c r="J7">
        <v>3.79E-4</v>
      </c>
      <c r="K7">
        <v>4.0400000000000001E-4</v>
      </c>
    </row>
    <row r="8" spans="1:11" x14ac:dyDescent="0.25">
      <c r="A8">
        <v>7</v>
      </c>
      <c r="B8">
        <v>0.13200000000000001</v>
      </c>
      <c r="C8">
        <v>0.121</v>
      </c>
      <c r="D8">
        <v>0.14299999999999999</v>
      </c>
      <c r="E8">
        <v>0.16700000000000001</v>
      </c>
      <c r="F8">
        <v>3.5300000000000002E-4</v>
      </c>
      <c r="G8">
        <v>1.7000000000000001E-2</v>
      </c>
      <c r="H8">
        <v>4.4299999999999999E-2</v>
      </c>
      <c r="I8">
        <v>3.4299999999999999E-4</v>
      </c>
      <c r="J8">
        <v>3.6900000000000002E-4</v>
      </c>
      <c r="K8">
        <v>3.97E-4</v>
      </c>
    </row>
    <row r="9" spans="1:11" x14ac:dyDescent="0.25">
      <c r="A9">
        <v>8</v>
      </c>
      <c r="B9">
        <v>0.13300000000000001</v>
      </c>
      <c r="C9">
        <v>0.123</v>
      </c>
      <c r="D9">
        <v>0.14399999999999999</v>
      </c>
      <c r="E9">
        <v>0.16700000000000001</v>
      </c>
      <c r="F9">
        <v>3.0800000000000001E-4</v>
      </c>
      <c r="G9">
        <v>1.7000000000000001E-2</v>
      </c>
      <c r="H9">
        <v>4.4400000000000002E-2</v>
      </c>
      <c r="I9">
        <v>3.59E-4</v>
      </c>
      <c r="J9">
        <v>3.8099999999999999E-4</v>
      </c>
      <c r="K9">
        <v>4.08E-4</v>
      </c>
    </row>
    <row r="10" spans="1:11" x14ac:dyDescent="0.25">
      <c r="A10">
        <v>9</v>
      </c>
      <c r="B10">
        <v>0.13200000000000001</v>
      </c>
      <c r="C10">
        <v>0.122</v>
      </c>
      <c r="D10">
        <v>0.14399999999999999</v>
      </c>
      <c r="E10">
        <v>0.16700000000000001</v>
      </c>
      <c r="F10">
        <v>3.6699999999999998E-4</v>
      </c>
      <c r="G10">
        <v>1.7000000000000001E-2</v>
      </c>
      <c r="H10">
        <v>4.4499999999999998E-2</v>
      </c>
      <c r="I10">
        <v>3.6600000000000001E-4</v>
      </c>
      <c r="J10">
        <v>3.9199999999999999E-4</v>
      </c>
      <c r="K10">
        <v>4.17E-4</v>
      </c>
    </row>
    <row r="11" spans="1:11" x14ac:dyDescent="0.25">
      <c r="A11">
        <v>10</v>
      </c>
      <c r="B11">
        <v>0.13600000000000001</v>
      </c>
      <c r="C11">
        <v>0.123</v>
      </c>
      <c r="D11">
        <v>0.14399999999999999</v>
      </c>
      <c r="E11">
        <v>0.16800000000000001</v>
      </c>
      <c r="F11">
        <v>2.3599999999999999E-4</v>
      </c>
      <c r="G11">
        <v>1.72E-2</v>
      </c>
      <c r="H11">
        <v>4.4600000000000001E-2</v>
      </c>
      <c r="I11">
        <v>3.6699999999999998E-4</v>
      </c>
      <c r="J11">
        <v>3.8699999999999997E-4</v>
      </c>
      <c r="K11">
        <v>4.2200000000000001E-4</v>
      </c>
    </row>
    <row r="12" spans="1:11" x14ac:dyDescent="0.25">
      <c r="A12" t="s">
        <v>20</v>
      </c>
      <c r="B12">
        <f>SUBTOTAL(101,_grav_32_12[total_time])</f>
        <v>0.13270000000000004</v>
      </c>
      <c r="C12">
        <f>SUBTOTAL(101,_grav_32_12[work_time_min])</f>
        <v>0.12150000000000001</v>
      </c>
      <c r="D12">
        <f>SUBTOTAL(101,_grav_32_12[work_time_avg])</f>
        <v>0.14329999999999996</v>
      </c>
      <c r="E12">
        <f>SUBTOTAL(101,_grav_32_12[work_time_max])</f>
        <v>0.1671</v>
      </c>
      <c r="F12">
        <f>SUBTOTAL(101,_grav_32_12[prep_time_min])</f>
        <v>3.5150000000000003E-4</v>
      </c>
      <c r="G12">
        <f>SUBTOTAL(101,_grav_32_12[prep_time_avg])</f>
        <v>1.5432000000000001E-2</v>
      </c>
      <c r="H12">
        <f>SUBTOTAL(101,_grav_32_12[prep_time_max])</f>
        <v>4.0093999999999998E-2</v>
      </c>
      <c r="I12">
        <f>SUBTOTAL(101,_grav_32_12[comm_time_min])</f>
        <v>4.6950000000000003E-4</v>
      </c>
      <c r="J12">
        <f>SUBTOTAL(101,_grav_32_12[comm_time_avg])</f>
        <v>4.9700000000000005E-4</v>
      </c>
      <c r="K12">
        <f>SUBTOTAL(101,_grav_32_12[comm_time_max])</f>
        <v>5.3470000000000004E-4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77487-068F-446E-8F60-A6A545E2195C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4.2799999999999998E-2</v>
      </c>
      <c r="C2">
        <v>4.3200000000000002E-2</v>
      </c>
      <c r="D2">
        <v>5.5E-2</v>
      </c>
      <c r="E2">
        <v>7.3300000000000004E-2</v>
      </c>
      <c r="F2">
        <v>4.6799999999999999E-4</v>
      </c>
      <c r="G2">
        <v>7.5000000000000002E-4</v>
      </c>
      <c r="H2">
        <v>8.7399999999999999E-4</v>
      </c>
      <c r="I2">
        <v>7.94E-4</v>
      </c>
      <c r="J2">
        <v>8.2700000000000004E-4</v>
      </c>
      <c r="K2">
        <v>8.8900000000000003E-4</v>
      </c>
    </row>
    <row r="3" spans="1:11" x14ac:dyDescent="0.25">
      <c r="A3">
        <v>2</v>
      </c>
      <c r="B3">
        <v>4.1200000000000001E-2</v>
      </c>
      <c r="C3">
        <v>4.2000000000000003E-2</v>
      </c>
      <c r="D3">
        <v>5.3900000000000003E-2</v>
      </c>
      <c r="E3">
        <v>7.3700000000000002E-2</v>
      </c>
      <c r="F3">
        <v>2.22E-4</v>
      </c>
      <c r="G3">
        <v>1.55E-2</v>
      </c>
      <c r="H3">
        <v>2.8500000000000001E-2</v>
      </c>
      <c r="I3">
        <v>2.2800000000000001E-4</v>
      </c>
      <c r="J3">
        <v>2.42E-4</v>
      </c>
      <c r="K3">
        <v>2.6200000000000003E-4</v>
      </c>
    </row>
    <row r="4" spans="1:11" x14ac:dyDescent="0.25">
      <c r="A4">
        <v>3</v>
      </c>
      <c r="B4">
        <v>4.1399999999999999E-2</v>
      </c>
      <c r="C4">
        <v>4.2599999999999999E-2</v>
      </c>
      <c r="D4">
        <v>5.3900000000000003E-2</v>
      </c>
      <c r="E4">
        <v>7.4300000000000005E-2</v>
      </c>
      <c r="F4">
        <v>1.7100000000000001E-4</v>
      </c>
      <c r="G4">
        <v>1.5900000000000001E-2</v>
      </c>
      <c r="H4">
        <v>2.8899999999999999E-2</v>
      </c>
      <c r="I4">
        <v>2.34E-4</v>
      </c>
      <c r="J4">
        <v>2.42E-4</v>
      </c>
      <c r="K4">
        <v>2.7099999999999997E-4</v>
      </c>
    </row>
    <row r="5" spans="1:11" x14ac:dyDescent="0.25">
      <c r="A5">
        <v>4</v>
      </c>
      <c r="B5">
        <v>4.19E-2</v>
      </c>
      <c r="C5">
        <v>4.2999999999999997E-2</v>
      </c>
      <c r="D5">
        <v>5.4600000000000003E-2</v>
      </c>
      <c r="E5">
        <v>7.2900000000000006E-2</v>
      </c>
      <c r="F5">
        <v>1.7100000000000001E-4</v>
      </c>
      <c r="G5">
        <v>1.6899999999999998E-2</v>
      </c>
      <c r="H5">
        <v>0.03</v>
      </c>
      <c r="I5">
        <v>2.2100000000000001E-4</v>
      </c>
      <c r="J5">
        <v>2.31E-4</v>
      </c>
      <c r="K5">
        <v>2.6200000000000003E-4</v>
      </c>
    </row>
    <row r="6" spans="1:11" x14ac:dyDescent="0.25">
      <c r="A6">
        <v>5</v>
      </c>
      <c r="B6">
        <v>4.0899999999999999E-2</v>
      </c>
      <c r="C6">
        <v>4.2000000000000003E-2</v>
      </c>
      <c r="D6">
        <v>5.3900000000000003E-2</v>
      </c>
      <c r="E6">
        <v>7.22E-2</v>
      </c>
      <c r="F6">
        <v>1.6699999999999999E-4</v>
      </c>
      <c r="G6">
        <v>1.5299999999999999E-2</v>
      </c>
      <c r="H6">
        <v>2.8799999999999999E-2</v>
      </c>
      <c r="I6">
        <v>2.4000000000000001E-4</v>
      </c>
      <c r="J6">
        <v>2.52E-4</v>
      </c>
      <c r="K6">
        <v>2.7900000000000001E-4</v>
      </c>
    </row>
    <row r="7" spans="1:11" x14ac:dyDescent="0.25">
      <c r="A7">
        <v>6</v>
      </c>
      <c r="B7">
        <v>4.1200000000000001E-2</v>
      </c>
      <c r="C7">
        <v>4.24E-2</v>
      </c>
      <c r="D7">
        <v>5.3900000000000003E-2</v>
      </c>
      <c r="E7">
        <v>7.22E-2</v>
      </c>
      <c r="F7">
        <v>1.1900000000000001E-4</v>
      </c>
      <c r="G7">
        <v>1.5100000000000001E-2</v>
      </c>
      <c r="H7">
        <v>2.81E-2</v>
      </c>
      <c r="I7">
        <v>2.2499999999999999E-4</v>
      </c>
      <c r="J7">
        <v>2.4399999999999999E-4</v>
      </c>
      <c r="K7">
        <v>2.5900000000000001E-4</v>
      </c>
    </row>
    <row r="8" spans="1:11" x14ac:dyDescent="0.25">
      <c r="A8">
        <v>7</v>
      </c>
      <c r="B8">
        <v>4.1200000000000001E-2</v>
      </c>
      <c r="C8">
        <v>4.2299999999999997E-2</v>
      </c>
      <c r="D8">
        <v>5.4199999999999998E-2</v>
      </c>
      <c r="E8">
        <v>7.22E-2</v>
      </c>
      <c r="F8">
        <v>1.64E-4</v>
      </c>
      <c r="G8">
        <v>1.4999999999999999E-2</v>
      </c>
      <c r="H8">
        <v>2.81E-2</v>
      </c>
      <c r="I8">
        <v>2.32E-4</v>
      </c>
      <c r="J8">
        <v>2.4499999999999999E-4</v>
      </c>
      <c r="K8">
        <v>2.7E-4</v>
      </c>
    </row>
    <row r="9" spans="1:11" x14ac:dyDescent="0.25">
      <c r="A9">
        <v>8</v>
      </c>
      <c r="B9">
        <v>4.1099999999999998E-2</v>
      </c>
      <c r="C9">
        <v>4.2200000000000001E-2</v>
      </c>
      <c r="D9">
        <v>5.3900000000000003E-2</v>
      </c>
      <c r="E9">
        <v>7.2099999999999997E-2</v>
      </c>
      <c r="F9">
        <v>1.63E-4</v>
      </c>
      <c r="G9">
        <v>1.4500000000000001E-2</v>
      </c>
      <c r="H9">
        <v>2.8000000000000001E-2</v>
      </c>
      <c r="I9">
        <v>2.33E-4</v>
      </c>
      <c r="J9">
        <v>2.4600000000000002E-4</v>
      </c>
      <c r="K9">
        <v>2.7099999999999997E-4</v>
      </c>
    </row>
    <row r="10" spans="1:11" x14ac:dyDescent="0.25">
      <c r="A10">
        <v>9</v>
      </c>
      <c r="B10">
        <v>4.0899999999999999E-2</v>
      </c>
      <c r="C10">
        <v>4.2099999999999999E-2</v>
      </c>
      <c r="D10">
        <v>5.3800000000000001E-2</v>
      </c>
      <c r="E10">
        <v>7.22E-2</v>
      </c>
      <c r="F10">
        <v>1.18E-4</v>
      </c>
      <c r="G10">
        <v>1.4999999999999999E-2</v>
      </c>
      <c r="H10">
        <v>2.7900000000000001E-2</v>
      </c>
      <c r="I10">
        <v>2.34E-4</v>
      </c>
      <c r="J10">
        <v>2.4899999999999998E-4</v>
      </c>
      <c r="K10">
        <v>2.7500000000000002E-4</v>
      </c>
    </row>
    <row r="11" spans="1:11" x14ac:dyDescent="0.25">
      <c r="A11">
        <v>10</v>
      </c>
      <c r="B11">
        <v>4.0899999999999999E-2</v>
      </c>
      <c r="C11">
        <v>4.2000000000000003E-2</v>
      </c>
      <c r="D11">
        <v>5.3999999999999999E-2</v>
      </c>
      <c r="E11">
        <v>7.2300000000000003E-2</v>
      </c>
      <c r="F11">
        <v>1.5300000000000001E-4</v>
      </c>
      <c r="G11">
        <v>1.4999999999999999E-2</v>
      </c>
      <c r="H11">
        <v>2.8000000000000001E-2</v>
      </c>
      <c r="I11">
        <v>2.2599999999999999E-4</v>
      </c>
      <c r="J11">
        <v>2.3599999999999999E-4</v>
      </c>
      <c r="K11">
        <v>2.6499999999999999E-4</v>
      </c>
    </row>
    <row r="12" spans="1:11" x14ac:dyDescent="0.25">
      <c r="A12" t="s">
        <v>20</v>
      </c>
      <c r="B12">
        <f>SUBTOTAL(101,_grav_32_11[total_time])</f>
        <v>4.1349999999999998E-2</v>
      </c>
      <c r="C12">
        <f>SUBTOTAL(101,_grav_32_11[work_time_min])</f>
        <v>4.2380000000000001E-2</v>
      </c>
      <c r="D12">
        <f>SUBTOTAL(101,_grav_32_11[work_time_avg])</f>
        <v>5.4110000000000005E-2</v>
      </c>
      <c r="E12">
        <f>SUBTOTAL(101,_grav_32_11[work_time_max])</f>
        <v>7.2739999999999999E-2</v>
      </c>
      <c r="F12">
        <f>SUBTOTAL(101,_grav_32_11[prep_time_min])</f>
        <v>1.916E-4</v>
      </c>
      <c r="G12">
        <f>SUBTOTAL(101,_grav_32_11[prep_time_avg])</f>
        <v>1.3894999999999999E-2</v>
      </c>
      <c r="H12">
        <f>SUBTOTAL(101,_grav_32_11[prep_time_max])</f>
        <v>2.5717400000000001E-2</v>
      </c>
      <c r="I12">
        <f>SUBTOTAL(101,_grav_32_11[comm_time_min])</f>
        <v>2.8669999999999998E-4</v>
      </c>
      <c r="J12">
        <f>SUBTOTAL(101,_grav_32_11[comm_time_avg])</f>
        <v>3.0140000000000006E-4</v>
      </c>
      <c r="K12">
        <f>SUBTOTAL(101,_grav_32_11[comm_time_max])</f>
        <v>3.3030000000000006E-4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A48CF-A581-49B9-89D2-105F7B1FDB7A}">
  <dimension ref="A1:K12"/>
  <sheetViews>
    <sheetView workbookViewId="0">
      <selection activeCell="D2" sqref="D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11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2.98E-2</v>
      </c>
      <c r="C2">
        <v>1.6400000000000001E-2</v>
      </c>
      <c r="D2">
        <v>2.1499999999999998E-2</v>
      </c>
      <c r="E2">
        <v>2.9399999999999999E-2</v>
      </c>
      <c r="F2">
        <v>2.7E-4</v>
      </c>
      <c r="G2">
        <v>1.2800000000000001E-2</v>
      </c>
      <c r="H2">
        <v>1.3299999999999999E-2</v>
      </c>
      <c r="I2">
        <v>6.78E-4</v>
      </c>
      <c r="J2">
        <v>6.9800000000000005E-4</v>
      </c>
      <c r="K2">
        <v>7.27E-4</v>
      </c>
    </row>
    <row r="3" spans="1:11" x14ac:dyDescent="0.25">
      <c r="A3">
        <v>2</v>
      </c>
      <c r="B3">
        <v>1.6400000000000001E-2</v>
      </c>
      <c r="C3">
        <v>1.6400000000000001E-2</v>
      </c>
      <c r="D3">
        <v>2.1499999999999998E-2</v>
      </c>
      <c r="E3">
        <v>2.9499999999999998E-2</v>
      </c>
      <c r="F3">
        <v>1.01E-4</v>
      </c>
      <c r="G3">
        <v>5.94E-3</v>
      </c>
      <c r="H3">
        <v>1.3100000000000001E-2</v>
      </c>
      <c r="I3">
        <v>1.8100000000000001E-4</v>
      </c>
      <c r="J3">
        <v>1.95E-4</v>
      </c>
      <c r="K3">
        <v>2.23E-4</v>
      </c>
    </row>
    <row r="4" spans="1:11" x14ac:dyDescent="0.25">
      <c r="A4">
        <v>3</v>
      </c>
      <c r="B4">
        <v>1.6400000000000001E-2</v>
      </c>
      <c r="C4">
        <v>1.6400000000000001E-2</v>
      </c>
      <c r="D4">
        <v>2.1499999999999998E-2</v>
      </c>
      <c r="E4">
        <v>2.9499999999999998E-2</v>
      </c>
      <c r="F4">
        <v>1.3899999999999999E-4</v>
      </c>
      <c r="G4">
        <v>6.0499999999999998E-3</v>
      </c>
      <c r="H4">
        <v>1.32E-2</v>
      </c>
      <c r="I4">
        <v>1.8599999999999999E-4</v>
      </c>
      <c r="J4">
        <v>1.9599999999999999E-4</v>
      </c>
      <c r="K4">
        <v>2.2499999999999999E-4</v>
      </c>
    </row>
    <row r="5" spans="1:11" x14ac:dyDescent="0.25">
      <c r="A5">
        <v>4</v>
      </c>
      <c r="B5">
        <v>2.58E-2</v>
      </c>
      <c r="C5">
        <v>1.6400000000000001E-2</v>
      </c>
      <c r="D5">
        <v>2.1499999999999998E-2</v>
      </c>
      <c r="E5">
        <v>2.9399999999999999E-2</v>
      </c>
      <c r="F5">
        <v>9.6600000000000002E-3</v>
      </c>
      <c r="G5">
        <v>1.5599999999999999E-2</v>
      </c>
      <c r="H5">
        <v>2.2700000000000001E-2</v>
      </c>
      <c r="I5">
        <v>1.6899999999999999E-4</v>
      </c>
      <c r="J5">
        <v>1.7699999999999999E-4</v>
      </c>
      <c r="K5">
        <v>2.02E-4</v>
      </c>
    </row>
    <row r="6" spans="1:11" x14ac:dyDescent="0.25">
      <c r="A6">
        <v>5</v>
      </c>
      <c r="B6">
        <v>1.6400000000000001E-2</v>
      </c>
      <c r="C6">
        <v>1.6400000000000001E-2</v>
      </c>
      <c r="D6">
        <v>2.1499999999999998E-2</v>
      </c>
      <c r="E6">
        <v>2.9499999999999998E-2</v>
      </c>
      <c r="F6">
        <v>1.3899999999999999E-4</v>
      </c>
      <c r="G6">
        <v>5.9500000000000004E-3</v>
      </c>
      <c r="H6">
        <v>1.3100000000000001E-2</v>
      </c>
      <c r="I6">
        <v>1.8200000000000001E-4</v>
      </c>
      <c r="J6">
        <v>1.93E-4</v>
      </c>
      <c r="K6">
        <v>2.23E-4</v>
      </c>
    </row>
    <row r="7" spans="1:11" x14ac:dyDescent="0.25">
      <c r="A7">
        <v>6</v>
      </c>
      <c r="B7">
        <v>1.6400000000000001E-2</v>
      </c>
      <c r="C7">
        <v>1.6400000000000001E-2</v>
      </c>
      <c r="D7">
        <v>2.1499999999999998E-2</v>
      </c>
      <c r="E7">
        <v>2.9499999999999998E-2</v>
      </c>
      <c r="F7">
        <v>1.44E-4</v>
      </c>
      <c r="G7">
        <v>6.0600000000000003E-3</v>
      </c>
      <c r="H7">
        <v>1.32E-2</v>
      </c>
      <c r="I7">
        <v>1.7699999999999999E-4</v>
      </c>
      <c r="J7">
        <v>1.92E-4</v>
      </c>
      <c r="K7">
        <v>2.22E-4</v>
      </c>
    </row>
    <row r="8" spans="1:11" x14ac:dyDescent="0.25">
      <c r="A8">
        <v>7</v>
      </c>
      <c r="B8">
        <v>2.46E-2</v>
      </c>
      <c r="C8">
        <v>1.6400000000000001E-2</v>
      </c>
      <c r="D8">
        <v>2.1499999999999998E-2</v>
      </c>
      <c r="E8">
        <v>2.9399999999999999E-2</v>
      </c>
      <c r="F8">
        <v>8.4399999999999996E-3</v>
      </c>
      <c r="G8">
        <v>1.43E-2</v>
      </c>
      <c r="H8">
        <v>2.1499999999999998E-2</v>
      </c>
      <c r="I8">
        <v>1.6699999999999999E-4</v>
      </c>
      <c r="J8">
        <v>1.7799999999999999E-4</v>
      </c>
      <c r="K8">
        <v>2.0100000000000001E-4</v>
      </c>
    </row>
    <row r="9" spans="1:11" x14ac:dyDescent="0.25">
      <c r="A9">
        <v>8</v>
      </c>
      <c r="B9">
        <v>1.6400000000000001E-2</v>
      </c>
      <c r="C9">
        <v>1.6400000000000001E-2</v>
      </c>
      <c r="D9">
        <v>2.1499999999999998E-2</v>
      </c>
      <c r="E9">
        <v>2.9600000000000001E-2</v>
      </c>
      <c r="F9">
        <v>1.3999999999999999E-4</v>
      </c>
      <c r="G9">
        <v>5.9500000000000004E-3</v>
      </c>
      <c r="H9">
        <v>1.3100000000000001E-2</v>
      </c>
      <c r="I9">
        <v>1.7899999999999999E-4</v>
      </c>
      <c r="J9">
        <v>1.8900000000000001E-4</v>
      </c>
      <c r="K9">
        <v>2.2000000000000001E-4</v>
      </c>
    </row>
    <row r="10" spans="1:11" x14ac:dyDescent="0.25">
      <c r="A10">
        <v>9</v>
      </c>
      <c r="B10">
        <v>1.6400000000000001E-2</v>
      </c>
      <c r="C10">
        <v>1.6400000000000001E-2</v>
      </c>
      <c r="D10">
        <v>2.1499999999999998E-2</v>
      </c>
      <c r="E10">
        <v>2.9499999999999998E-2</v>
      </c>
      <c r="F10">
        <v>1.37E-4</v>
      </c>
      <c r="G10">
        <v>6.13E-3</v>
      </c>
      <c r="H10">
        <v>1.3299999999999999E-2</v>
      </c>
      <c r="I10">
        <v>1.7799999999999999E-4</v>
      </c>
      <c r="J10">
        <v>1.9000000000000001E-4</v>
      </c>
      <c r="K10">
        <v>2.1900000000000001E-4</v>
      </c>
    </row>
    <row r="11" spans="1:11" x14ac:dyDescent="0.25">
      <c r="A11">
        <v>10</v>
      </c>
      <c r="B11">
        <v>2.4799999999999999E-2</v>
      </c>
      <c r="C11">
        <v>1.6400000000000001E-2</v>
      </c>
      <c r="D11">
        <v>2.1600000000000001E-2</v>
      </c>
      <c r="E11">
        <v>0.03</v>
      </c>
      <c r="F11">
        <v>8.3899999999999999E-3</v>
      </c>
      <c r="G11">
        <v>1.43E-2</v>
      </c>
      <c r="H11">
        <v>2.1399999999999999E-2</v>
      </c>
      <c r="I11">
        <v>1.7200000000000001E-4</v>
      </c>
      <c r="J11">
        <v>1.8100000000000001E-4</v>
      </c>
      <c r="K11">
        <v>2.05E-4</v>
      </c>
    </row>
    <row r="12" spans="1:11" x14ac:dyDescent="0.25">
      <c r="A12" t="s">
        <v>20</v>
      </c>
      <c r="B12">
        <f>SUBTOTAL(101,_grav_32_10[total_time])</f>
        <v>2.034E-2</v>
      </c>
      <c r="C12">
        <f>SUBTOTAL(101,_grav_32_10[work_time_min])</f>
        <v>1.6400000000000001E-2</v>
      </c>
      <c r="D12">
        <f>SUBTOTAL(101,_grav_32_10[work_time_avg])</f>
        <v>2.1509999999999994E-2</v>
      </c>
      <c r="E12">
        <f>SUBTOTAL(101,_grav_32_10[work_time_max])</f>
        <v>2.9530000000000001E-2</v>
      </c>
      <c r="F12">
        <f>SUBTOTAL(101,_grav_32_10[prep_time_min])</f>
        <v>2.7560000000000002E-3</v>
      </c>
      <c r="G12">
        <f>SUBTOTAL(101,_grav_32_10[prep_time_avg])</f>
        <v>9.3080000000000003E-3</v>
      </c>
      <c r="H12">
        <f>SUBTOTAL(101,_grav_32_10[prep_time_max])</f>
        <v>1.5790000000000002E-2</v>
      </c>
      <c r="I12">
        <f>SUBTOTAL(101,_grav_32_10[comm_time_min])</f>
        <v>2.2689999999999999E-4</v>
      </c>
      <c r="J12">
        <f>SUBTOTAL(101,_grav_32_10[comm_time_avg])</f>
        <v>2.3890000000000006E-4</v>
      </c>
      <c r="K12">
        <f>SUBTOTAL(101,_grav_32_10[comm_time_max])</f>
        <v>2.6669999999999998E-4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C050F-0A55-46A5-B83C-4E07F6C74865}">
  <dimension ref="A1:M14"/>
  <sheetViews>
    <sheetView tabSelected="1" workbookViewId="0">
      <selection sqref="A1:H2"/>
    </sheetView>
  </sheetViews>
  <sheetFormatPr baseColWidth="10" defaultRowHeight="15" x14ac:dyDescent="0.25"/>
  <cols>
    <col min="1" max="13" width="15.7109375" customWidth="1"/>
  </cols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G1" t="s">
        <v>17</v>
      </c>
      <c r="H1" t="s">
        <v>18</v>
      </c>
      <c r="M1" t="s">
        <v>19</v>
      </c>
    </row>
    <row r="2" spans="1:13" x14ac:dyDescent="0.25">
      <c r="A2">
        <f>POWER(2,M2)</f>
        <v>1024</v>
      </c>
      <c r="B2">
        <f>_grav_32_10[[#Totals],[total_time]]</f>
        <v>2.034E-2</v>
      </c>
      <c r="C2">
        <f>_grav_32_10[[#Totals],[work_time_avg]]</f>
        <v>2.1509999999999994E-2</v>
      </c>
      <c r="D2">
        <f>_grav_32_10[[#Totals],[prep_time_avg]]</f>
        <v>9.3080000000000003E-3</v>
      </c>
      <c r="E2">
        <f>_grav_32_10[[#Totals],[comm_time_avg]]</f>
        <v>2.3890000000000006E-4</v>
      </c>
      <c r="H2">
        <f>B2/A2</f>
        <v>1.986328125E-5</v>
      </c>
      <c r="M2">
        <v>10</v>
      </c>
    </row>
    <row r="3" spans="1:13" x14ac:dyDescent="0.25">
      <c r="A3">
        <f t="shared" ref="A3:B14" si="0">POWER(2,M3)</f>
        <v>2048</v>
      </c>
      <c r="B3" s="1">
        <f>_grav_32_11[[#Totals],[total_time]]</f>
        <v>4.1349999999999998E-2</v>
      </c>
      <c r="C3">
        <f>_grav_32_11[[#Totals],[work_time_avg]]</f>
        <v>5.4110000000000005E-2</v>
      </c>
      <c r="D3">
        <f>_grav_32_11[[#Totals],[prep_time_avg]]</f>
        <v>1.3894999999999999E-2</v>
      </c>
      <c r="E3">
        <f>_grav_32_11[[#Totals],[comm_time_avg]]</f>
        <v>3.0140000000000006E-4</v>
      </c>
      <c r="G3">
        <f>B3/B2</f>
        <v>2.0329400196656833</v>
      </c>
      <c r="H3">
        <f t="shared" ref="H3:H14" si="1">B3/A3</f>
        <v>2.0190429687499999E-5</v>
      </c>
      <c r="M3">
        <v>11</v>
      </c>
    </row>
    <row r="4" spans="1:13" x14ac:dyDescent="0.25">
      <c r="A4">
        <f t="shared" si="0"/>
        <v>4096</v>
      </c>
      <c r="B4">
        <f>_grav_32_12[[#Totals],[total_time]]</f>
        <v>0.13270000000000004</v>
      </c>
      <c r="C4">
        <f>_grav_32_12[[#Totals],[work_time_avg]]</f>
        <v>0.14329999999999996</v>
      </c>
      <c r="D4">
        <f>_grav_32_12[[#Totals],[prep_time_avg]]</f>
        <v>1.5432000000000001E-2</v>
      </c>
      <c r="E4">
        <f>_grav_32_12[[#Totals],[comm_time_avg]]</f>
        <v>4.9700000000000005E-4</v>
      </c>
      <c r="G4">
        <f t="shared" ref="G4:G14" si="2">B4/B3</f>
        <v>3.2091898428053214</v>
      </c>
      <c r="H4">
        <f t="shared" si="1"/>
        <v>3.239746093750001E-5</v>
      </c>
      <c r="M4">
        <v>12</v>
      </c>
    </row>
    <row r="5" spans="1:13" x14ac:dyDescent="0.25">
      <c r="A5">
        <f t="shared" si="0"/>
        <v>8192</v>
      </c>
      <c r="B5">
        <f>_grav_32_13[[#Totals],[total_time]]</f>
        <v>0.17439999999999994</v>
      </c>
      <c r="C5">
        <f>_grav_32_13[[#Totals],[work_time_avg]]</f>
        <v>0.20940000000000003</v>
      </c>
      <c r="D5">
        <f>_grav_32_13[[#Totals],[prep_time_avg]]</f>
        <v>2.1566999999999999E-2</v>
      </c>
      <c r="E5">
        <f>_grav_32_13[[#Totals],[comm_time_avg]]</f>
        <v>6.4540000000000008E-4</v>
      </c>
      <c r="G5">
        <f t="shared" si="2"/>
        <v>1.3142426525998485</v>
      </c>
      <c r="H5">
        <f t="shared" si="1"/>
        <v>2.1289062499999993E-5</v>
      </c>
      <c r="M5">
        <v>13</v>
      </c>
    </row>
    <row r="6" spans="1:13" x14ac:dyDescent="0.25">
      <c r="A6">
        <f t="shared" si="0"/>
        <v>16384</v>
      </c>
      <c r="B6">
        <f>_grav_32_14[[#Totals],[total_time]]</f>
        <v>0.45019999999999999</v>
      </c>
      <c r="C6">
        <f>_grav_32_14[[#Totals],[work_time_avg]]</f>
        <v>0.61459999999999992</v>
      </c>
      <c r="D6">
        <f>_grav_32_14[[#Totals],[prep_time_avg]]</f>
        <v>9.5206999999999986E-2</v>
      </c>
      <c r="E6">
        <f>_grav_32_14[[#Totals],[comm_time_avg]]</f>
        <v>9.5530000000000007E-4</v>
      </c>
      <c r="G6">
        <f t="shared" si="2"/>
        <v>2.5814220183486247</v>
      </c>
      <c r="H6">
        <f t="shared" si="1"/>
        <v>2.7478027343749999E-5</v>
      </c>
      <c r="M6">
        <v>14</v>
      </c>
    </row>
    <row r="7" spans="1:13" x14ac:dyDescent="0.25">
      <c r="A7">
        <f t="shared" si="0"/>
        <v>32768</v>
      </c>
      <c r="B7">
        <f>_grav_32_15[[#Totals],[total_time]]</f>
        <v>1.8699999999999999</v>
      </c>
      <c r="C7">
        <f>_grav_32_15[[#Totals],[work_time_avg]]</f>
        <v>1.9630000000000003</v>
      </c>
      <c r="D7">
        <f>_grav_32_15[[#Totals],[prep_time_avg]]</f>
        <v>0.177595</v>
      </c>
      <c r="E7">
        <f>_grav_32_15[[#Totals],[comm_time_avg]]</f>
        <v>1.5969999999999999E-3</v>
      </c>
      <c r="G7">
        <f t="shared" si="2"/>
        <v>4.1537094624611282</v>
      </c>
      <c r="H7">
        <f t="shared" si="1"/>
        <v>5.7067871093749996E-5</v>
      </c>
      <c r="M7">
        <v>15</v>
      </c>
    </row>
    <row r="8" spans="1:13" x14ac:dyDescent="0.25">
      <c r="A8">
        <f t="shared" si="0"/>
        <v>65536</v>
      </c>
      <c r="B8">
        <f>_grav_32_16[[#Totals],[total_time]]</f>
        <v>2.2350000000000003</v>
      </c>
      <c r="C8">
        <f>_grav_32_16[[#Totals],[work_time_avg]]</f>
        <v>2.391</v>
      </c>
      <c r="D8">
        <f>_grav_32_16[[#Totals],[prep_time_avg]]</f>
        <v>0.18004999999999999</v>
      </c>
      <c r="E8">
        <f>_grav_32_16[[#Totals],[comm_time_avg]]</f>
        <v>1.6040000000000002E-3</v>
      </c>
      <c r="G8">
        <f t="shared" si="2"/>
        <v>1.1951871657754014</v>
      </c>
      <c r="H8">
        <f t="shared" si="1"/>
        <v>3.4103393554687505E-5</v>
      </c>
      <c r="M8">
        <v>16</v>
      </c>
    </row>
    <row r="9" spans="1:13" x14ac:dyDescent="0.25">
      <c r="A9">
        <f t="shared" si="0"/>
        <v>131072</v>
      </c>
      <c r="B9">
        <f>_grav_32_17[[#Totals],[total_time]]</f>
        <v>6.181</v>
      </c>
      <c r="C9">
        <f>_grav_32_17[[#Totals],[work_time_avg]]</f>
        <v>6.3890000000000002</v>
      </c>
      <c r="D9">
        <f>_grav_32_17[[#Totals],[prep_time_avg]]</f>
        <v>0.25397000000000003</v>
      </c>
      <c r="E9">
        <f>_grav_32_17[[#Totals],[comm_time_avg]]</f>
        <v>2.336E-3</v>
      </c>
      <c r="G9">
        <f t="shared" si="2"/>
        <v>2.765548098434004</v>
      </c>
      <c r="H9">
        <f t="shared" si="1"/>
        <v>4.715728759765625E-5</v>
      </c>
      <c r="M9">
        <v>17</v>
      </c>
    </row>
    <row r="10" spans="1:13" x14ac:dyDescent="0.25">
      <c r="A10">
        <f t="shared" si="0"/>
        <v>262144</v>
      </c>
      <c r="B10">
        <f>_grav_32_18[[#Totals],[total_time]]</f>
        <v>15.539999999999997</v>
      </c>
      <c r="C10">
        <f>_grav_32_18[[#Totals],[work_time_avg]]</f>
        <v>24.890000000000004</v>
      </c>
      <c r="D10">
        <f>_grav_32_18[[#Totals],[prep_time_avg]]</f>
        <v>10.234959999999999</v>
      </c>
      <c r="E10">
        <f>_grav_32_18[[#Totals],[comm_time_avg]]</f>
        <v>4.6230000000000004E-3</v>
      </c>
      <c r="G10">
        <f t="shared" si="2"/>
        <v>2.5141562853907131</v>
      </c>
      <c r="H10">
        <f t="shared" si="1"/>
        <v>5.928039550781249E-5</v>
      </c>
      <c r="M10">
        <v>18</v>
      </c>
    </row>
    <row r="11" spans="1:13" x14ac:dyDescent="0.25">
      <c r="A11">
        <f t="shared" si="0"/>
        <v>524288</v>
      </c>
      <c r="B11">
        <f>_grav_32_19[[#Totals],[total_time]]</f>
        <v>18.609999999999996</v>
      </c>
      <c r="C11">
        <f>_grav_32_19[[#Totals],[work_time_avg]]</f>
        <v>28.609999999999996</v>
      </c>
      <c r="D11">
        <f>_grav_32_19[[#Totals],[prep_time_avg]]</f>
        <v>10.521099999999999</v>
      </c>
      <c r="E11">
        <f>_grav_32_19[[#Totals],[comm_time_avg]]</f>
        <v>4.9519999999999998E-3</v>
      </c>
      <c r="G11">
        <f t="shared" si="2"/>
        <v>1.1975546975546976</v>
      </c>
      <c r="H11">
        <f t="shared" si="1"/>
        <v>3.5495758056640617E-5</v>
      </c>
      <c r="M11">
        <v>19</v>
      </c>
    </row>
    <row r="12" spans="1:13" x14ac:dyDescent="0.25">
      <c r="A12">
        <f t="shared" si="0"/>
        <v>1048576</v>
      </c>
      <c r="B12">
        <f>_grav_32_20[[#Totals],[total_time]]</f>
        <v>49.45</v>
      </c>
      <c r="C12">
        <f>_grav_32_20[[#Totals],[work_time_avg]]</f>
        <v>73.88000000000001</v>
      </c>
      <c r="D12">
        <f>_grav_32_20[[#Totals],[prep_time_avg]]</f>
        <v>41.131699999999995</v>
      </c>
      <c r="E12">
        <f>_grav_32_20[[#Totals],[comm_time_avg]]</f>
        <v>8.7550000000000006E-3</v>
      </c>
      <c r="G12">
        <f t="shared" si="2"/>
        <v>2.6571735626007529</v>
      </c>
      <c r="H12">
        <f t="shared" si="1"/>
        <v>4.7159194946289065E-5</v>
      </c>
      <c r="M12">
        <v>20</v>
      </c>
    </row>
    <row r="13" spans="1:13" x14ac:dyDescent="0.25">
      <c r="A13">
        <f t="shared" si="0"/>
        <v>2097152</v>
      </c>
      <c r="B13">
        <f>_grav_32_21[[#Totals],[total_time]]</f>
        <v>132.11111111111111</v>
      </c>
      <c r="C13">
        <f>_grav_32_21[[#Totals],[work_time_avg]]</f>
        <v>157.11111111111111</v>
      </c>
      <c r="D13">
        <f>_grav_32_21[[#Totals],[prep_time_avg]]</f>
        <v>162.84</v>
      </c>
      <c r="E13">
        <f>_grav_32_21[[#Totals],[comm_time_avg]]</f>
        <v>1.4544444444444447E-2</v>
      </c>
      <c r="G13">
        <f t="shared" si="2"/>
        <v>2.6716099314683741</v>
      </c>
      <c r="H13">
        <f t="shared" si="1"/>
        <v>6.2995486789279515E-5</v>
      </c>
      <c r="M13">
        <v>21</v>
      </c>
    </row>
    <row r="14" spans="1:13" x14ac:dyDescent="0.25">
      <c r="A14">
        <f t="shared" si="0"/>
        <v>4194304</v>
      </c>
      <c r="B14">
        <f>_grav_32_22[[#Totals],[total_time]]</f>
        <v>190.8</v>
      </c>
      <c r="C14">
        <f>_grav_32_22[[#Totals],[work_time_avg]]</f>
        <v>187.5</v>
      </c>
      <c r="D14">
        <f>_grav_32_22[[#Totals],[prep_time_avg]]</f>
        <v>21.69</v>
      </c>
      <c r="E14">
        <f>_grav_32_22[[#Totals],[comm_time_avg]]</f>
        <v>0.59614999999999996</v>
      </c>
      <c r="G14">
        <f t="shared" si="2"/>
        <v>1.4442388561816653</v>
      </c>
      <c r="H14">
        <f t="shared" si="1"/>
        <v>4.5490264892578128E-5</v>
      </c>
      <c r="M14">
        <v>22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66295-D9F6-424B-8023-C3A569CFCF18}">
  <dimension ref="A1:K11"/>
  <sheetViews>
    <sheetView workbookViewId="0">
      <selection activeCell="K11" sqref="B11:K11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132</v>
      </c>
      <c r="C2">
        <v>133</v>
      </c>
      <c r="D2">
        <v>157</v>
      </c>
      <c r="E2">
        <v>368</v>
      </c>
      <c r="F2">
        <v>0.20200000000000001</v>
      </c>
      <c r="G2">
        <v>0.56000000000000005</v>
      </c>
      <c r="H2">
        <v>0.60299999999999998</v>
      </c>
      <c r="I2">
        <v>1.5299999999999999E-2</v>
      </c>
      <c r="J2">
        <v>2.0199999999999999E-2</v>
      </c>
      <c r="K2">
        <v>2.3400000000000001E-2</v>
      </c>
    </row>
    <row r="3" spans="1:11" x14ac:dyDescent="0.25">
      <c r="A3">
        <v>2</v>
      </c>
      <c r="B3">
        <v>132</v>
      </c>
      <c r="C3">
        <v>133</v>
      </c>
      <c r="D3">
        <v>157</v>
      </c>
      <c r="E3">
        <v>368</v>
      </c>
      <c r="F3">
        <v>0.217</v>
      </c>
      <c r="G3">
        <v>182</v>
      </c>
      <c r="H3">
        <v>235</v>
      </c>
      <c r="I3">
        <v>1.09E-2</v>
      </c>
      <c r="J3">
        <v>1.35E-2</v>
      </c>
      <c r="K3">
        <v>1.67E-2</v>
      </c>
    </row>
    <row r="4" spans="1:11" x14ac:dyDescent="0.25">
      <c r="A4">
        <v>3</v>
      </c>
      <c r="B4">
        <v>132</v>
      </c>
      <c r="C4">
        <v>133</v>
      </c>
      <c r="D4">
        <v>157</v>
      </c>
      <c r="E4">
        <v>368</v>
      </c>
      <c r="F4">
        <v>0.21299999999999999</v>
      </c>
      <c r="G4">
        <v>182</v>
      </c>
      <c r="H4">
        <v>235</v>
      </c>
      <c r="I4">
        <v>1.0999999999999999E-2</v>
      </c>
      <c r="J4">
        <v>1.37E-2</v>
      </c>
      <c r="K4">
        <v>1.7899999999999999E-2</v>
      </c>
    </row>
    <row r="5" spans="1:11" x14ac:dyDescent="0.25">
      <c r="A5">
        <v>4</v>
      </c>
      <c r="B5">
        <v>132</v>
      </c>
      <c r="C5">
        <v>133</v>
      </c>
      <c r="D5">
        <v>157</v>
      </c>
      <c r="E5">
        <v>368</v>
      </c>
      <c r="F5">
        <v>0.215</v>
      </c>
      <c r="G5">
        <v>182</v>
      </c>
      <c r="H5">
        <v>235</v>
      </c>
      <c r="I5">
        <v>1.0800000000000001E-2</v>
      </c>
      <c r="J5">
        <v>1.35E-2</v>
      </c>
      <c r="K5">
        <v>1.7500000000000002E-2</v>
      </c>
    </row>
    <row r="6" spans="1:11" x14ac:dyDescent="0.25">
      <c r="A6">
        <v>5</v>
      </c>
      <c r="B6">
        <v>132</v>
      </c>
      <c r="C6">
        <v>133</v>
      </c>
      <c r="D6">
        <v>157</v>
      </c>
      <c r="E6">
        <v>368</v>
      </c>
      <c r="F6">
        <v>0.215</v>
      </c>
      <c r="G6">
        <v>182</v>
      </c>
      <c r="H6">
        <v>235</v>
      </c>
      <c r="I6">
        <v>1.0800000000000001E-2</v>
      </c>
      <c r="J6">
        <v>1.3599999999999999E-2</v>
      </c>
      <c r="K6">
        <v>1.77E-2</v>
      </c>
    </row>
    <row r="7" spans="1:11" x14ac:dyDescent="0.25">
      <c r="A7">
        <v>6</v>
      </c>
      <c r="B7">
        <v>132</v>
      </c>
      <c r="C7">
        <v>133</v>
      </c>
      <c r="D7">
        <v>157</v>
      </c>
      <c r="E7">
        <v>368</v>
      </c>
      <c r="F7">
        <v>0.218</v>
      </c>
      <c r="G7">
        <v>182</v>
      </c>
      <c r="H7">
        <v>235</v>
      </c>
      <c r="I7">
        <v>1.2500000000000001E-2</v>
      </c>
      <c r="J7">
        <v>1.52E-2</v>
      </c>
      <c r="K7">
        <v>1.89E-2</v>
      </c>
    </row>
    <row r="8" spans="1:11" x14ac:dyDescent="0.25">
      <c r="A8">
        <v>7</v>
      </c>
      <c r="B8">
        <v>132</v>
      </c>
      <c r="C8">
        <v>133</v>
      </c>
      <c r="D8">
        <v>157</v>
      </c>
      <c r="E8">
        <v>368</v>
      </c>
      <c r="F8">
        <v>0.214</v>
      </c>
      <c r="G8">
        <v>182</v>
      </c>
      <c r="H8">
        <v>235</v>
      </c>
      <c r="I8">
        <v>1.0699999999999999E-2</v>
      </c>
      <c r="J8">
        <v>1.3599999999999999E-2</v>
      </c>
      <c r="K8">
        <v>1.8700000000000001E-2</v>
      </c>
    </row>
    <row r="9" spans="1:11" x14ac:dyDescent="0.25">
      <c r="A9">
        <v>8</v>
      </c>
      <c r="B9">
        <v>133</v>
      </c>
      <c r="C9">
        <v>133</v>
      </c>
      <c r="D9">
        <v>158</v>
      </c>
      <c r="E9">
        <v>380</v>
      </c>
      <c r="F9">
        <v>0.20699999999999999</v>
      </c>
      <c r="G9">
        <v>182</v>
      </c>
      <c r="H9">
        <v>235</v>
      </c>
      <c r="I9">
        <v>1.09E-2</v>
      </c>
      <c r="J9">
        <v>1.37E-2</v>
      </c>
      <c r="K9">
        <v>1.8499999999999999E-2</v>
      </c>
    </row>
    <row r="10" spans="1:11" x14ac:dyDescent="0.25">
      <c r="A10">
        <v>9</v>
      </c>
      <c r="B10">
        <v>132</v>
      </c>
      <c r="C10">
        <v>133</v>
      </c>
      <c r="D10">
        <v>157</v>
      </c>
      <c r="E10">
        <v>368</v>
      </c>
      <c r="F10">
        <v>0.214</v>
      </c>
      <c r="G10">
        <v>191</v>
      </c>
      <c r="H10">
        <v>246</v>
      </c>
      <c r="I10">
        <v>1.11E-2</v>
      </c>
      <c r="J10">
        <v>1.3899999999999999E-2</v>
      </c>
      <c r="K10">
        <v>1.9E-2</v>
      </c>
    </row>
    <row r="11" spans="1:11" x14ac:dyDescent="0.25">
      <c r="A11" t="s">
        <v>20</v>
      </c>
      <c r="B11">
        <f>SUBTOTAL(101,_grav_32_21[total_time])</f>
        <v>132.11111111111111</v>
      </c>
      <c r="C11">
        <f>SUBTOTAL(101,_grav_32_21[work_time_min])</f>
        <v>133</v>
      </c>
      <c r="D11">
        <f>SUBTOTAL(101,_grav_32_21[work_time_avg])</f>
        <v>157.11111111111111</v>
      </c>
      <c r="E11">
        <f>SUBTOTAL(101,_grav_32_21[work_time_max])</f>
        <v>369.33333333333331</v>
      </c>
      <c r="F11">
        <f>SUBTOTAL(101,_grav_32_21[prep_time_min])</f>
        <v>0.21277777777777779</v>
      </c>
      <c r="G11">
        <f>SUBTOTAL(101,_grav_32_21[prep_time_avg])</f>
        <v>162.84</v>
      </c>
      <c r="H11">
        <f>SUBTOTAL(101,_grav_32_21[prep_time_max])</f>
        <v>210.17811111111112</v>
      </c>
      <c r="I11">
        <f>SUBTOTAL(101,_grav_32_21[comm_time_min])</f>
        <v>1.1555555555555557E-2</v>
      </c>
      <c r="J11">
        <f>SUBTOTAL(101,_grav_32_21[comm_time_avg])</f>
        <v>1.4544444444444447E-2</v>
      </c>
      <c r="K11">
        <f>SUBTOTAL(101,_grav_32_21[comm_time_max])</f>
        <v>1.8699999999999998E-2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E51B-97D1-440C-B707-FE2E788EB3DC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49.6</v>
      </c>
      <c r="C2">
        <v>50</v>
      </c>
      <c r="D2">
        <v>73.7</v>
      </c>
      <c r="E2">
        <v>135</v>
      </c>
      <c r="F2">
        <v>0.109</v>
      </c>
      <c r="G2">
        <v>0.217</v>
      </c>
      <c r="H2">
        <v>0.23599999999999999</v>
      </c>
      <c r="I2">
        <v>9.3799999999999994E-3</v>
      </c>
      <c r="J2">
        <v>1.12E-2</v>
      </c>
      <c r="K2">
        <v>1.26E-2</v>
      </c>
    </row>
    <row r="3" spans="1:11" x14ac:dyDescent="0.25">
      <c r="A3">
        <v>2</v>
      </c>
      <c r="B3">
        <v>49.4</v>
      </c>
      <c r="C3">
        <v>50</v>
      </c>
      <c r="D3">
        <v>73.7</v>
      </c>
      <c r="E3">
        <v>135</v>
      </c>
      <c r="F3">
        <v>8.5800000000000001E-2</v>
      </c>
      <c r="G3">
        <v>45.4</v>
      </c>
      <c r="H3">
        <v>84.3</v>
      </c>
      <c r="I3">
        <v>7.0400000000000003E-3</v>
      </c>
      <c r="J3">
        <v>8.5000000000000006E-3</v>
      </c>
      <c r="K3">
        <v>1.06E-2</v>
      </c>
    </row>
    <row r="4" spans="1:11" x14ac:dyDescent="0.25">
      <c r="A4">
        <v>3</v>
      </c>
      <c r="B4">
        <v>49.4</v>
      </c>
      <c r="C4">
        <v>50</v>
      </c>
      <c r="D4">
        <v>73.7</v>
      </c>
      <c r="E4">
        <v>135</v>
      </c>
      <c r="F4">
        <v>8.6199999999999999E-2</v>
      </c>
      <c r="G4">
        <v>45.4</v>
      </c>
      <c r="H4">
        <v>84.2</v>
      </c>
      <c r="I4">
        <v>7.0000000000000001E-3</v>
      </c>
      <c r="J4">
        <v>8.5599999999999999E-3</v>
      </c>
      <c r="K4">
        <v>1.0699999999999999E-2</v>
      </c>
    </row>
    <row r="5" spans="1:11" x14ac:dyDescent="0.25">
      <c r="A5">
        <v>4</v>
      </c>
      <c r="B5">
        <v>49.4</v>
      </c>
      <c r="C5">
        <v>50</v>
      </c>
      <c r="D5">
        <v>73.7</v>
      </c>
      <c r="E5">
        <v>135</v>
      </c>
      <c r="F5">
        <v>7.9799999999999996E-2</v>
      </c>
      <c r="G5">
        <v>45.4</v>
      </c>
      <c r="H5">
        <v>84.3</v>
      </c>
      <c r="I5">
        <v>7.2199999999999999E-3</v>
      </c>
      <c r="J5">
        <v>8.8000000000000005E-3</v>
      </c>
      <c r="K5">
        <v>1.0699999999999999E-2</v>
      </c>
    </row>
    <row r="6" spans="1:11" x14ac:dyDescent="0.25">
      <c r="A6">
        <v>5</v>
      </c>
      <c r="B6">
        <v>49.4</v>
      </c>
      <c r="C6">
        <v>50</v>
      </c>
      <c r="D6">
        <v>73.7</v>
      </c>
      <c r="E6">
        <v>135</v>
      </c>
      <c r="F6">
        <v>8.6800000000000002E-2</v>
      </c>
      <c r="G6">
        <v>45.4</v>
      </c>
      <c r="H6">
        <v>84.2</v>
      </c>
      <c r="I6">
        <v>6.7499999999999999E-3</v>
      </c>
      <c r="J6">
        <v>8.3300000000000006E-3</v>
      </c>
      <c r="K6">
        <v>1.03E-2</v>
      </c>
    </row>
    <row r="7" spans="1:11" x14ac:dyDescent="0.25">
      <c r="A7">
        <v>6</v>
      </c>
      <c r="B7">
        <v>49.4</v>
      </c>
      <c r="C7">
        <v>50</v>
      </c>
      <c r="D7">
        <v>73.7</v>
      </c>
      <c r="E7">
        <v>135</v>
      </c>
      <c r="F7">
        <v>8.7099999999999997E-2</v>
      </c>
      <c r="G7">
        <v>45.4</v>
      </c>
      <c r="H7">
        <v>84.2</v>
      </c>
      <c r="I7">
        <v>6.77E-3</v>
      </c>
      <c r="J7">
        <v>8.3700000000000007E-3</v>
      </c>
      <c r="K7">
        <v>1.03E-2</v>
      </c>
    </row>
    <row r="8" spans="1:11" x14ac:dyDescent="0.25">
      <c r="A8">
        <v>7</v>
      </c>
      <c r="B8">
        <v>49.4</v>
      </c>
      <c r="C8">
        <v>50</v>
      </c>
      <c r="D8">
        <v>73.7</v>
      </c>
      <c r="E8">
        <v>135</v>
      </c>
      <c r="F8">
        <v>8.5699999999999998E-2</v>
      </c>
      <c r="G8">
        <v>45.4</v>
      </c>
      <c r="H8">
        <v>84.2</v>
      </c>
      <c r="I8">
        <v>6.7400000000000003E-3</v>
      </c>
      <c r="J8">
        <v>8.3599999999999994E-3</v>
      </c>
      <c r="K8">
        <v>1.04E-2</v>
      </c>
    </row>
    <row r="9" spans="1:11" x14ac:dyDescent="0.25">
      <c r="A9">
        <v>8</v>
      </c>
      <c r="B9">
        <v>49.6</v>
      </c>
      <c r="C9">
        <v>50.2</v>
      </c>
      <c r="D9">
        <v>75.099999999999994</v>
      </c>
      <c r="E9">
        <v>139</v>
      </c>
      <c r="F9">
        <v>8.5999999999999993E-2</v>
      </c>
      <c r="G9">
        <v>45.4</v>
      </c>
      <c r="H9">
        <v>84.3</v>
      </c>
      <c r="I9">
        <v>7.0200000000000002E-3</v>
      </c>
      <c r="J9">
        <v>8.5000000000000006E-3</v>
      </c>
      <c r="K9">
        <v>1.06E-2</v>
      </c>
    </row>
    <row r="10" spans="1:11" x14ac:dyDescent="0.25">
      <c r="A10">
        <v>9</v>
      </c>
      <c r="B10">
        <v>49.4</v>
      </c>
      <c r="C10">
        <v>50</v>
      </c>
      <c r="D10">
        <v>73.7</v>
      </c>
      <c r="E10">
        <v>135</v>
      </c>
      <c r="F10">
        <v>8.8200000000000001E-2</v>
      </c>
      <c r="G10">
        <v>47.9</v>
      </c>
      <c r="H10">
        <v>88.7</v>
      </c>
      <c r="I10">
        <v>6.9300000000000004E-3</v>
      </c>
      <c r="J10">
        <v>8.5800000000000008E-3</v>
      </c>
      <c r="K10">
        <v>1.0500000000000001E-2</v>
      </c>
    </row>
    <row r="11" spans="1:11" x14ac:dyDescent="0.25">
      <c r="A11">
        <v>10</v>
      </c>
      <c r="B11">
        <v>49.5</v>
      </c>
      <c r="C11">
        <v>50</v>
      </c>
      <c r="D11">
        <v>74.099999999999994</v>
      </c>
      <c r="E11">
        <v>136</v>
      </c>
      <c r="F11">
        <v>8.7300000000000003E-2</v>
      </c>
      <c r="G11">
        <v>45.4</v>
      </c>
      <c r="H11">
        <v>84.3</v>
      </c>
      <c r="I11">
        <v>6.7200000000000003E-3</v>
      </c>
      <c r="J11">
        <v>8.3499999999999998E-3</v>
      </c>
      <c r="K11">
        <v>1.03E-2</v>
      </c>
    </row>
    <row r="12" spans="1:11" x14ac:dyDescent="0.25">
      <c r="A12" t="s">
        <v>20</v>
      </c>
      <c r="B12">
        <f>SUBTOTAL(101,_grav_32_20[total_time])</f>
        <v>49.45</v>
      </c>
      <c r="C12">
        <f>SUBTOTAL(101,_grav_32_20[work_time_min])</f>
        <v>50.019999999999996</v>
      </c>
      <c r="D12">
        <f>SUBTOTAL(101,_grav_32_20[work_time_avg])</f>
        <v>73.88000000000001</v>
      </c>
      <c r="E12">
        <f>SUBTOTAL(101,_grav_32_20[work_time_max])</f>
        <v>135.5</v>
      </c>
      <c r="F12">
        <f>SUBTOTAL(101,_grav_32_20[prep_time_min])</f>
        <v>8.8190000000000004E-2</v>
      </c>
      <c r="G12">
        <f>SUBTOTAL(101,_grav_32_20[prep_time_avg])</f>
        <v>41.131699999999995</v>
      </c>
      <c r="H12">
        <f>SUBTOTAL(101,_grav_32_20[prep_time_max])</f>
        <v>76.293599999999998</v>
      </c>
      <c r="I12">
        <f>SUBTOTAL(101,_grav_32_20[comm_time_min])</f>
        <v>7.157000000000001E-3</v>
      </c>
      <c r="J12">
        <f>SUBTOTAL(101,_grav_32_20[comm_time_avg])</f>
        <v>8.7550000000000006E-3</v>
      </c>
      <c r="K12">
        <f>SUBTOTAL(101,_grav_32_20[comm_time_max])</f>
        <v>1.0699999999999999E-2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3CC37-B96C-4942-ADB2-2E9F2FEDF076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18.600000000000001</v>
      </c>
      <c r="C2">
        <v>19</v>
      </c>
      <c r="D2">
        <v>28.6</v>
      </c>
      <c r="E2">
        <v>44.8</v>
      </c>
      <c r="F2">
        <v>5.3499999999999999E-2</v>
      </c>
      <c r="G2">
        <v>0.111</v>
      </c>
      <c r="H2">
        <v>0.11899999999999999</v>
      </c>
      <c r="I2">
        <v>5.6499999999999996E-3</v>
      </c>
      <c r="J2">
        <v>6.4000000000000003E-3</v>
      </c>
      <c r="K2">
        <v>7.1799999999999998E-3</v>
      </c>
    </row>
    <row r="3" spans="1:11" x14ac:dyDescent="0.25">
      <c r="A3">
        <v>2</v>
      </c>
      <c r="B3">
        <v>18.600000000000001</v>
      </c>
      <c r="C3">
        <v>19</v>
      </c>
      <c r="D3">
        <v>28.6</v>
      </c>
      <c r="E3">
        <v>44.8</v>
      </c>
      <c r="F3">
        <v>3.6999999999999998E-2</v>
      </c>
      <c r="G3">
        <v>11.6</v>
      </c>
      <c r="H3">
        <v>25.8</v>
      </c>
      <c r="I3">
        <v>4.0000000000000001E-3</v>
      </c>
      <c r="J3">
        <v>5.2100000000000002E-3</v>
      </c>
      <c r="K3">
        <v>6.2399999999999999E-3</v>
      </c>
    </row>
    <row r="4" spans="1:11" x14ac:dyDescent="0.25">
      <c r="A4">
        <v>3</v>
      </c>
      <c r="B4">
        <v>18.600000000000001</v>
      </c>
      <c r="C4">
        <v>19</v>
      </c>
      <c r="D4">
        <v>28.5</v>
      </c>
      <c r="E4">
        <v>44.8</v>
      </c>
      <c r="F4">
        <v>3.5700000000000003E-2</v>
      </c>
      <c r="G4">
        <v>11.6</v>
      </c>
      <c r="H4">
        <v>25.8</v>
      </c>
      <c r="I4">
        <v>4.7999999999999996E-3</v>
      </c>
      <c r="J4">
        <v>5.7200000000000003E-3</v>
      </c>
      <c r="K4">
        <v>6.6499999999999997E-3</v>
      </c>
    </row>
    <row r="5" spans="1:11" x14ac:dyDescent="0.25">
      <c r="A5">
        <v>4</v>
      </c>
      <c r="B5">
        <v>18.600000000000001</v>
      </c>
      <c r="C5">
        <v>19</v>
      </c>
      <c r="D5">
        <v>28.6</v>
      </c>
      <c r="E5">
        <v>44.8</v>
      </c>
      <c r="F5">
        <v>3.5499999999999997E-2</v>
      </c>
      <c r="G5">
        <v>11.6</v>
      </c>
      <c r="H5">
        <v>25.8</v>
      </c>
      <c r="I5">
        <v>3.8899999999999998E-3</v>
      </c>
      <c r="J5">
        <v>5.13E-3</v>
      </c>
      <c r="K5">
        <v>6.2300000000000003E-3</v>
      </c>
    </row>
    <row r="6" spans="1:11" x14ac:dyDescent="0.25">
      <c r="A6">
        <v>5</v>
      </c>
      <c r="B6">
        <v>18.600000000000001</v>
      </c>
      <c r="C6">
        <v>19</v>
      </c>
      <c r="D6">
        <v>28.5</v>
      </c>
      <c r="E6">
        <v>44.8</v>
      </c>
      <c r="F6">
        <v>3.6700000000000003E-2</v>
      </c>
      <c r="G6">
        <v>11.6</v>
      </c>
      <c r="H6">
        <v>25.8</v>
      </c>
      <c r="I6">
        <v>2.8300000000000001E-3</v>
      </c>
      <c r="J6">
        <v>3.8700000000000002E-3</v>
      </c>
      <c r="K6">
        <v>4.7099999999999998E-3</v>
      </c>
    </row>
    <row r="7" spans="1:11" x14ac:dyDescent="0.25">
      <c r="A7">
        <v>6</v>
      </c>
      <c r="B7">
        <v>18.600000000000001</v>
      </c>
      <c r="C7">
        <v>18.899999999999999</v>
      </c>
      <c r="D7">
        <v>28.5</v>
      </c>
      <c r="E7">
        <v>44.8</v>
      </c>
      <c r="F7">
        <v>3.7100000000000001E-2</v>
      </c>
      <c r="G7">
        <v>11.6</v>
      </c>
      <c r="H7">
        <v>25.8</v>
      </c>
      <c r="I7">
        <v>3.5400000000000002E-3</v>
      </c>
      <c r="J7">
        <v>4.7099999999999998E-3</v>
      </c>
      <c r="K7">
        <v>5.6600000000000001E-3</v>
      </c>
    </row>
    <row r="8" spans="1:11" x14ac:dyDescent="0.25">
      <c r="A8">
        <v>7</v>
      </c>
      <c r="B8">
        <v>18.600000000000001</v>
      </c>
      <c r="C8">
        <v>19</v>
      </c>
      <c r="D8">
        <v>28.5</v>
      </c>
      <c r="E8">
        <v>44.8</v>
      </c>
      <c r="F8">
        <v>3.5900000000000001E-2</v>
      </c>
      <c r="G8">
        <v>11.6</v>
      </c>
      <c r="H8">
        <v>25.8</v>
      </c>
      <c r="I8">
        <v>3.8500000000000001E-3</v>
      </c>
      <c r="J8">
        <v>4.6899999999999997E-3</v>
      </c>
      <c r="K8">
        <v>5.5100000000000001E-3</v>
      </c>
    </row>
    <row r="9" spans="1:11" x14ac:dyDescent="0.25">
      <c r="A9">
        <v>8</v>
      </c>
      <c r="B9">
        <v>18.7</v>
      </c>
      <c r="C9">
        <v>19</v>
      </c>
      <c r="D9">
        <v>29.1</v>
      </c>
      <c r="E9">
        <v>46.3</v>
      </c>
      <c r="F9">
        <v>3.5799999999999998E-2</v>
      </c>
      <c r="G9">
        <v>11.6</v>
      </c>
      <c r="H9">
        <v>25.8</v>
      </c>
      <c r="I9">
        <v>3.96E-3</v>
      </c>
      <c r="J9">
        <v>5.2500000000000003E-3</v>
      </c>
      <c r="K9">
        <v>6.2899999999999996E-3</v>
      </c>
    </row>
    <row r="10" spans="1:11" x14ac:dyDescent="0.25">
      <c r="A10">
        <v>9</v>
      </c>
      <c r="B10">
        <v>18.600000000000001</v>
      </c>
      <c r="C10">
        <v>18.899999999999999</v>
      </c>
      <c r="D10">
        <v>28.5</v>
      </c>
      <c r="E10">
        <v>44.8</v>
      </c>
      <c r="F10">
        <v>3.6499999999999998E-2</v>
      </c>
      <c r="G10">
        <v>12.3</v>
      </c>
      <c r="H10">
        <v>27.2</v>
      </c>
      <c r="I10">
        <v>2.8300000000000001E-3</v>
      </c>
      <c r="J10">
        <v>3.8400000000000001E-3</v>
      </c>
      <c r="K10">
        <v>4.7299999999999998E-3</v>
      </c>
    </row>
    <row r="11" spans="1:11" x14ac:dyDescent="0.25">
      <c r="A11">
        <v>10</v>
      </c>
      <c r="B11">
        <v>18.600000000000001</v>
      </c>
      <c r="C11">
        <v>19</v>
      </c>
      <c r="D11">
        <v>28.7</v>
      </c>
      <c r="E11">
        <v>45.3</v>
      </c>
      <c r="F11">
        <v>3.7199999999999997E-2</v>
      </c>
      <c r="G11">
        <v>11.6</v>
      </c>
      <c r="H11">
        <v>25.8</v>
      </c>
      <c r="I11">
        <v>3.5300000000000002E-3</v>
      </c>
      <c r="J11">
        <v>4.7000000000000002E-3</v>
      </c>
      <c r="K11">
        <v>5.6699999999999997E-3</v>
      </c>
    </row>
    <row r="12" spans="1:11" x14ac:dyDescent="0.25">
      <c r="A12" t="s">
        <v>20</v>
      </c>
      <c r="B12">
        <f>SUBTOTAL(101,_grav_32_19[total_time])</f>
        <v>18.609999999999996</v>
      </c>
      <c r="C12">
        <f>SUBTOTAL(101,_grav_32_19[work_time_min])</f>
        <v>18.98</v>
      </c>
      <c r="D12">
        <f>SUBTOTAL(101,_grav_32_19[work_time_avg])</f>
        <v>28.609999999999996</v>
      </c>
      <c r="E12">
        <f>SUBTOTAL(101,_grav_32_19[work_time_max])</f>
        <v>45.000000000000007</v>
      </c>
      <c r="F12">
        <f>SUBTOTAL(101,_grav_32_19[prep_time_min])</f>
        <v>3.8089999999999999E-2</v>
      </c>
      <c r="G12">
        <f>SUBTOTAL(101,_grav_32_19[prep_time_avg])</f>
        <v>10.521099999999999</v>
      </c>
      <c r="H12">
        <f>SUBTOTAL(101,_grav_32_19[prep_time_max])</f>
        <v>23.371900000000004</v>
      </c>
      <c r="I12">
        <f>SUBTOTAL(101,_grav_32_19[comm_time_min])</f>
        <v>3.888E-3</v>
      </c>
      <c r="J12">
        <f>SUBTOTAL(101,_grav_32_19[comm_time_avg])</f>
        <v>4.9519999999999998E-3</v>
      </c>
      <c r="K12">
        <f>SUBTOTAL(101,_grav_32_19[comm_time_max])</f>
        <v>5.886999999999999E-3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9FB61-070E-4228-B129-23CE04387372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15.6</v>
      </c>
      <c r="C2">
        <v>15.6</v>
      </c>
      <c r="D2">
        <v>24.9</v>
      </c>
      <c r="E2">
        <v>44</v>
      </c>
      <c r="F2">
        <v>2.0199999999999999E-2</v>
      </c>
      <c r="G2">
        <v>4.9599999999999998E-2</v>
      </c>
      <c r="H2">
        <v>5.2999999999999999E-2</v>
      </c>
      <c r="I2">
        <v>4.9899999999999996E-3</v>
      </c>
      <c r="J2">
        <v>5.77E-3</v>
      </c>
      <c r="K2">
        <v>6.5599999999999999E-3</v>
      </c>
    </row>
    <row r="3" spans="1:11" x14ac:dyDescent="0.25">
      <c r="A3">
        <v>2</v>
      </c>
      <c r="B3">
        <v>15.5</v>
      </c>
      <c r="C3">
        <v>15.6</v>
      </c>
      <c r="D3">
        <v>24.8</v>
      </c>
      <c r="E3">
        <v>44</v>
      </c>
      <c r="F3">
        <v>2.3400000000000001E-2</v>
      </c>
      <c r="G3">
        <v>11.3</v>
      </c>
      <c r="H3">
        <v>28.3</v>
      </c>
      <c r="I3">
        <v>3.8899999999999998E-3</v>
      </c>
      <c r="J3">
        <v>4.8999999999999998E-3</v>
      </c>
      <c r="K3">
        <v>5.8300000000000001E-3</v>
      </c>
    </row>
    <row r="4" spans="1:11" x14ac:dyDescent="0.25">
      <c r="A4">
        <v>3</v>
      </c>
      <c r="B4">
        <v>15.5</v>
      </c>
      <c r="C4">
        <v>15.6</v>
      </c>
      <c r="D4">
        <v>24.8</v>
      </c>
      <c r="E4">
        <v>44</v>
      </c>
      <c r="F4">
        <v>2.2800000000000001E-2</v>
      </c>
      <c r="G4">
        <v>11.3</v>
      </c>
      <c r="H4">
        <v>28.3</v>
      </c>
      <c r="I4">
        <v>3.4399999999999999E-3</v>
      </c>
      <c r="J4">
        <v>4.3899999999999998E-3</v>
      </c>
      <c r="K4">
        <v>5.1700000000000001E-3</v>
      </c>
    </row>
    <row r="5" spans="1:11" x14ac:dyDescent="0.25">
      <c r="A5">
        <v>4</v>
      </c>
      <c r="B5">
        <v>15.5</v>
      </c>
      <c r="C5">
        <v>15.6</v>
      </c>
      <c r="D5">
        <v>24.8</v>
      </c>
      <c r="E5">
        <v>44</v>
      </c>
      <c r="F5">
        <v>1.5699999999999999E-2</v>
      </c>
      <c r="G5">
        <v>11.3</v>
      </c>
      <c r="H5">
        <v>28.3</v>
      </c>
      <c r="I5">
        <v>3.4199999999999999E-3</v>
      </c>
      <c r="J5">
        <v>4.3800000000000002E-3</v>
      </c>
      <c r="K5">
        <v>5.1799999999999997E-3</v>
      </c>
    </row>
    <row r="6" spans="1:11" x14ac:dyDescent="0.25">
      <c r="A6">
        <v>5</v>
      </c>
      <c r="B6">
        <v>15.5</v>
      </c>
      <c r="C6">
        <v>15.6</v>
      </c>
      <c r="D6">
        <v>24.8</v>
      </c>
      <c r="E6">
        <v>44</v>
      </c>
      <c r="F6">
        <v>2.18E-2</v>
      </c>
      <c r="G6">
        <v>11.3</v>
      </c>
      <c r="H6">
        <v>28.3</v>
      </c>
      <c r="I6">
        <v>3.5999999999999999E-3</v>
      </c>
      <c r="J6">
        <v>4.47E-3</v>
      </c>
      <c r="K6">
        <v>5.2500000000000003E-3</v>
      </c>
    </row>
    <row r="7" spans="1:11" x14ac:dyDescent="0.25">
      <c r="A7">
        <v>6</v>
      </c>
      <c r="B7">
        <v>15.5</v>
      </c>
      <c r="C7">
        <v>15.6</v>
      </c>
      <c r="D7">
        <v>24.8</v>
      </c>
      <c r="E7">
        <v>44</v>
      </c>
      <c r="F7">
        <v>2.1700000000000001E-2</v>
      </c>
      <c r="G7">
        <v>11.3</v>
      </c>
      <c r="H7">
        <v>28.3</v>
      </c>
      <c r="I7">
        <v>4.28E-3</v>
      </c>
      <c r="J7">
        <v>4.9800000000000001E-3</v>
      </c>
      <c r="K7">
        <v>5.6899999999999997E-3</v>
      </c>
    </row>
    <row r="8" spans="1:11" x14ac:dyDescent="0.25">
      <c r="A8">
        <v>7</v>
      </c>
      <c r="B8">
        <v>15.5</v>
      </c>
      <c r="C8">
        <v>15.6</v>
      </c>
      <c r="D8">
        <v>24.8</v>
      </c>
      <c r="E8">
        <v>44</v>
      </c>
      <c r="F8">
        <v>2.2499999999999999E-2</v>
      </c>
      <c r="G8">
        <v>11.3</v>
      </c>
      <c r="H8">
        <v>28.3</v>
      </c>
      <c r="I8">
        <v>3.29E-3</v>
      </c>
      <c r="J8">
        <v>3.9699999999999996E-3</v>
      </c>
      <c r="K8">
        <v>4.5999999999999999E-3</v>
      </c>
    </row>
    <row r="9" spans="1:11" x14ac:dyDescent="0.25">
      <c r="A9">
        <v>8</v>
      </c>
      <c r="B9">
        <v>15.6</v>
      </c>
      <c r="C9">
        <v>15.7</v>
      </c>
      <c r="D9">
        <v>25.4</v>
      </c>
      <c r="E9">
        <v>45.7</v>
      </c>
      <c r="F9">
        <v>2.24E-2</v>
      </c>
      <c r="G9">
        <v>11.3</v>
      </c>
      <c r="H9">
        <v>28.3</v>
      </c>
      <c r="I9">
        <v>3.3600000000000001E-3</v>
      </c>
      <c r="J9">
        <v>4.2399999999999998E-3</v>
      </c>
      <c r="K9">
        <v>5.1200000000000004E-3</v>
      </c>
    </row>
    <row r="10" spans="1:11" x14ac:dyDescent="0.25">
      <c r="A10">
        <v>9</v>
      </c>
      <c r="B10">
        <v>15.6</v>
      </c>
      <c r="C10">
        <v>15.6</v>
      </c>
      <c r="D10">
        <v>24.8</v>
      </c>
      <c r="E10">
        <v>44</v>
      </c>
      <c r="F10">
        <v>2.1700000000000001E-2</v>
      </c>
      <c r="G10">
        <v>11.9</v>
      </c>
      <c r="H10">
        <v>29.9</v>
      </c>
      <c r="I10">
        <v>3.8899999999999998E-3</v>
      </c>
      <c r="J10">
        <v>4.5399999999999998E-3</v>
      </c>
      <c r="K10">
        <v>5.1700000000000001E-3</v>
      </c>
    </row>
    <row r="11" spans="1:11" x14ac:dyDescent="0.25">
      <c r="A11">
        <v>10</v>
      </c>
      <c r="B11">
        <v>15.6</v>
      </c>
      <c r="C11">
        <v>15.7</v>
      </c>
      <c r="D11">
        <v>25</v>
      </c>
      <c r="E11">
        <v>44.5</v>
      </c>
      <c r="F11">
        <v>2.23E-2</v>
      </c>
      <c r="G11">
        <v>11.3</v>
      </c>
      <c r="H11">
        <v>28.3</v>
      </c>
      <c r="I11">
        <v>3.82E-3</v>
      </c>
      <c r="J11">
        <v>4.5900000000000003E-3</v>
      </c>
      <c r="K11">
        <v>5.1599999999999997E-3</v>
      </c>
    </row>
    <row r="12" spans="1:11" x14ac:dyDescent="0.25">
      <c r="A12" t="s">
        <v>20</v>
      </c>
      <c r="B12">
        <f>SUBTOTAL(101,_grav_32_18[total_time])</f>
        <v>15.539999999999997</v>
      </c>
      <c r="C12">
        <f>SUBTOTAL(101,_grav_32_18[work_time_min])</f>
        <v>15.62</v>
      </c>
      <c r="D12">
        <f>SUBTOTAL(101,_grav_32_18[work_time_avg])</f>
        <v>24.890000000000004</v>
      </c>
      <c r="E12">
        <f>SUBTOTAL(101,_grav_32_18[work_time_max])</f>
        <v>44.22</v>
      </c>
      <c r="F12">
        <f>SUBTOTAL(101,_grav_32_18[prep_time_min])</f>
        <v>2.1450000000000004E-2</v>
      </c>
      <c r="G12">
        <f>SUBTOTAL(101,_grav_32_18[prep_time_avg])</f>
        <v>10.234959999999999</v>
      </c>
      <c r="H12">
        <f>SUBTOTAL(101,_grav_32_18[prep_time_max])</f>
        <v>25.635300000000001</v>
      </c>
      <c r="I12">
        <f>SUBTOTAL(101,_grav_32_18[comm_time_min])</f>
        <v>3.7979999999999993E-3</v>
      </c>
      <c r="J12">
        <f>SUBTOTAL(101,_grav_32_18[comm_time_avg])</f>
        <v>4.6230000000000004E-3</v>
      </c>
      <c r="K12">
        <f>SUBTOTAL(101,_grav_32_18[comm_time_max])</f>
        <v>5.3730000000000002E-3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7931-DD4D-44F4-8186-69F154E5063E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6.17</v>
      </c>
      <c r="C2">
        <v>5.93</v>
      </c>
      <c r="D2">
        <v>6.38</v>
      </c>
      <c r="E2">
        <v>6.73</v>
      </c>
      <c r="F2">
        <v>1.1299999999999999E-2</v>
      </c>
      <c r="G2">
        <v>1.2699999999999999E-2</v>
      </c>
      <c r="H2">
        <v>1.3899999999999999E-2</v>
      </c>
      <c r="I2">
        <v>3.1199999999999999E-3</v>
      </c>
      <c r="J2">
        <v>3.6099999999999999E-3</v>
      </c>
      <c r="K2">
        <v>4.0400000000000002E-3</v>
      </c>
    </row>
    <row r="3" spans="1:11" x14ac:dyDescent="0.25">
      <c r="A3">
        <v>2</v>
      </c>
      <c r="B3">
        <v>6.17</v>
      </c>
      <c r="C3">
        <v>5.93</v>
      </c>
      <c r="D3">
        <v>6.38</v>
      </c>
      <c r="E3">
        <v>6.73</v>
      </c>
      <c r="F3">
        <v>9.9500000000000005E-3</v>
      </c>
      <c r="G3">
        <v>0.27700000000000002</v>
      </c>
      <c r="H3">
        <v>0.81499999999999995</v>
      </c>
      <c r="I3">
        <v>2.0400000000000001E-3</v>
      </c>
      <c r="J3">
        <v>2.33E-3</v>
      </c>
      <c r="K3">
        <v>2.6099999999999999E-3</v>
      </c>
    </row>
    <row r="4" spans="1:11" x14ac:dyDescent="0.25">
      <c r="A4">
        <v>3</v>
      </c>
      <c r="B4">
        <v>6.17</v>
      </c>
      <c r="C4">
        <v>5.92</v>
      </c>
      <c r="D4">
        <v>6.38</v>
      </c>
      <c r="E4">
        <v>6.73</v>
      </c>
      <c r="F4">
        <v>6.7000000000000002E-3</v>
      </c>
      <c r="G4">
        <v>0.28299999999999997</v>
      </c>
      <c r="H4">
        <v>0.82599999999999996</v>
      </c>
      <c r="I4">
        <v>1.99E-3</v>
      </c>
      <c r="J4">
        <v>2.5600000000000002E-3</v>
      </c>
      <c r="K4">
        <v>3.0200000000000001E-3</v>
      </c>
    </row>
    <row r="5" spans="1:11" x14ac:dyDescent="0.25">
      <c r="A5">
        <v>4</v>
      </c>
      <c r="B5">
        <v>6.17</v>
      </c>
      <c r="C5">
        <v>5.93</v>
      </c>
      <c r="D5">
        <v>6.38</v>
      </c>
      <c r="E5">
        <v>6.73</v>
      </c>
      <c r="F5">
        <v>9.6600000000000002E-3</v>
      </c>
      <c r="G5">
        <v>0.27600000000000002</v>
      </c>
      <c r="H5">
        <v>0.81200000000000006</v>
      </c>
      <c r="I5">
        <v>1.6900000000000001E-3</v>
      </c>
      <c r="J5">
        <v>1.92E-3</v>
      </c>
      <c r="K5">
        <v>2.2200000000000002E-3</v>
      </c>
    </row>
    <row r="6" spans="1:11" x14ac:dyDescent="0.25">
      <c r="A6">
        <v>5</v>
      </c>
      <c r="B6">
        <v>6.18</v>
      </c>
      <c r="C6">
        <v>5.93</v>
      </c>
      <c r="D6">
        <v>6.38</v>
      </c>
      <c r="E6">
        <v>6.73</v>
      </c>
      <c r="F6">
        <v>9.9000000000000008E-3</v>
      </c>
      <c r="G6">
        <v>0.27700000000000002</v>
      </c>
      <c r="H6">
        <v>0.81699999999999995</v>
      </c>
      <c r="I6">
        <v>2.0400000000000001E-3</v>
      </c>
      <c r="J6">
        <v>2.33E-3</v>
      </c>
      <c r="K6">
        <v>2.63E-3</v>
      </c>
    </row>
    <row r="7" spans="1:11" x14ac:dyDescent="0.25">
      <c r="A7">
        <v>6</v>
      </c>
      <c r="B7">
        <v>6.17</v>
      </c>
      <c r="C7">
        <v>5.93</v>
      </c>
      <c r="D7">
        <v>6.38</v>
      </c>
      <c r="E7">
        <v>6.73</v>
      </c>
      <c r="F7">
        <v>9.5399999999999999E-3</v>
      </c>
      <c r="G7">
        <v>0.27300000000000002</v>
      </c>
      <c r="H7">
        <v>0.80900000000000005</v>
      </c>
      <c r="I7">
        <v>1.67E-3</v>
      </c>
      <c r="J7">
        <v>1.91E-3</v>
      </c>
      <c r="K7">
        <v>2.2100000000000002E-3</v>
      </c>
    </row>
    <row r="8" spans="1:11" x14ac:dyDescent="0.25">
      <c r="A8">
        <v>7</v>
      </c>
      <c r="B8">
        <v>6.18</v>
      </c>
      <c r="C8">
        <v>5.92</v>
      </c>
      <c r="D8">
        <v>6.38</v>
      </c>
      <c r="E8">
        <v>6.73</v>
      </c>
      <c r="F8">
        <v>1.17E-2</v>
      </c>
      <c r="G8">
        <v>0.28000000000000003</v>
      </c>
      <c r="H8">
        <v>0.81699999999999995</v>
      </c>
      <c r="I8">
        <v>2.2699999999999999E-3</v>
      </c>
      <c r="J8">
        <v>3.0599999999999998E-3</v>
      </c>
      <c r="K8">
        <v>3.5799999999999998E-3</v>
      </c>
    </row>
    <row r="9" spans="1:11" x14ac:dyDescent="0.25">
      <c r="A9">
        <v>8</v>
      </c>
      <c r="B9">
        <v>6.24</v>
      </c>
      <c r="C9">
        <v>5.96</v>
      </c>
      <c r="D9">
        <v>6.44</v>
      </c>
      <c r="E9">
        <v>6.8</v>
      </c>
      <c r="F9">
        <v>9.58E-3</v>
      </c>
      <c r="G9">
        <v>0.27500000000000002</v>
      </c>
      <c r="H9">
        <v>0.81399999999999995</v>
      </c>
      <c r="I9">
        <v>1.66E-3</v>
      </c>
      <c r="J9">
        <v>1.89E-3</v>
      </c>
      <c r="K9">
        <v>2.1800000000000001E-3</v>
      </c>
    </row>
    <row r="10" spans="1:11" x14ac:dyDescent="0.25">
      <c r="A10">
        <v>9</v>
      </c>
      <c r="B10">
        <v>6.17</v>
      </c>
      <c r="C10">
        <v>5.92</v>
      </c>
      <c r="D10">
        <v>6.39</v>
      </c>
      <c r="E10">
        <v>6.75</v>
      </c>
      <c r="F10">
        <v>9.3600000000000003E-3</v>
      </c>
      <c r="G10">
        <v>0.29599999999999999</v>
      </c>
      <c r="H10">
        <v>0.85699999999999998</v>
      </c>
      <c r="I10">
        <v>1.65E-3</v>
      </c>
      <c r="J10">
        <v>1.89E-3</v>
      </c>
      <c r="K10">
        <v>2.1800000000000001E-3</v>
      </c>
    </row>
    <row r="11" spans="1:11" x14ac:dyDescent="0.25">
      <c r="A11">
        <v>10</v>
      </c>
      <c r="B11">
        <v>6.19</v>
      </c>
      <c r="C11">
        <v>5.93</v>
      </c>
      <c r="D11">
        <v>6.4</v>
      </c>
      <c r="E11">
        <v>6.77</v>
      </c>
      <c r="F11">
        <v>9.7300000000000008E-3</v>
      </c>
      <c r="G11">
        <v>0.28999999999999998</v>
      </c>
      <c r="H11">
        <v>0.84</v>
      </c>
      <c r="I11">
        <v>1.65E-3</v>
      </c>
      <c r="J11">
        <v>1.8600000000000001E-3</v>
      </c>
      <c r="K11">
        <v>2.0999999999999999E-3</v>
      </c>
    </row>
    <row r="12" spans="1:11" x14ac:dyDescent="0.25">
      <c r="A12" t="s">
        <v>20</v>
      </c>
      <c r="B12">
        <f>SUBTOTAL(101,_grav_32_17[total_time])</f>
        <v>6.181</v>
      </c>
      <c r="C12">
        <f>SUBTOTAL(101,_grav_32_17[work_time_min])</f>
        <v>5.9300000000000006</v>
      </c>
      <c r="D12">
        <f>SUBTOTAL(101,_grav_32_17[work_time_avg])</f>
        <v>6.3890000000000002</v>
      </c>
      <c r="E12">
        <f>SUBTOTAL(101,_grav_32_17[work_time_max])</f>
        <v>6.7430000000000003</v>
      </c>
      <c r="F12">
        <f>SUBTOTAL(101,_grav_32_17[prep_time_min])</f>
        <v>9.7419999999999989E-3</v>
      </c>
      <c r="G12">
        <f>SUBTOTAL(101,_grav_32_17[prep_time_avg])</f>
        <v>0.25397000000000003</v>
      </c>
      <c r="H12">
        <f>SUBTOTAL(101,_grav_32_17[prep_time_max])</f>
        <v>0.74209000000000003</v>
      </c>
      <c r="I12">
        <f>SUBTOTAL(101,_grav_32_17[comm_time_min])</f>
        <v>1.9779999999999997E-3</v>
      </c>
      <c r="J12">
        <f>SUBTOTAL(101,_grav_32_17[comm_time_avg])</f>
        <v>2.336E-3</v>
      </c>
      <c r="K12">
        <f>SUBTOTAL(101,_grav_32_17[comm_time_max])</f>
        <v>2.6770000000000006E-3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9CDA5-0CCC-424E-9D3B-6D9DFF1DD9B8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2.2400000000000002</v>
      </c>
      <c r="C2">
        <v>2.2200000000000002</v>
      </c>
      <c r="D2">
        <v>2.39</v>
      </c>
      <c r="E2">
        <v>2.63</v>
      </c>
      <c r="F2">
        <v>6.9199999999999999E-3</v>
      </c>
      <c r="G2">
        <v>1.4500000000000001E-2</v>
      </c>
      <c r="H2">
        <v>1.5599999999999999E-2</v>
      </c>
      <c r="I2">
        <v>2.5100000000000001E-3</v>
      </c>
      <c r="J2">
        <v>2.7200000000000002E-3</v>
      </c>
      <c r="K2">
        <v>2.9299999999999999E-3</v>
      </c>
    </row>
    <row r="3" spans="1:11" x14ac:dyDescent="0.25">
      <c r="A3">
        <v>2</v>
      </c>
      <c r="B3">
        <v>2.23</v>
      </c>
      <c r="C3">
        <v>2.2200000000000002</v>
      </c>
      <c r="D3">
        <v>2.39</v>
      </c>
      <c r="E3">
        <v>2.63</v>
      </c>
      <c r="F3">
        <v>6.43E-3</v>
      </c>
      <c r="G3">
        <v>0.19800000000000001</v>
      </c>
      <c r="H3">
        <v>0.41699999999999998</v>
      </c>
      <c r="I3">
        <v>1.49E-3</v>
      </c>
      <c r="J3">
        <v>1.5900000000000001E-3</v>
      </c>
      <c r="K3">
        <v>1.75E-3</v>
      </c>
    </row>
    <row r="4" spans="1:11" x14ac:dyDescent="0.25">
      <c r="A4">
        <v>3</v>
      </c>
      <c r="B4">
        <v>2.23</v>
      </c>
      <c r="C4">
        <v>2.2200000000000002</v>
      </c>
      <c r="D4">
        <v>2.39</v>
      </c>
      <c r="E4">
        <v>2.63</v>
      </c>
      <c r="F4">
        <v>6.3600000000000002E-3</v>
      </c>
      <c r="G4">
        <v>0.19800000000000001</v>
      </c>
      <c r="H4">
        <v>0.41699999999999998</v>
      </c>
      <c r="I4">
        <v>1.48E-3</v>
      </c>
      <c r="J4">
        <v>1.5900000000000001E-3</v>
      </c>
      <c r="K4">
        <v>1.7600000000000001E-3</v>
      </c>
    </row>
    <row r="5" spans="1:11" x14ac:dyDescent="0.25">
      <c r="A5">
        <v>4</v>
      </c>
      <c r="B5">
        <v>2.23</v>
      </c>
      <c r="C5">
        <v>2.2200000000000002</v>
      </c>
      <c r="D5">
        <v>2.39</v>
      </c>
      <c r="E5">
        <v>2.63</v>
      </c>
      <c r="F5">
        <v>6.43E-3</v>
      </c>
      <c r="G5">
        <v>0.19800000000000001</v>
      </c>
      <c r="H5">
        <v>0.41699999999999998</v>
      </c>
      <c r="I5">
        <v>1.47E-3</v>
      </c>
      <c r="J5">
        <v>1.57E-3</v>
      </c>
      <c r="K5">
        <v>1.73E-3</v>
      </c>
    </row>
    <row r="6" spans="1:11" x14ac:dyDescent="0.25">
      <c r="A6">
        <v>5</v>
      </c>
      <c r="B6">
        <v>2.2400000000000002</v>
      </c>
      <c r="C6">
        <v>2.2200000000000002</v>
      </c>
      <c r="D6">
        <v>2.39</v>
      </c>
      <c r="E6">
        <v>2.63</v>
      </c>
      <c r="F6">
        <v>6.3099999999999996E-3</v>
      </c>
      <c r="G6">
        <v>0.19700000000000001</v>
      </c>
      <c r="H6">
        <v>0.41499999999999998</v>
      </c>
      <c r="I6">
        <v>1.1800000000000001E-3</v>
      </c>
      <c r="J6">
        <v>1.2800000000000001E-3</v>
      </c>
      <c r="K6">
        <v>1.4E-3</v>
      </c>
    </row>
    <row r="7" spans="1:11" x14ac:dyDescent="0.25">
      <c r="A7">
        <v>6</v>
      </c>
      <c r="B7">
        <v>2.23</v>
      </c>
      <c r="C7">
        <v>2.2200000000000002</v>
      </c>
      <c r="D7">
        <v>2.39</v>
      </c>
      <c r="E7">
        <v>2.63</v>
      </c>
      <c r="F7">
        <v>6.3299999999999997E-3</v>
      </c>
      <c r="G7">
        <v>0.19900000000000001</v>
      </c>
      <c r="H7">
        <v>0.41899999999999998</v>
      </c>
      <c r="I7">
        <v>1.42E-3</v>
      </c>
      <c r="J7">
        <v>1.5200000000000001E-3</v>
      </c>
      <c r="K7">
        <v>1.6900000000000001E-3</v>
      </c>
    </row>
    <row r="8" spans="1:11" x14ac:dyDescent="0.25">
      <c r="A8">
        <v>7</v>
      </c>
      <c r="B8">
        <v>2.23</v>
      </c>
      <c r="C8">
        <v>2.2200000000000002</v>
      </c>
      <c r="D8">
        <v>2.39</v>
      </c>
      <c r="E8">
        <v>2.63</v>
      </c>
      <c r="F8">
        <v>6.2100000000000002E-3</v>
      </c>
      <c r="G8">
        <v>0.19600000000000001</v>
      </c>
      <c r="H8">
        <v>0.41299999999999998</v>
      </c>
      <c r="I8">
        <v>1.33E-3</v>
      </c>
      <c r="J8">
        <v>1.4400000000000001E-3</v>
      </c>
      <c r="K8">
        <v>1.5900000000000001E-3</v>
      </c>
    </row>
    <row r="9" spans="1:11" x14ac:dyDescent="0.25">
      <c r="A9">
        <v>8</v>
      </c>
      <c r="B9">
        <v>2.25</v>
      </c>
      <c r="C9">
        <v>2.23</v>
      </c>
      <c r="D9">
        <v>2.4</v>
      </c>
      <c r="E9">
        <v>2.66</v>
      </c>
      <c r="F9">
        <v>6.3800000000000003E-3</v>
      </c>
      <c r="G9">
        <v>0.19800000000000001</v>
      </c>
      <c r="H9">
        <v>0.41599999999999998</v>
      </c>
      <c r="I9">
        <v>1.1900000000000001E-3</v>
      </c>
      <c r="J9">
        <v>1.2700000000000001E-3</v>
      </c>
      <c r="K9">
        <v>1.41E-3</v>
      </c>
    </row>
    <row r="10" spans="1:11" x14ac:dyDescent="0.25">
      <c r="A10">
        <v>9</v>
      </c>
      <c r="B10">
        <v>2.23</v>
      </c>
      <c r="C10">
        <v>2.2200000000000002</v>
      </c>
      <c r="D10">
        <v>2.39</v>
      </c>
      <c r="E10">
        <v>2.63</v>
      </c>
      <c r="F10">
        <v>5.8399999999999997E-3</v>
      </c>
      <c r="G10">
        <v>0.20599999999999999</v>
      </c>
      <c r="H10">
        <v>0.433</v>
      </c>
      <c r="I10">
        <v>1.31E-3</v>
      </c>
      <c r="J10">
        <v>1.49E-3</v>
      </c>
      <c r="K10">
        <v>1.65E-3</v>
      </c>
    </row>
    <row r="11" spans="1:11" x14ac:dyDescent="0.25">
      <c r="A11">
        <v>10</v>
      </c>
      <c r="B11">
        <v>2.2400000000000002</v>
      </c>
      <c r="C11">
        <v>2.23</v>
      </c>
      <c r="D11">
        <v>2.39</v>
      </c>
      <c r="E11">
        <v>2.64</v>
      </c>
      <c r="F11">
        <v>6.28E-3</v>
      </c>
      <c r="G11">
        <v>0.19600000000000001</v>
      </c>
      <c r="H11">
        <v>0.41499999999999998</v>
      </c>
      <c r="I11">
        <v>1.4599999999999999E-3</v>
      </c>
      <c r="J11">
        <v>1.57E-3</v>
      </c>
      <c r="K11">
        <v>1.67E-3</v>
      </c>
    </row>
    <row r="12" spans="1:11" x14ac:dyDescent="0.25">
      <c r="A12" t="s">
        <v>20</v>
      </c>
      <c r="B12">
        <f>SUBTOTAL(101,_grav_32_16[total_time])</f>
        <v>2.2350000000000003</v>
      </c>
      <c r="C12">
        <f>SUBTOTAL(101,_grav_32_16[work_time_min])</f>
        <v>2.2220000000000004</v>
      </c>
      <c r="D12">
        <f>SUBTOTAL(101,_grav_32_16[work_time_avg])</f>
        <v>2.391</v>
      </c>
      <c r="E12">
        <f>SUBTOTAL(101,_grav_32_16[work_time_max])</f>
        <v>2.6339999999999995</v>
      </c>
      <c r="F12">
        <f>SUBTOTAL(101,_grav_32_16[prep_time_min])</f>
        <v>6.3490000000000005E-3</v>
      </c>
      <c r="G12">
        <f>SUBTOTAL(101,_grav_32_16[prep_time_avg])</f>
        <v>0.18004999999999999</v>
      </c>
      <c r="H12">
        <f>SUBTOTAL(101,_grav_32_16[prep_time_max])</f>
        <v>0.37775999999999998</v>
      </c>
      <c r="I12">
        <f>SUBTOTAL(101,_grav_32_16[comm_time_min])</f>
        <v>1.4839999999999999E-3</v>
      </c>
      <c r="J12">
        <f>SUBTOTAL(101,_grav_32_16[comm_time_avg])</f>
        <v>1.6040000000000002E-3</v>
      </c>
      <c r="K12">
        <f>SUBTOTAL(101,_grav_32_16[comm_time_max])</f>
        <v>1.7580000000000002E-3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023F-B64A-4C83-8B05-501405D3C59E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1.87</v>
      </c>
      <c r="C2">
        <v>1.78</v>
      </c>
      <c r="D2">
        <v>1.96</v>
      </c>
      <c r="E2">
        <v>2.2200000000000002</v>
      </c>
      <c r="F2">
        <v>3.31E-3</v>
      </c>
      <c r="G2">
        <v>6.9499999999999996E-3</v>
      </c>
      <c r="H2">
        <v>8.0400000000000003E-3</v>
      </c>
      <c r="I2">
        <v>3.5599999999999998E-3</v>
      </c>
      <c r="J2">
        <v>3.7599999999999999E-3</v>
      </c>
      <c r="K2">
        <v>4.0600000000000002E-3</v>
      </c>
    </row>
    <row r="3" spans="1:11" x14ac:dyDescent="0.25">
      <c r="A3">
        <v>2</v>
      </c>
      <c r="B3">
        <v>1.87</v>
      </c>
      <c r="C3">
        <v>1.78</v>
      </c>
      <c r="D3">
        <v>1.96</v>
      </c>
      <c r="E3">
        <v>2.2200000000000002</v>
      </c>
      <c r="F3">
        <v>2.5000000000000001E-3</v>
      </c>
      <c r="G3">
        <v>0.19700000000000001</v>
      </c>
      <c r="H3">
        <v>0.39200000000000002</v>
      </c>
      <c r="I3">
        <v>1.2899999999999999E-3</v>
      </c>
      <c r="J3">
        <v>1.49E-3</v>
      </c>
      <c r="K3">
        <v>1.6900000000000001E-3</v>
      </c>
    </row>
    <row r="4" spans="1:11" x14ac:dyDescent="0.25">
      <c r="A4">
        <v>3</v>
      </c>
      <c r="B4">
        <v>1.86</v>
      </c>
      <c r="C4">
        <v>1.78</v>
      </c>
      <c r="D4">
        <v>1.96</v>
      </c>
      <c r="E4">
        <v>2.2200000000000002</v>
      </c>
      <c r="F4">
        <v>2.5899999999999999E-3</v>
      </c>
      <c r="G4">
        <v>0.19600000000000001</v>
      </c>
      <c r="H4">
        <v>0.38900000000000001</v>
      </c>
      <c r="I4">
        <v>1.32E-3</v>
      </c>
      <c r="J4">
        <v>1.4599999999999999E-3</v>
      </c>
      <c r="K4">
        <v>1.6199999999999999E-3</v>
      </c>
    </row>
    <row r="5" spans="1:11" x14ac:dyDescent="0.25">
      <c r="A5">
        <v>4</v>
      </c>
      <c r="B5">
        <v>1.87</v>
      </c>
      <c r="C5">
        <v>1.78</v>
      </c>
      <c r="D5">
        <v>1.96</v>
      </c>
      <c r="E5">
        <v>2.2200000000000002</v>
      </c>
      <c r="F5">
        <v>2.6900000000000001E-3</v>
      </c>
      <c r="G5">
        <v>0.19600000000000001</v>
      </c>
      <c r="H5">
        <v>0.38900000000000001</v>
      </c>
      <c r="I5">
        <v>1.09E-3</v>
      </c>
      <c r="J5">
        <v>1.2099999999999999E-3</v>
      </c>
      <c r="K5">
        <v>1.34E-3</v>
      </c>
    </row>
    <row r="6" spans="1:11" x14ac:dyDescent="0.25">
      <c r="A6">
        <v>5</v>
      </c>
      <c r="B6">
        <v>1.86</v>
      </c>
      <c r="C6">
        <v>1.78</v>
      </c>
      <c r="D6">
        <v>1.96</v>
      </c>
      <c r="E6">
        <v>2.2200000000000002</v>
      </c>
      <c r="F6">
        <v>2.7699999999999999E-3</v>
      </c>
      <c r="G6">
        <v>0.19600000000000001</v>
      </c>
      <c r="H6">
        <v>0.38900000000000001</v>
      </c>
      <c r="I6">
        <v>1.2999999999999999E-3</v>
      </c>
      <c r="J6">
        <v>1.4499999999999999E-3</v>
      </c>
      <c r="K6">
        <v>1.6000000000000001E-3</v>
      </c>
    </row>
    <row r="7" spans="1:11" x14ac:dyDescent="0.25">
      <c r="A7">
        <v>6</v>
      </c>
      <c r="B7">
        <v>1.87</v>
      </c>
      <c r="C7">
        <v>1.78</v>
      </c>
      <c r="D7">
        <v>1.96</v>
      </c>
      <c r="E7">
        <v>2.2200000000000002</v>
      </c>
      <c r="F7">
        <v>2.64E-3</v>
      </c>
      <c r="G7">
        <v>0.19600000000000001</v>
      </c>
      <c r="H7">
        <v>0.38900000000000001</v>
      </c>
      <c r="I7">
        <v>1.09E-3</v>
      </c>
      <c r="J7">
        <v>1.2099999999999999E-3</v>
      </c>
      <c r="K7">
        <v>1.33E-3</v>
      </c>
    </row>
    <row r="8" spans="1:11" x14ac:dyDescent="0.25">
      <c r="A8">
        <v>7</v>
      </c>
      <c r="B8">
        <v>1.87</v>
      </c>
      <c r="C8">
        <v>1.78</v>
      </c>
      <c r="D8">
        <v>1.96</v>
      </c>
      <c r="E8">
        <v>2.2200000000000002</v>
      </c>
      <c r="F8">
        <v>2.48E-3</v>
      </c>
      <c r="G8">
        <v>0.19700000000000001</v>
      </c>
      <c r="H8">
        <v>0.38900000000000001</v>
      </c>
      <c r="I8">
        <v>1.5299999999999999E-3</v>
      </c>
      <c r="J8">
        <v>1.7600000000000001E-3</v>
      </c>
      <c r="K8">
        <v>1.98E-3</v>
      </c>
    </row>
    <row r="9" spans="1:11" x14ac:dyDescent="0.25">
      <c r="A9">
        <v>8</v>
      </c>
      <c r="B9">
        <v>1.89</v>
      </c>
      <c r="C9">
        <v>1.79</v>
      </c>
      <c r="D9">
        <v>1.98</v>
      </c>
      <c r="E9">
        <v>2.2400000000000002</v>
      </c>
      <c r="F9">
        <v>2.7399999999999998E-3</v>
      </c>
      <c r="G9">
        <v>0.19500000000000001</v>
      </c>
      <c r="H9">
        <v>0.38900000000000001</v>
      </c>
      <c r="I9">
        <v>1.1000000000000001E-3</v>
      </c>
      <c r="J9">
        <v>1.2199999999999999E-3</v>
      </c>
      <c r="K9">
        <v>1.33E-3</v>
      </c>
    </row>
    <row r="10" spans="1:11" x14ac:dyDescent="0.25">
      <c r="A10">
        <v>9</v>
      </c>
      <c r="B10">
        <v>1.86</v>
      </c>
      <c r="C10">
        <v>1.78</v>
      </c>
      <c r="D10">
        <v>1.96</v>
      </c>
      <c r="E10">
        <v>2.2200000000000002</v>
      </c>
      <c r="F10">
        <v>2.63E-3</v>
      </c>
      <c r="G10">
        <v>0.2</v>
      </c>
      <c r="H10">
        <v>0.39400000000000002</v>
      </c>
      <c r="I10">
        <v>1.08E-3</v>
      </c>
      <c r="J10">
        <v>1.2099999999999999E-3</v>
      </c>
      <c r="K10">
        <v>1.34E-3</v>
      </c>
    </row>
    <row r="11" spans="1:11" x14ac:dyDescent="0.25">
      <c r="A11">
        <v>10</v>
      </c>
      <c r="B11">
        <v>1.88</v>
      </c>
      <c r="C11">
        <v>1.79</v>
      </c>
      <c r="D11">
        <v>1.97</v>
      </c>
      <c r="E11">
        <v>2.23</v>
      </c>
      <c r="F11">
        <v>2.6099999999999999E-3</v>
      </c>
      <c r="G11">
        <v>0.19600000000000001</v>
      </c>
      <c r="H11">
        <v>0.38900000000000001</v>
      </c>
      <c r="I11">
        <v>1.09E-3</v>
      </c>
      <c r="J11">
        <v>1.1999999999999999E-3</v>
      </c>
      <c r="K11">
        <v>1.32E-3</v>
      </c>
    </row>
    <row r="12" spans="1:11" x14ac:dyDescent="0.25">
      <c r="A12" t="s">
        <v>20</v>
      </c>
      <c r="B12">
        <f>SUBTOTAL(101,_grav_32_15[total_time])</f>
        <v>1.8699999999999999</v>
      </c>
      <c r="C12">
        <f>SUBTOTAL(101,_grav_32_15[work_time_min])</f>
        <v>1.782</v>
      </c>
      <c r="D12">
        <f>SUBTOTAL(101,_grav_32_15[work_time_avg])</f>
        <v>1.9630000000000003</v>
      </c>
      <c r="E12">
        <f>SUBTOTAL(101,_grav_32_15[work_time_max])</f>
        <v>2.2229999999999999</v>
      </c>
      <c r="F12">
        <f>SUBTOTAL(101,_grav_32_15[prep_time_min])</f>
        <v>2.696E-3</v>
      </c>
      <c r="G12">
        <f>SUBTOTAL(101,_grav_32_15[prep_time_avg])</f>
        <v>0.177595</v>
      </c>
      <c r="H12">
        <f>SUBTOTAL(101,_grav_32_15[prep_time_max])</f>
        <v>0.35170400000000007</v>
      </c>
      <c r="I12">
        <f>SUBTOTAL(101,_grav_32_15[comm_time_min])</f>
        <v>1.4450000000000001E-3</v>
      </c>
      <c r="J12">
        <f>SUBTOTAL(101,_grav_32_15[comm_time_avg])</f>
        <v>1.5969999999999999E-3</v>
      </c>
      <c r="K12">
        <f>SUBTOTAL(101,_grav_32_15[comm_time_max])</f>
        <v>1.761E-3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E653-F2B6-42CD-9833-B9EB3268534F}">
  <dimension ref="A1:K12"/>
  <sheetViews>
    <sheetView workbookViewId="0">
      <selection activeCell="K12" sqref="B12:K12"/>
    </sheetView>
  </sheetViews>
  <sheetFormatPr baseColWidth="10" defaultRowHeight="15" x14ac:dyDescent="0.25"/>
  <cols>
    <col min="1" max="1" width="7.140625" bestFit="1" customWidth="1"/>
    <col min="2" max="2" width="12.5703125" bestFit="1" customWidth="1"/>
    <col min="3" max="3" width="17.28515625" bestFit="1" customWidth="1"/>
    <col min="4" max="4" width="16.85546875" bestFit="1" customWidth="1"/>
    <col min="5" max="5" width="17.5703125" bestFit="1" customWidth="1"/>
    <col min="6" max="6" width="17" bestFit="1" customWidth="1"/>
    <col min="7" max="7" width="16.5703125" bestFit="1" customWidth="1"/>
    <col min="8" max="8" width="17.28515625" bestFit="1" customWidth="1"/>
    <col min="9" max="9" width="18.42578125" bestFit="1" customWidth="1"/>
    <col min="10" max="10" width="17.85546875" bestFit="1" customWidth="1"/>
    <col min="11" max="11" width="18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>
        <v>0.45300000000000001</v>
      </c>
      <c r="C2">
        <v>0.46100000000000002</v>
      </c>
      <c r="D2">
        <v>0.61399999999999999</v>
      </c>
      <c r="E2">
        <v>0.76400000000000001</v>
      </c>
      <c r="F2">
        <v>2.33E-3</v>
      </c>
      <c r="G2">
        <v>4.0699999999999998E-3</v>
      </c>
      <c r="H2">
        <v>4.3899999999999998E-3</v>
      </c>
      <c r="I2">
        <v>2.5799999999999998E-3</v>
      </c>
      <c r="J2">
        <v>2.7200000000000002E-3</v>
      </c>
      <c r="K2">
        <v>2.8800000000000002E-3</v>
      </c>
    </row>
    <row r="3" spans="1:11" x14ac:dyDescent="0.25">
      <c r="A3">
        <v>2</v>
      </c>
      <c r="B3">
        <v>0.44800000000000001</v>
      </c>
      <c r="C3">
        <v>0.46100000000000002</v>
      </c>
      <c r="D3">
        <v>0.61399999999999999</v>
      </c>
      <c r="E3">
        <v>0.76400000000000001</v>
      </c>
      <c r="F3">
        <v>1.2999999999999999E-3</v>
      </c>
      <c r="G3">
        <v>0.105</v>
      </c>
      <c r="H3">
        <v>0.29099999999999998</v>
      </c>
      <c r="I3">
        <v>6.9399999999999996E-4</v>
      </c>
      <c r="J3">
        <v>7.3300000000000004E-4</v>
      </c>
      <c r="K3">
        <v>7.9699999999999997E-4</v>
      </c>
    </row>
    <row r="4" spans="1:11" x14ac:dyDescent="0.25">
      <c r="A4">
        <v>3</v>
      </c>
      <c r="B4">
        <v>0.44900000000000001</v>
      </c>
      <c r="C4">
        <v>0.46200000000000002</v>
      </c>
      <c r="D4">
        <v>0.61499999999999999</v>
      </c>
      <c r="E4">
        <v>0.76400000000000001</v>
      </c>
      <c r="F4">
        <v>1.47E-3</v>
      </c>
      <c r="G4">
        <v>0.106</v>
      </c>
      <c r="H4">
        <v>0.29099999999999998</v>
      </c>
      <c r="I4">
        <v>6.9300000000000004E-4</v>
      </c>
      <c r="J4">
        <v>7.27E-4</v>
      </c>
      <c r="K4">
        <v>7.7999999999999999E-4</v>
      </c>
    </row>
    <row r="5" spans="1:11" x14ac:dyDescent="0.25">
      <c r="A5">
        <v>4</v>
      </c>
      <c r="B5">
        <v>0.44900000000000001</v>
      </c>
      <c r="C5">
        <v>0.46100000000000002</v>
      </c>
      <c r="D5">
        <v>0.61399999999999999</v>
      </c>
      <c r="E5">
        <v>0.76300000000000001</v>
      </c>
      <c r="F5">
        <v>1.41E-3</v>
      </c>
      <c r="G5">
        <v>0.106</v>
      </c>
      <c r="H5">
        <v>0.29099999999999998</v>
      </c>
      <c r="I5">
        <v>8.5999999999999998E-4</v>
      </c>
      <c r="J5">
        <v>9.0700000000000004E-4</v>
      </c>
      <c r="K5">
        <v>9.9500000000000001E-4</v>
      </c>
    </row>
    <row r="6" spans="1:11" x14ac:dyDescent="0.25">
      <c r="A6">
        <v>5</v>
      </c>
      <c r="B6">
        <v>0.44800000000000001</v>
      </c>
      <c r="C6">
        <v>0.46100000000000002</v>
      </c>
      <c r="D6">
        <v>0.61399999999999999</v>
      </c>
      <c r="E6">
        <v>0.76400000000000001</v>
      </c>
      <c r="F6">
        <v>1.3500000000000001E-3</v>
      </c>
      <c r="G6">
        <v>0.105</v>
      </c>
      <c r="H6">
        <v>0.29099999999999998</v>
      </c>
      <c r="I6">
        <v>6.7599999999999995E-4</v>
      </c>
      <c r="J6">
        <v>7.1400000000000001E-4</v>
      </c>
      <c r="K6">
        <v>7.6900000000000004E-4</v>
      </c>
    </row>
    <row r="7" spans="1:11" x14ac:dyDescent="0.25">
      <c r="A7">
        <v>6</v>
      </c>
      <c r="B7">
        <v>0.44900000000000001</v>
      </c>
      <c r="C7">
        <v>0.46200000000000002</v>
      </c>
      <c r="D7">
        <v>0.61399999999999999</v>
      </c>
      <c r="E7">
        <v>0.76400000000000001</v>
      </c>
      <c r="F7">
        <v>1.3799999999999999E-3</v>
      </c>
      <c r="G7">
        <v>0.105</v>
      </c>
      <c r="H7">
        <v>0.29099999999999998</v>
      </c>
      <c r="I7">
        <v>6.7500000000000004E-4</v>
      </c>
      <c r="J7">
        <v>7.1199999999999996E-4</v>
      </c>
      <c r="K7">
        <v>7.6599999999999997E-4</v>
      </c>
    </row>
    <row r="8" spans="1:11" x14ac:dyDescent="0.25">
      <c r="A8">
        <v>7</v>
      </c>
      <c r="B8">
        <v>0.44900000000000001</v>
      </c>
      <c r="C8">
        <v>0.46100000000000002</v>
      </c>
      <c r="D8">
        <v>0.61399999999999999</v>
      </c>
      <c r="E8">
        <v>0.76400000000000001</v>
      </c>
      <c r="F8">
        <v>1.4599999999999999E-3</v>
      </c>
      <c r="G8">
        <v>0.106</v>
      </c>
      <c r="H8">
        <v>0.29199999999999998</v>
      </c>
      <c r="I8">
        <v>8.0500000000000005E-4</v>
      </c>
      <c r="J8">
        <v>8.5400000000000005E-4</v>
      </c>
      <c r="K8">
        <v>9.5699999999999995E-4</v>
      </c>
    </row>
    <row r="9" spans="1:11" x14ac:dyDescent="0.25">
      <c r="A9">
        <v>8</v>
      </c>
      <c r="B9">
        <v>0.45800000000000002</v>
      </c>
      <c r="C9">
        <v>0.47099999999999997</v>
      </c>
      <c r="D9">
        <v>0.61699999999999999</v>
      </c>
      <c r="E9">
        <v>0.76600000000000001</v>
      </c>
      <c r="F9">
        <v>1.31E-3</v>
      </c>
      <c r="G9">
        <v>0.105</v>
      </c>
      <c r="H9">
        <v>0.29099999999999998</v>
      </c>
      <c r="I9">
        <v>6.9700000000000003E-4</v>
      </c>
      <c r="J9">
        <v>7.36E-4</v>
      </c>
      <c r="K9">
        <v>8.0199999999999998E-4</v>
      </c>
    </row>
    <row r="10" spans="1:11" x14ac:dyDescent="0.25">
      <c r="A10">
        <v>9</v>
      </c>
      <c r="B10">
        <v>0.44800000000000001</v>
      </c>
      <c r="C10">
        <v>0.46100000000000002</v>
      </c>
      <c r="D10">
        <v>0.61399999999999999</v>
      </c>
      <c r="E10">
        <v>0.76300000000000001</v>
      </c>
      <c r="F10">
        <v>1.39E-3</v>
      </c>
      <c r="G10">
        <v>0.105</v>
      </c>
      <c r="H10">
        <v>0.29199999999999998</v>
      </c>
      <c r="I10">
        <v>6.8099999999999996E-4</v>
      </c>
      <c r="J10">
        <v>7.2599999999999997E-4</v>
      </c>
      <c r="K10">
        <v>7.8200000000000003E-4</v>
      </c>
    </row>
    <row r="11" spans="1:11" x14ac:dyDescent="0.25">
      <c r="A11">
        <v>10</v>
      </c>
      <c r="B11">
        <v>0.45100000000000001</v>
      </c>
      <c r="C11">
        <v>0.46300000000000002</v>
      </c>
      <c r="D11">
        <v>0.61599999999999999</v>
      </c>
      <c r="E11">
        <v>0.76600000000000001</v>
      </c>
      <c r="F11">
        <v>1.4599999999999999E-3</v>
      </c>
      <c r="G11">
        <v>0.105</v>
      </c>
      <c r="H11">
        <v>0.29099999999999998</v>
      </c>
      <c r="I11">
        <v>6.7100000000000005E-4</v>
      </c>
      <c r="J11">
        <v>7.2400000000000003E-4</v>
      </c>
      <c r="K11">
        <v>7.6999999999999996E-4</v>
      </c>
    </row>
    <row r="12" spans="1:11" x14ac:dyDescent="0.25">
      <c r="A12" t="s">
        <v>20</v>
      </c>
      <c r="B12">
        <f>SUBTOTAL(101,_grav_32_14[total_time])</f>
        <v>0.45019999999999999</v>
      </c>
      <c r="C12">
        <f>SUBTOTAL(101,_grav_32_14[work_time_min])</f>
        <v>0.46240000000000003</v>
      </c>
      <c r="D12">
        <f>SUBTOTAL(101,_grav_32_14[work_time_avg])</f>
        <v>0.61459999999999992</v>
      </c>
      <c r="E12">
        <f>SUBTOTAL(101,_grav_32_14[work_time_max])</f>
        <v>0.76419999999999999</v>
      </c>
      <c r="F12">
        <f>SUBTOTAL(101,_grav_32_14[prep_time_min])</f>
        <v>1.4859999999999999E-3</v>
      </c>
      <c r="G12">
        <f>SUBTOTAL(101,_grav_32_14[prep_time_avg])</f>
        <v>9.5206999999999986E-2</v>
      </c>
      <c r="H12">
        <f>SUBTOTAL(101,_grav_32_14[prep_time_max])</f>
        <v>0.26253899999999997</v>
      </c>
      <c r="I12">
        <f>SUBTOTAL(101,_grav_32_14[comm_time_min])</f>
        <v>9.0319999999999984E-4</v>
      </c>
      <c r="J12">
        <f>SUBTOTAL(101,_grav_32_14[comm_time_avg])</f>
        <v>9.5530000000000007E-4</v>
      </c>
      <c r="K12">
        <f>SUBTOTAL(101,_grav_32_14[comm_time_max])</f>
        <v>1.0298E-3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F A A B Q S w M E F A A C A A g A 4 k 7 I T A 8 e L F C o A A A A + A A A A B I A H A B D b 2 5 m a W c v U G F j a 2 F n Z S 5 4 b W w g o h g A K K A U A A A A A A A A A A A A A A A A A A A A A A A A A A A A h Y / R C o I w G I V f R X b v N m e C x O + 8 q O 4 S g i C 6 H X P p S G e 4 2 X y 3 L n q k X i G h r O 6 6 P I f v w H c e t z v k Y 9 s E V 9 V b 3 Z k M R Z i i Q B n Z l d p U G R r c K U x R z m E n 5 F l U K p h g Y 5 e j 1 R m q n b s s C f H e Y x / j r q 8 I o z Q i x 2 K 7 l 7 V q R a i N d c J I h T 6 r 8 v 8 K c T i 8 Z D j D S Y q T i M Z 4 Q R m Q u Y Z C m y / C J m N M g f y U s B o a N / S K l y p c b 4 D M E c j 7 B X 8 C U E s D B B Q A A g A I A O J O y E w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T s h M 9 6 H z s h 0 C A A A v J w A A E w A c A E Z v c m 1 1 b G F z L 1 N l Y 3 R p b 2 4 x L m 0 g o h g A K K A U A A A A A A A A A A A A A A A A A A A A A A A A A A A A 7 d l P b 9 o w F A D w O x L f w c o u I G V R Y / 6 0 X Z X D B N 2 6 w 6 Z N s F M z R S a 8 p l Y d G 9 k O W 4 X 6 b f Y Z 9 g X 6 x e a S S S A W u E 2 x t M e F 4 O f 3 e A b / T s 9 A b r m S Z F a / x 1 f d T r d j 7 p m G J c k K z d b Z g G b x G U m I A N v t E P f 6 U o E Q 4 F Y m Z h 1 N V V 6 V I G 3 v H R c Q T Z S 0 7 o P p B d M 3 6 Z S 5 5 3 S q H r Y b I M 2 u e Q E S y M s 6 d 5 G v k q c f m b G g m V 4 A t 6 k G U w l r 0 g H 9 r F U e n 7 2 m g 3 S v h y g 3 6 6 A f 3 k 5 B 8 J K 7 t C S 4 C k I y U a I q p U n i O C T X M l d L L o s k p i M a u k 6 V h Z l 9 F J D s H q N P S s K 3 f l g f 5 l V w 8 / z r H j Q p w N j q z g K 5 A b Y E H b j z z d n C b X e 9 l C 6 3 X j a 9 + v Q h u f 2 z / l a I W c 4 E 0 y a x u t o v / B 6 e f 0 q X 4 z o l 8 8 f V r u J c M 2 n u l C 7 r 1 l 0 M T O 9 o I + F m E 7 g f a e W O + k H a 8 T B 6 2 f 8 U k k 1 g l W U i s 7 w E F 7 N u l c i q X I D e B r 8 r / b C N Z S W X J + N s X Z z O Z z 8 a 4 i s N q 1 P 1 d / H m + n v 5 j f V z V Z a n 6 u / i z f X 3 8 v + q / 9 T v d r g 8 9 j 8 1 E 4 g 9 I B A j A S T Q H g H q A Q G K B J B A e w Q G H h A Y I A E k 0 B 6 B o Q c E h k g A C b R H Y O Q B g R E S Q A L t E R h 7 Q G C M B J B A e w T O P S B w j g S Q Q H s E L j w g c I E E k E B 7 B C 4 9 I H C J B J B A a w S o B 9 N h i t P h V g k c f P f / J s C D 4 T D F 4 f B J A Q e x Q w B H w / U F O p 6 N 1 z + j H g y G K Q 6 G 8 f r / + + v / G 1 B L A Q I t A B Q A A g A I A O J O y E w P H i x Q q A A A A P g A A A A S A A A A A A A A A A A A A A A A A A A A A A B D b 2 5 m a W c v U G F j a 2 F n Z S 5 4 b W x Q S w E C L Q A U A A I A C A D i T s h M D 8 r p q 6 Q A A A D p A A A A E w A A A A A A A A A A A A A A A A D 0 A A A A W 0 N v b n R l b n R f V H l w Z X N d L n h t b F B L A Q I t A B Q A A g A I A O J O y E z 3 o f O y H Q I A A C 8 n A A A T A A A A A A A A A A A A A A A A A O U B A A B G b 3 J t d W x h c y 9 T Z W N 0 a W 9 u M S 5 t U E s F B g A A A A A D A A M A w g A A A E 8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u A A A A A A A A R q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z O j M 4 L j I x O D E y M j V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A v R 2 X D p G 5 k Z X J 0 Z X I g V H l w L n t z d G V w L D B 9 J n F 1 b 3 Q 7 L C Z x d W 9 0 O 1 N l Y 3 R p b 2 4 x L 1 9 n c m F 2 X z M y X z E w L 0 d l w 6 R u Z G V y d G V y I F R 5 c C 5 7 d G 9 0 Y W x f d G l t Z S w x f S Z x d W 9 0 O y w m c X V v d D t T Z W N 0 a W 9 u M S 9 f Z 3 J h d l 8 z M l 8 x M C 9 H Z c O k b m R l c n R l c i B U e X A u e 3 d v c m t f d G l t Z V 9 t a W 4 s M n 0 m c X V v d D s s J n F 1 b 3 Q 7 U 2 V j d G l v b j E v X 2 d y Y X Z f M z J f M T A v R 2 X D p G 5 k Z X J 0 Z X I g V H l w L n t 3 b 3 J r X 3 R p b W V f Y X Z n L D N 9 J n F 1 b 3 Q 7 L C Z x d W 9 0 O 1 N l Y 3 R p b 2 4 x L 1 9 n c m F 2 X z M y X z E w L 0 d l w 6 R u Z G V y d G V y I F R 5 c C 5 7 d 2 9 y a 1 9 0 a W 1 l X 2 1 h e C w 0 f S Z x d W 9 0 O y w m c X V v d D t T Z W N 0 a W 9 u M S 9 f Z 3 J h d l 8 z M l 8 x M C 9 H Z c O k b m R l c n R l c i B U e X A u e 3 B y Z X B f d G l t Z V 9 t a W 4 s N X 0 m c X V v d D s s J n F 1 b 3 Q 7 U 2 V j d G l v b j E v X 2 d y Y X Z f M z J f M T A v R 2 X D p G 5 k Z X J 0 Z X I g V H l w L n t w c m V w X 3 R p b W V f Y X Z n L D Z 9 J n F 1 b 3 Q 7 L C Z x d W 9 0 O 1 N l Y 3 R p b 2 4 x L 1 9 n c m F 2 X z M y X z E w L 0 d l w 6 R u Z G V y d G V y I F R 5 c C 5 7 c H J l c F 9 0 a W 1 l X 2 1 h e C w 3 f S Z x d W 9 0 O y w m c X V v d D t T Z W N 0 a W 9 u M S 9 f Z 3 J h d l 8 z M l 8 x M C 9 H Z c O k b m R l c n R l c i B U e X A u e 2 N v b W 1 f d G l t Z V 9 t a W 4 s O H 0 m c X V v d D s s J n F 1 b 3 Q 7 U 2 V j d G l v b j E v X 2 d y Y X Z f M z J f M T A v R 2 X D p G 5 k Z X J 0 Z X I g V H l w L n t j b 2 1 t X 3 R p b W V f Y X Z n L D l 9 J n F 1 b 3 Q 7 L C Z x d W 9 0 O 1 N l Y 3 R p b 2 4 x L 1 9 n c m F 2 X z M y X z E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w L 0 d l w 6 R u Z G V y d G V y I F R 5 c C 5 7 c 3 R l c C w w f S Z x d W 9 0 O y w m c X V v d D t T Z W N 0 a W 9 u M S 9 f Z 3 J h d l 8 z M l 8 x M C 9 H Z c O k b m R l c n R l c i B U e X A u e 3 R v d G F s X 3 R p b W U s M X 0 m c X V v d D s s J n F 1 b 3 Q 7 U 2 V j d G l v b j E v X 2 d y Y X Z f M z J f M T A v R 2 X D p G 5 k Z X J 0 Z X I g V H l w L n t 3 b 3 J r X 3 R p b W V f b W l u L D J 9 J n F 1 b 3 Q 7 L C Z x d W 9 0 O 1 N l Y 3 R p b 2 4 x L 1 9 n c m F 2 X z M y X z E w L 0 d l w 6 R u Z G V y d G V y I F R 5 c C 5 7 d 2 9 y a 1 9 0 a W 1 l X 2 F 2 Z y w z f S Z x d W 9 0 O y w m c X V v d D t T Z W N 0 a W 9 u M S 9 f Z 3 J h d l 8 z M l 8 x M C 9 H Z c O k b m R l c n R l c i B U e X A u e 3 d v c m t f d G l t Z V 9 t Y X g s N H 0 m c X V v d D s s J n F 1 b 3 Q 7 U 2 V j d G l v b j E v X 2 d y Y X Z f M z J f M T A v R 2 X D p G 5 k Z X J 0 Z X I g V H l w L n t w c m V w X 3 R p b W V f b W l u L D V 9 J n F 1 b 3 Q 7 L C Z x d W 9 0 O 1 N l Y 3 R p b 2 4 x L 1 9 n c m F 2 X z M y X z E w L 0 d l w 6 R u Z G V y d G V y I F R 5 c C 5 7 c H J l c F 9 0 a W 1 l X 2 F 2 Z y w 2 f S Z x d W 9 0 O y w m c X V v d D t T Z W N 0 a W 9 u M S 9 f Z 3 J h d l 8 z M l 8 x M C 9 H Z c O k b m R l c n R l c i B U e X A u e 3 B y Z X B f d G l t Z V 9 t Y X g s N 3 0 m c X V v d D s s J n F 1 b 3 Q 7 U 2 V j d G l v b j E v X 2 d y Y X Z f M z J f M T A v R 2 X D p G 5 k Z X J 0 Z X I g V H l w L n t j b 2 1 t X 3 R p b W V f b W l u L D h 9 J n F 1 b 3 Q 7 L C Z x d W 9 0 O 1 N l Y 3 R p b 2 4 x L 1 9 n c m F 2 X z M y X z E w L 0 d l w 6 R u Z G V y d G V y I F R 5 c C 5 7 Y 2 9 t b V 9 0 a W 1 l X 2 F 2 Z y w 5 f S Z x d W 9 0 O y w m c X V v d D t T Z W N 0 a W 9 u M S 9 f Z 3 J h d l 8 z M l 8 x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z O j Q 3 L j E 1 O D U 4 M T l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E v R 2 X D p G 5 k Z X J 0 Z X I g V H l w L n t z d G V w L D B 9 J n F 1 b 3 Q 7 L C Z x d W 9 0 O 1 N l Y 3 R p b 2 4 x L 1 9 n c m F 2 X z M y X z E x L 0 d l w 6 R u Z G V y d G V y I F R 5 c C 5 7 d G 9 0 Y W x f d G l t Z S w x f S Z x d W 9 0 O y w m c X V v d D t T Z W N 0 a W 9 u M S 9 f Z 3 J h d l 8 z M l 8 x M S 9 H Z c O k b m R l c n R l c i B U e X A u e 3 d v c m t f d G l t Z V 9 t a W 4 s M n 0 m c X V v d D s s J n F 1 b 3 Q 7 U 2 V j d G l v b j E v X 2 d y Y X Z f M z J f M T E v R 2 X D p G 5 k Z X J 0 Z X I g V H l w L n t 3 b 3 J r X 3 R p b W V f Y X Z n L D N 9 J n F 1 b 3 Q 7 L C Z x d W 9 0 O 1 N l Y 3 R p b 2 4 x L 1 9 n c m F 2 X z M y X z E x L 0 d l w 6 R u Z G V y d G V y I F R 5 c C 5 7 d 2 9 y a 1 9 0 a W 1 l X 2 1 h e C w 0 f S Z x d W 9 0 O y w m c X V v d D t T Z W N 0 a W 9 u M S 9 f Z 3 J h d l 8 z M l 8 x M S 9 H Z c O k b m R l c n R l c i B U e X A u e 3 B y Z X B f d G l t Z V 9 t a W 4 s N X 0 m c X V v d D s s J n F 1 b 3 Q 7 U 2 V j d G l v b j E v X 2 d y Y X Z f M z J f M T E v R 2 X D p G 5 k Z X J 0 Z X I g V H l w L n t w c m V w X 3 R p b W V f Y X Z n L D Z 9 J n F 1 b 3 Q 7 L C Z x d W 9 0 O 1 N l Y 3 R p b 2 4 x L 1 9 n c m F 2 X z M y X z E x L 0 d l w 6 R u Z G V y d G V y I F R 5 c C 5 7 c H J l c F 9 0 a W 1 l X 2 1 h e C w 3 f S Z x d W 9 0 O y w m c X V v d D t T Z W N 0 a W 9 u M S 9 f Z 3 J h d l 8 z M l 8 x M S 9 H Z c O k b m R l c n R l c i B U e X A u e 2 N v b W 1 f d G l t Z V 9 t a W 4 s O H 0 m c X V v d D s s J n F 1 b 3 Q 7 U 2 V j d G l v b j E v X 2 d y Y X Z f M z J f M T E v R 2 X D p G 5 k Z X J 0 Z X I g V H l w L n t j b 2 1 t X 3 R p b W V f Y X Z n L D l 9 J n F 1 b 3 Q 7 L C Z x d W 9 0 O 1 N l Y 3 R p b 2 4 x L 1 9 n c m F 2 X z M y X z E x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x L 0 d l w 6 R u Z G V y d G V y I F R 5 c C 5 7 c 3 R l c C w w f S Z x d W 9 0 O y w m c X V v d D t T Z W N 0 a W 9 u M S 9 f Z 3 J h d l 8 z M l 8 x M S 9 H Z c O k b m R l c n R l c i B U e X A u e 3 R v d G F s X 3 R p b W U s M X 0 m c X V v d D s s J n F 1 b 3 Q 7 U 2 V j d G l v b j E v X 2 d y Y X Z f M z J f M T E v R 2 X D p G 5 k Z X J 0 Z X I g V H l w L n t 3 b 3 J r X 3 R p b W V f b W l u L D J 9 J n F 1 b 3 Q 7 L C Z x d W 9 0 O 1 N l Y 3 R p b 2 4 x L 1 9 n c m F 2 X z M y X z E x L 0 d l w 6 R u Z G V y d G V y I F R 5 c C 5 7 d 2 9 y a 1 9 0 a W 1 l X 2 F 2 Z y w z f S Z x d W 9 0 O y w m c X V v d D t T Z W N 0 a W 9 u M S 9 f Z 3 J h d l 8 z M l 8 x M S 9 H Z c O k b m R l c n R l c i B U e X A u e 3 d v c m t f d G l t Z V 9 t Y X g s N H 0 m c X V v d D s s J n F 1 b 3 Q 7 U 2 V j d G l v b j E v X 2 d y Y X Z f M z J f M T E v R 2 X D p G 5 k Z X J 0 Z X I g V H l w L n t w c m V w X 3 R p b W V f b W l u L D V 9 J n F 1 b 3 Q 7 L C Z x d W 9 0 O 1 N l Y 3 R p b 2 4 x L 1 9 n c m F 2 X z M y X z E x L 0 d l w 6 R u Z G V y d G V y I F R 5 c C 5 7 c H J l c F 9 0 a W 1 l X 2 F 2 Z y w 2 f S Z x d W 9 0 O y w m c X V v d D t T Z W N 0 a W 9 u M S 9 f Z 3 J h d l 8 z M l 8 x M S 9 H Z c O k b m R l c n R l c i B U e X A u e 3 B y Z X B f d G l t Z V 9 t Y X g s N 3 0 m c X V v d D s s J n F 1 b 3 Q 7 U 2 V j d G l v b j E v X 2 d y Y X Z f M z J f M T E v R 2 X D p G 5 k Z X J 0 Z X I g V H l w L n t j b 2 1 t X 3 R p b W V f b W l u L D h 9 J n F 1 b 3 Q 7 L C Z x d W 9 0 O 1 N l Y 3 R p b 2 4 x L 1 9 n c m F 2 X z M y X z E x L 0 d l w 6 R u Z G V y d G V y I F R 5 c C 5 7 Y 2 9 t b V 9 0 a W 1 l X 2 F 2 Z y w 5 f S Z x d W 9 0 O y w m c X V v d D t T Z W N 0 a W 9 u M S 9 f Z 3 J h d l 8 z M l 8 x M S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z O j U z L j c 2 M z U 0 N z B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I v R 2 X D p G 5 k Z X J 0 Z X I g V H l w L n t z d G V w L D B 9 J n F 1 b 3 Q 7 L C Z x d W 9 0 O 1 N l Y 3 R p b 2 4 x L 1 9 n c m F 2 X z M y X z E y L 0 d l w 6 R u Z G V y d G V y I F R 5 c C 5 7 d G 9 0 Y W x f d G l t Z S w x f S Z x d W 9 0 O y w m c X V v d D t T Z W N 0 a W 9 u M S 9 f Z 3 J h d l 8 z M l 8 x M i 9 H Z c O k b m R l c n R l c i B U e X A u e 3 d v c m t f d G l t Z V 9 t a W 4 s M n 0 m c X V v d D s s J n F 1 b 3 Q 7 U 2 V j d G l v b j E v X 2 d y Y X Z f M z J f M T I v R 2 X D p G 5 k Z X J 0 Z X I g V H l w L n t 3 b 3 J r X 3 R p b W V f Y X Z n L D N 9 J n F 1 b 3 Q 7 L C Z x d W 9 0 O 1 N l Y 3 R p b 2 4 x L 1 9 n c m F 2 X z M y X z E y L 0 d l w 6 R u Z G V y d G V y I F R 5 c C 5 7 d 2 9 y a 1 9 0 a W 1 l X 2 1 h e C w 0 f S Z x d W 9 0 O y w m c X V v d D t T Z W N 0 a W 9 u M S 9 f Z 3 J h d l 8 z M l 8 x M i 9 H Z c O k b m R l c n R l c i B U e X A u e 3 B y Z X B f d G l t Z V 9 t a W 4 s N X 0 m c X V v d D s s J n F 1 b 3 Q 7 U 2 V j d G l v b j E v X 2 d y Y X Z f M z J f M T I v R 2 X D p G 5 k Z X J 0 Z X I g V H l w L n t w c m V w X 3 R p b W V f Y X Z n L D Z 9 J n F 1 b 3 Q 7 L C Z x d W 9 0 O 1 N l Y 3 R p b 2 4 x L 1 9 n c m F 2 X z M y X z E y L 0 d l w 6 R u Z G V y d G V y I F R 5 c C 5 7 c H J l c F 9 0 a W 1 l X 2 1 h e C w 3 f S Z x d W 9 0 O y w m c X V v d D t T Z W N 0 a W 9 u M S 9 f Z 3 J h d l 8 z M l 8 x M i 9 H Z c O k b m R l c n R l c i B U e X A u e 2 N v b W 1 f d G l t Z V 9 t a W 4 s O H 0 m c X V v d D s s J n F 1 b 3 Q 7 U 2 V j d G l v b j E v X 2 d y Y X Z f M z J f M T I v R 2 X D p G 5 k Z X J 0 Z X I g V H l w L n t j b 2 1 t X 3 R p b W V f Y X Z n L D l 9 J n F 1 b 3 Q 7 L C Z x d W 9 0 O 1 N l Y 3 R p b 2 4 x L 1 9 n c m F 2 X z M y X z E y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y L 0 d l w 6 R u Z G V y d G V y I F R 5 c C 5 7 c 3 R l c C w w f S Z x d W 9 0 O y w m c X V v d D t T Z W N 0 a W 9 u M S 9 f Z 3 J h d l 8 z M l 8 x M i 9 H Z c O k b m R l c n R l c i B U e X A u e 3 R v d G F s X 3 R p b W U s M X 0 m c X V v d D s s J n F 1 b 3 Q 7 U 2 V j d G l v b j E v X 2 d y Y X Z f M z J f M T I v R 2 X D p G 5 k Z X J 0 Z X I g V H l w L n t 3 b 3 J r X 3 R p b W V f b W l u L D J 9 J n F 1 b 3 Q 7 L C Z x d W 9 0 O 1 N l Y 3 R p b 2 4 x L 1 9 n c m F 2 X z M y X z E y L 0 d l w 6 R u Z G V y d G V y I F R 5 c C 5 7 d 2 9 y a 1 9 0 a W 1 l X 2 F 2 Z y w z f S Z x d W 9 0 O y w m c X V v d D t T Z W N 0 a W 9 u M S 9 f Z 3 J h d l 8 z M l 8 x M i 9 H Z c O k b m R l c n R l c i B U e X A u e 3 d v c m t f d G l t Z V 9 t Y X g s N H 0 m c X V v d D s s J n F 1 b 3 Q 7 U 2 V j d G l v b j E v X 2 d y Y X Z f M z J f M T I v R 2 X D p G 5 k Z X J 0 Z X I g V H l w L n t w c m V w X 3 R p b W V f b W l u L D V 9 J n F 1 b 3 Q 7 L C Z x d W 9 0 O 1 N l Y 3 R p b 2 4 x L 1 9 n c m F 2 X z M y X z E y L 0 d l w 6 R u Z G V y d G V y I F R 5 c C 5 7 c H J l c F 9 0 a W 1 l X 2 F 2 Z y w 2 f S Z x d W 9 0 O y w m c X V v d D t T Z W N 0 a W 9 u M S 9 f Z 3 J h d l 8 z M l 8 x M i 9 H Z c O k b m R l c n R l c i B U e X A u e 3 B y Z X B f d G l t Z V 9 t Y X g s N 3 0 m c X V v d D s s J n F 1 b 3 Q 7 U 2 V j d G l v b j E v X 2 d y Y X Z f M z J f M T I v R 2 X D p G 5 k Z X J 0 Z X I g V H l w L n t j b 2 1 t X 3 R p b W V f b W l u L D h 9 J n F 1 b 3 Q 7 L C Z x d W 9 0 O 1 N l Y 3 R p b 2 4 x L 1 9 n c m F 2 X z M y X z E y L 0 d l w 6 R u Z G V y d G V y I F R 5 c C 5 7 Y 2 9 t b V 9 0 a W 1 l X 2 F 2 Z y w 5 f S Z x d W 9 0 O y w m c X V v d D t T Z W N 0 a W 9 u M S 9 f Z 3 J h d l 8 z M l 8 x M i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0 O j A w L j Y w O T I 4 M D V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M v R 2 X D p G 5 k Z X J 0 Z X I g V H l w L n t z d G V w L D B 9 J n F 1 b 3 Q 7 L C Z x d W 9 0 O 1 N l Y 3 R p b 2 4 x L 1 9 n c m F 2 X z M y X z E z L 0 d l w 6 R u Z G V y d G V y I F R 5 c C 5 7 d G 9 0 Y W x f d G l t Z S w x f S Z x d W 9 0 O y w m c X V v d D t T Z W N 0 a W 9 u M S 9 f Z 3 J h d l 8 z M l 8 x M y 9 H Z c O k b m R l c n R l c i B U e X A u e 3 d v c m t f d G l t Z V 9 t a W 4 s M n 0 m c X V v d D s s J n F 1 b 3 Q 7 U 2 V j d G l v b j E v X 2 d y Y X Z f M z J f M T M v R 2 X D p G 5 k Z X J 0 Z X I g V H l w L n t 3 b 3 J r X 3 R p b W V f Y X Z n L D N 9 J n F 1 b 3 Q 7 L C Z x d W 9 0 O 1 N l Y 3 R p b 2 4 x L 1 9 n c m F 2 X z M y X z E z L 0 d l w 6 R u Z G V y d G V y I F R 5 c C 5 7 d 2 9 y a 1 9 0 a W 1 l X 2 1 h e C w 0 f S Z x d W 9 0 O y w m c X V v d D t T Z W N 0 a W 9 u M S 9 f Z 3 J h d l 8 z M l 8 x M y 9 H Z c O k b m R l c n R l c i B U e X A u e 3 B y Z X B f d G l t Z V 9 t a W 4 s N X 0 m c X V v d D s s J n F 1 b 3 Q 7 U 2 V j d G l v b j E v X 2 d y Y X Z f M z J f M T M v R 2 X D p G 5 k Z X J 0 Z X I g V H l w L n t w c m V w X 3 R p b W V f Y X Z n L D Z 9 J n F 1 b 3 Q 7 L C Z x d W 9 0 O 1 N l Y 3 R p b 2 4 x L 1 9 n c m F 2 X z M y X z E z L 0 d l w 6 R u Z G V y d G V y I F R 5 c C 5 7 c H J l c F 9 0 a W 1 l X 2 1 h e C w 3 f S Z x d W 9 0 O y w m c X V v d D t T Z W N 0 a W 9 u M S 9 f Z 3 J h d l 8 z M l 8 x M y 9 H Z c O k b m R l c n R l c i B U e X A u e 2 N v b W 1 f d G l t Z V 9 t a W 4 s O H 0 m c X V v d D s s J n F 1 b 3 Q 7 U 2 V j d G l v b j E v X 2 d y Y X Z f M z J f M T M v R 2 X D p G 5 k Z X J 0 Z X I g V H l w L n t j b 2 1 t X 3 R p b W V f Y X Z n L D l 9 J n F 1 b 3 Q 7 L C Z x d W 9 0 O 1 N l Y 3 R p b 2 4 x L 1 9 n c m F 2 X z M y X z E z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z L 0 d l w 6 R u Z G V y d G V y I F R 5 c C 5 7 c 3 R l c C w w f S Z x d W 9 0 O y w m c X V v d D t T Z W N 0 a W 9 u M S 9 f Z 3 J h d l 8 z M l 8 x M y 9 H Z c O k b m R l c n R l c i B U e X A u e 3 R v d G F s X 3 R p b W U s M X 0 m c X V v d D s s J n F 1 b 3 Q 7 U 2 V j d G l v b j E v X 2 d y Y X Z f M z J f M T M v R 2 X D p G 5 k Z X J 0 Z X I g V H l w L n t 3 b 3 J r X 3 R p b W V f b W l u L D J 9 J n F 1 b 3 Q 7 L C Z x d W 9 0 O 1 N l Y 3 R p b 2 4 x L 1 9 n c m F 2 X z M y X z E z L 0 d l w 6 R u Z G V y d G V y I F R 5 c C 5 7 d 2 9 y a 1 9 0 a W 1 l X 2 F 2 Z y w z f S Z x d W 9 0 O y w m c X V v d D t T Z W N 0 a W 9 u M S 9 f Z 3 J h d l 8 z M l 8 x M y 9 H Z c O k b m R l c n R l c i B U e X A u e 3 d v c m t f d G l t Z V 9 t Y X g s N H 0 m c X V v d D s s J n F 1 b 3 Q 7 U 2 V j d G l v b j E v X 2 d y Y X Z f M z J f M T M v R 2 X D p G 5 k Z X J 0 Z X I g V H l w L n t w c m V w X 3 R p b W V f b W l u L D V 9 J n F 1 b 3 Q 7 L C Z x d W 9 0 O 1 N l Y 3 R p b 2 4 x L 1 9 n c m F 2 X z M y X z E z L 0 d l w 6 R u Z G V y d G V y I F R 5 c C 5 7 c H J l c F 9 0 a W 1 l X 2 F 2 Z y w 2 f S Z x d W 9 0 O y w m c X V v d D t T Z W N 0 a W 9 u M S 9 f Z 3 J h d l 8 z M l 8 x M y 9 H Z c O k b m R l c n R l c i B U e X A u e 3 B y Z X B f d G l t Z V 9 t Y X g s N 3 0 m c X V v d D s s J n F 1 b 3 Q 7 U 2 V j d G l v b j E v X 2 d y Y X Z f M z J f M T M v R 2 X D p G 5 k Z X J 0 Z X I g V H l w L n t j b 2 1 t X 3 R p b W V f b W l u L D h 9 J n F 1 b 3 Q 7 L C Z x d W 9 0 O 1 N l Y 3 R p b 2 4 x L 1 9 n c m F 2 X z M y X z E z L 0 d l w 6 R u Z G V y d G V y I F R 5 c C 5 7 Y 2 9 t b V 9 0 a W 1 l X 2 F 2 Z y w 5 f S Z x d W 9 0 O y w m c X V v d D t T Z W N 0 a W 9 u M S 9 f Z 3 J h d l 8 z M l 8 x M y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M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0 O j E w L j c 4 N j I x N T l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Q v R 2 X D p G 5 k Z X J 0 Z X I g V H l w L n t z d G V w L D B 9 J n F 1 b 3 Q 7 L C Z x d W 9 0 O 1 N l Y 3 R p b 2 4 x L 1 9 n c m F 2 X z M y X z E 0 L 0 d l w 6 R u Z G V y d G V y I F R 5 c C 5 7 d G 9 0 Y W x f d G l t Z S w x f S Z x d W 9 0 O y w m c X V v d D t T Z W N 0 a W 9 u M S 9 f Z 3 J h d l 8 z M l 8 x N C 9 H Z c O k b m R l c n R l c i B U e X A u e 3 d v c m t f d G l t Z V 9 t a W 4 s M n 0 m c X V v d D s s J n F 1 b 3 Q 7 U 2 V j d G l v b j E v X 2 d y Y X Z f M z J f M T Q v R 2 X D p G 5 k Z X J 0 Z X I g V H l w L n t 3 b 3 J r X 3 R p b W V f Y X Z n L D N 9 J n F 1 b 3 Q 7 L C Z x d W 9 0 O 1 N l Y 3 R p b 2 4 x L 1 9 n c m F 2 X z M y X z E 0 L 0 d l w 6 R u Z G V y d G V y I F R 5 c C 5 7 d 2 9 y a 1 9 0 a W 1 l X 2 1 h e C w 0 f S Z x d W 9 0 O y w m c X V v d D t T Z W N 0 a W 9 u M S 9 f Z 3 J h d l 8 z M l 8 x N C 9 H Z c O k b m R l c n R l c i B U e X A u e 3 B y Z X B f d G l t Z V 9 t a W 4 s N X 0 m c X V v d D s s J n F 1 b 3 Q 7 U 2 V j d G l v b j E v X 2 d y Y X Z f M z J f M T Q v R 2 X D p G 5 k Z X J 0 Z X I g V H l w L n t w c m V w X 3 R p b W V f Y X Z n L D Z 9 J n F 1 b 3 Q 7 L C Z x d W 9 0 O 1 N l Y 3 R p b 2 4 x L 1 9 n c m F 2 X z M y X z E 0 L 0 d l w 6 R u Z G V y d G V y I F R 5 c C 5 7 c H J l c F 9 0 a W 1 l X 2 1 h e C w 3 f S Z x d W 9 0 O y w m c X V v d D t T Z W N 0 a W 9 u M S 9 f Z 3 J h d l 8 z M l 8 x N C 9 H Z c O k b m R l c n R l c i B U e X A u e 2 N v b W 1 f d G l t Z V 9 t a W 4 s O H 0 m c X V v d D s s J n F 1 b 3 Q 7 U 2 V j d G l v b j E v X 2 d y Y X Z f M z J f M T Q v R 2 X D p G 5 k Z X J 0 Z X I g V H l w L n t j b 2 1 t X 3 R p b W V f Y X Z n L D l 9 J n F 1 b 3 Q 7 L C Z x d W 9 0 O 1 N l Y 3 R p b 2 4 x L 1 9 n c m F 2 X z M y X z E 0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0 L 0 d l w 6 R u Z G V y d G V y I F R 5 c C 5 7 c 3 R l c C w w f S Z x d W 9 0 O y w m c X V v d D t T Z W N 0 a W 9 u M S 9 f Z 3 J h d l 8 z M l 8 x N C 9 H Z c O k b m R l c n R l c i B U e X A u e 3 R v d G F s X 3 R p b W U s M X 0 m c X V v d D s s J n F 1 b 3 Q 7 U 2 V j d G l v b j E v X 2 d y Y X Z f M z J f M T Q v R 2 X D p G 5 k Z X J 0 Z X I g V H l w L n t 3 b 3 J r X 3 R p b W V f b W l u L D J 9 J n F 1 b 3 Q 7 L C Z x d W 9 0 O 1 N l Y 3 R p b 2 4 x L 1 9 n c m F 2 X z M y X z E 0 L 0 d l w 6 R u Z G V y d G V y I F R 5 c C 5 7 d 2 9 y a 1 9 0 a W 1 l X 2 F 2 Z y w z f S Z x d W 9 0 O y w m c X V v d D t T Z W N 0 a W 9 u M S 9 f Z 3 J h d l 8 z M l 8 x N C 9 H Z c O k b m R l c n R l c i B U e X A u e 3 d v c m t f d G l t Z V 9 t Y X g s N H 0 m c X V v d D s s J n F 1 b 3 Q 7 U 2 V j d G l v b j E v X 2 d y Y X Z f M z J f M T Q v R 2 X D p G 5 k Z X J 0 Z X I g V H l w L n t w c m V w X 3 R p b W V f b W l u L D V 9 J n F 1 b 3 Q 7 L C Z x d W 9 0 O 1 N l Y 3 R p b 2 4 x L 1 9 n c m F 2 X z M y X z E 0 L 0 d l w 6 R u Z G V y d G V y I F R 5 c C 5 7 c H J l c F 9 0 a W 1 l X 2 F 2 Z y w 2 f S Z x d W 9 0 O y w m c X V v d D t T Z W N 0 a W 9 u M S 9 f Z 3 J h d l 8 z M l 8 x N C 9 H Z c O k b m R l c n R l c i B U e X A u e 3 B y Z X B f d G l t Z V 9 t Y X g s N 3 0 m c X V v d D s s J n F 1 b 3 Q 7 U 2 V j d G l v b j E v X 2 d y Y X Z f M z J f M T Q v R 2 X D p G 5 k Z X J 0 Z X I g V H l w L n t j b 2 1 t X 3 R p b W V f b W l u L D h 9 J n F 1 b 3 Q 7 L C Z x d W 9 0 O 1 N l Y 3 R p b 2 4 x L 1 9 n c m F 2 X z M y X z E 0 L 0 d l w 6 R u Z G V y d G V y I F R 5 c C 5 7 Y 2 9 t b V 9 0 a W 1 l X 2 F 2 Z y w 5 f S Z x d W 9 0 O y w m c X V v d D t T Z W N 0 a W 9 u M S 9 f Z 3 J h d l 8 z M l 8 x N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0 O j E 2 L j Q y M T k 4 N D l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U v R 2 X D p G 5 k Z X J 0 Z X I g V H l w L n t z d G V w L D B 9 J n F 1 b 3 Q 7 L C Z x d W 9 0 O 1 N l Y 3 R p b 2 4 x L 1 9 n c m F 2 X z M y X z E 1 L 0 d l w 6 R u Z G V y d G V y I F R 5 c C 5 7 d G 9 0 Y W x f d G l t Z S w x f S Z x d W 9 0 O y w m c X V v d D t T Z W N 0 a W 9 u M S 9 f Z 3 J h d l 8 z M l 8 x N S 9 H Z c O k b m R l c n R l c i B U e X A u e 3 d v c m t f d G l t Z V 9 t a W 4 s M n 0 m c X V v d D s s J n F 1 b 3 Q 7 U 2 V j d G l v b j E v X 2 d y Y X Z f M z J f M T U v R 2 X D p G 5 k Z X J 0 Z X I g V H l w L n t 3 b 3 J r X 3 R p b W V f Y X Z n L D N 9 J n F 1 b 3 Q 7 L C Z x d W 9 0 O 1 N l Y 3 R p b 2 4 x L 1 9 n c m F 2 X z M y X z E 1 L 0 d l w 6 R u Z G V y d G V y I F R 5 c C 5 7 d 2 9 y a 1 9 0 a W 1 l X 2 1 h e C w 0 f S Z x d W 9 0 O y w m c X V v d D t T Z W N 0 a W 9 u M S 9 f Z 3 J h d l 8 z M l 8 x N S 9 H Z c O k b m R l c n R l c i B U e X A u e 3 B y Z X B f d G l t Z V 9 t a W 4 s N X 0 m c X V v d D s s J n F 1 b 3 Q 7 U 2 V j d G l v b j E v X 2 d y Y X Z f M z J f M T U v R 2 X D p G 5 k Z X J 0 Z X I g V H l w L n t w c m V w X 3 R p b W V f Y X Z n L D Z 9 J n F 1 b 3 Q 7 L C Z x d W 9 0 O 1 N l Y 3 R p b 2 4 x L 1 9 n c m F 2 X z M y X z E 1 L 0 d l w 6 R u Z G V y d G V y I F R 5 c C 5 7 c H J l c F 9 0 a W 1 l X 2 1 h e C w 3 f S Z x d W 9 0 O y w m c X V v d D t T Z W N 0 a W 9 u M S 9 f Z 3 J h d l 8 z M l 8 x N S 9 H Z c O k b m R l c n R l c i B U e X A u e 2 N v b W 1 f d G l t Z V 9 t a W 4 s O H 0 m c X V v d D s s J n F 1 b 3 Q 7 U 2 V j d G l v b j E v X 2 d y Y X Z f M z J f M T U v R 2 X D p G 5 k Z X J 0 Z X I g V H l w L n t j b 2 1 t X 3 R p b W V f Y X Z n L D l 9 J n F 1 b 3 Q 7 L C Z x d W 9 0 O 1 N l Y 3 R p b 2 4 x L 1 9 n c m F 2 X z M y X z E 1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1 L 0 d l w 6 R u Z G V y d G V y I F R 5 c C 5 7 c 3 R l c C w w f S Z x d W 9 0 O y w m c X V v d D t T Z W N 0 a W 9 u M S 9 f Z 3 J h d l 8 z M l 8 x N S 9 H Z c O k b m R l c n R l c i B U e X A u e 3 R v d G F s X 3 R p b W U s M X 0 m c X V v d D s s J n F 1 b 3 Q 7 U 2 V j d G l v b j E v X 2 d y Y X Z f M z J f M T U v R 2 X D p G 5 k Z X J 0 Z X I g V H l w L n t 3 b 3 J r X 3 R p b W V f b W l u L D J 9 J n F 1 b 3 Q 7 L C Z x d W 9 0 O 1 N l Y 3 R p b 2 4 x L 1 9 n c m F 2 X z M y X z E 1 L 0 d l w 6 R u Z G V y d G V y I F R 5 c C 5 7 d 2 9 y a 1 9 0 a W 1 l X 2 F 2 Z y w z f S Z x d W 9 0 O y w m c X V v d D t T Z W N 0 a W 9 u M S 9 f Z 3 J h d l 8 z M l 8 x N S 9 H Z c O k b m R l c n R l c i B U e X A u e 3 d v c m t f d G l t Z V 9 t Y X g s N H 0 m c X V v d D s s J n F 1 b 3 Q 7 U 2 V j d G l v b j E v X 2 d y Y X Z f M z J f M T U v R 2 X D p G 5 k Z X J 0 Z X I g V H l w L n t w c m V w X 3 R p b W V f b W l u L D V 9 J n F 1 b 3 Q 7 L C Z x d W 9 0 O 1 N l Y 3 R p b 2 4 x L 1 9 n c m F 2 X z M y X z E 1 L 0 d l w 6 R u Z G V y d G V y I F R 5 c C 5 7 c H J l c F 9 0 a W 1 l X 2 F 2 Z y w 2 f S Z x d W 9 0 O y w m c X V v d D t T Z W N 0 a W 9 u M S 9 f Z 3 J h d l 8 z M l 8 x N S 9 H Z c O k b m R l c n R l c i B U e X A u e 3 B y Z X B f d G l t Z V 9 t Y X g s N 3 0 m c X V v d D s s J n F 1 b 3 Q 7 U 2 V j d G l v b j E v X 2 d y Y X Z f M z J f M T U v R 2 X D p G 5 k Z X J 0 Z X I g V H l w L n t j b 2 1 t X 3 R p b W V f b W l u L D h 9 J n F 1 b 3 Q 7 L C Z x d W 9 0 O 1 N l Y 3 R p b 2 4 x L 1 9 n c m F 2 X z M y X z E 1 L 0 d l w 6 R u Z G V y d G V y I F R 5 c C 5 7 Y 2 9 t b V 9 0 a W 1 l X 2 F 2 Z y w 5 f S Z x d W 9 0 O y w m c X V v d D t T Z W N 0 a W 9 u M S 9 f Z 3 J h d l 8 z M l 8 x N S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0 O j I z L j U w N j k w N D l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Y v R 2 X D p G 5 k Z X J 0 Z X I g V H l w L n t z d G V w L D B 9 J n F 1 b 3 Q 7 L C Z x d W 9 0 O 1 N l Y 3 R p b 2 4 x L 1 9 n c m F 2 X z M y X z E 2 L 0 d l w 6 R u Z G V y d G V y I F R 5 c C 5 7 d G 9 0 Y W x f d G l t Z S w x f S Z x d W 9 0 O y w m c X V v d D t T Z W N 0 a W 9 u M S 9 f Z 3 J h d l 8 z M l 8 x N i 9 H Z c O k b m R l c n R l c i B U e X A u e 3 d v c m t f d G l t Z V 9 t a W 4 s M n 0 m c X V v d D s s J n F 1 b 3 Q 7 U 2 V j d G l v b j E v X 2 d y Y X Z f M z J f M T Y v R 2 X D p G 5 k Z X J 0 Z X I g V H l w L n t 3 b 3 J r X 3 R p b W V f Y X Z n L D N 9 J n F 1 b 3 Q 7 L C Z x d W 9 0 O 1 N l Y 3 R p b 2 4 x L 1 9 n c m F 2 X z M y X z E 2 L 0 d l w 6 R u Z G V y d G V y I F R 5 c C 5 7 d 2 9 y a 1 9 0 a W 1 l X 2 1 h e C w 0 f S Z x d W 9 0 O y w m c X V v d D t T Z W N 0 a W 9 u M S 9 f Z 3 J h d l 8 z M l 8 x N i 9 H Z c O k b m R l c n R l c i B U e X A u e 3 B y Z X B f d G l t Z V 9 t a W 4 s N X 0 m c X V v d D s s J n F 1 b 3 Q 7 U 2 V j d G l v b j E v X 2 d y Y X Z f M z J f M T Y v R 2 X D p G 5 k Z X J 0 Z X I g V H l w L n t w c m V w X 3 R p b W V f Y X Z n L D Z 9 J n F 1 b 3 Q 7 L C Z x d W 9 0 O 1 N l Y 3 R p b 2 4 x L 1 9 n c m F 2 X z M y X z E 2 L 0 d l w 6 R u Z G V y d G V y I F R 5 c C 5 7 c H J l c F 9 0 a W 1 l X 2 1 h e C w 3 f S Z x d W 9 0 O y w m c X V v d D t T Z W N 0 a W 9 u M S 9 f Z 3 J h d l 8 z M l 8 x N i 9 H Z c O k b m R l c n R l c i B U e X A u e 2 N v b W 1 f d G l t Z V 9 t a W 4 s O H 0 m c X V v d D s s J n F 1 b 3 Q 7 U 2 V j d G l v b j E v X 2 d y Y X Z f M z J f M T Y v R 2 X D p G 5 k Z X J 0 Z X I g V H l w L n t j b 2 1 t X 3 R p b W V f Y X Z n L D l 9 J n F 1 b 3 Q 7 L C Z x d W 9 0 O 1 N l Y 3 R p b 2 4 x L 1 9 n c m F 2 X z M y X z E 2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2 L 0 d l w 6 R u Z G V y d G V y I F R 5 c C 5 7 c 3 R l c C w w f S Z x d W 9 0 O y w m c X V v d D t T Z W N 0 a W 9 u M S 9 f Z 3 J h d l 8 z M l 8 x N i 9 H Z c O k b m R l c n R l c i B U e X A u e 3 R v d G F s X 3 R p b W U s M X 0 m c X V v d D s s J n F 1 b 3 Q 7 U 2 V j d G l v b j E v X 2 d y Y X Z f M z J f M T Y v R 2 X D p G 5 k Z X J 0 Z X I g V H l w L n t 3 b 3 J r X 3 R p b W V f b W l u L D J 9 J n F 1 b 3 Q 7 L C Z x d W 9 0 O 1 N l Y 3 R p b 2 4 x L 1 9 n c m F 2 X z M y X z E 2 L 0 d l w 6 R u Z G V y d G V y I F R 5 c C 5 7 d 2 9 y a 1 9 0 a W 1 l X 2 F 2 Z y w z f S Z x d W 9 0 O y w m c X V v d D t T Z W N 0 a W 9 u M S 9 f Z 3 J h d l 8 z M l 8 x N i 9 H Z c O k b m R l c n R l c i B U e X A u e 3 d v c m t f d G l t Z V 9 t Y X g s N H 0 m c X V v d D s s J n F 1 b 3 Q 7 U 2 V j d G l v b j E v X 2 d y Y X Z f M z J f M T Y v R 2 X D p G 5 k Z X J 0 Z X I g V H l w L n t w c m V w X 3 R p b W V f b W l u L D V 9 J n F 1 b 3 Q 7 L C Z x d W 9 0 O 1 N l Y 3 R p b 2 4 x L 1 9 n c m F 2 X z M y X z E 2 L 0 d l w 6 R u Z G V y d G V y I F R 5 c C 5 7 c H J l c F 9 0 a W 1 l X 2 F 2 Z y w 2 f S Z x d W 9 0 O y w m c X V v d D t T Z W N 0 a W 9 u M S 9 f Z 3 J h d l 8 z M l 8 x N i 9 H Z c O k b m R l c n R l c i B U e X A u e 3 B y Z X B f d G l t Z V 9 t Y X g s N 3 0 m c X V v d D s s J n F 1 b 3 Q 7 U 2 V j d G l v b j E v X 2 d y Y X Z f M z J f M T Y v R 2 X D p G 5 k Z X J 0 Z X I g V H l w L n t j b 2 1 t X 3 R p b W V f b W l u L D h 9 J n F 1 b 3 Q 7 L C Z x d W 9 0 O 1 N l Y 3 R p b 2 4 x L 1 9 n c m F 2 X z M y X z E 2 L 0 d l w 6 R u Z G V y d G V y I F R 5 c C 5 7 Y 2 9 t b V 9 0 a W 1 l X 2 F 2 Z y w 5 f S Z x d W 9 0 O y w m c X V v d D t T Z W N 0 a W 9 u M S 9 f Z 3 J h d l 8 z M l 8 x N i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0 O j M w L j c w O D c x M z N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c v R 2 X D p G 5 k Z X J 0 Z X I g V H l w L n t z d G V w L D B 9 J n F 1 b 3 Q 7 L C Z x d W 9 0 O 1 N l Y 3 R p b 2 4 x L 1 9 n c m F 2 X z M y X z E 3 L 0 d l w 6 R u Z G V y d G V y I F R 5 c C 5 7 d G 9 0 Y W x f d G l t Z S w x f S Z x d W 9 0 O y w m c X V v d D t T Z W N 0 a W 9 u M S 9 f Z 3 J h d l 8 z M l 8 x N y 9 H Z c O k b m R l c n R l c i B U e X A u e 3 d v c m t f d G l t Z V 9 t a W 4 s M n 0 m c X V v d D s s J n F 1 b 3 Q 7 U 2 V j d G l v b j E v X 2 d y Y X Z f M z J f M T c v R 2 X D p G 5 k Z X J 0 Z X I g V H l w L n t 3 b 3 J r X 3 R p b W V f Y X Z n L D N 9 J n F 1 b 3 Q 7 L C Z x d W 9 0 O 1 N l Y 3 R p b 2 4 x L 1 9 n c m F 2 X z M y X z E 3 L 0 d l w 6 R u Z G V y d G V y I F R 5 c C 5 7 d 2 9 y a 1 9 0 a W 1 l X 2 1 h e C w 0 f S Z x d W 9 0 O y w m c X V v d D t T Z W N 0 a W 9 u M S 9 f Z 3 J h d l 8 z M l 8 x N y 9 H Z c O k b m R l c n R l c i B U e X A u e 3 B y Z X B f d G l t Z V 9 t a W 4 s N X 0 m c X V v d D s s J n F 1 b 3 Q 7 U 2 V j d G l v b j E v X 2 d y Y X Z f M z J f M T c v R 2 X D p G 5 k Z X J 0 Z X I g V H l w L n t w c m V w X 3 R p b W V f Y X Z n L D Z 9 J n F 1 b 3 Q 7 L C Z x d W 9 0 O 1 N l Y 3 R p b 2 4 x L 1 9 n c m F 2 X z M y X z E 3 L 0 d l w 6 R u Z G V y d G V y I F R 5 c C 5 7 c H J l c F 9 0 a W 1 l X 2 1 h e C w 3 f S Z x d W 9 0 O y w m c X V v d D t T Z W N 0 a W 9 u M S 9 f Z 3 J h d l 8 z M l 8 x N y 9 H Z c O k b m R l c n R l c i B U e X A u e 2 N v b W 1 f d G l t Z V 9 t a W 4 s O H 0 m c X V v d D s s J n F 1 b 3 Q 7 U 2 V j d G l v b j E v X 2 d y Y X Z f M z J f M T c v R 2 X D p G 5 k Z X J 0 Z X I g V H l w L n t j b 2 1 t X 3 R p b W V f Y X Z n L D l 9 J n F 1 b 3 Q 7 L C Z x d W 9 0 O 1 N l Y 3 R p b 2 4 x L 1 9 n c m F 2 X z M y X z E 3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3 L 0 d l w 6 R u Z G V y d G V y I F R 5 c C 5 7 c 3 R l c C w w f S Z x d W 9 0 O y w m c X V v d D t T Z W N 0 a W 9 u M S 9 f Z 3 J h d l 8 z M l 8 x N y 9 H Z c O k b m R l c n R l c i B U e X A u e 3 R v d G F s X 3 R p b W U s M X 0 m c X V v d D s s J n F 1 b 3 Q 7 U 2 V j d G l v b j E v X 2 d y Y X Z f M z J f M T c v R 2 X D p G 5 k Z X J 0 Z X I g V H l w L n t 3 b 3 J r X 3 R p b W V f b W l u L D J 9 J n F 1 b 3 Q 7 L C Z x d W 9 0 O 1 N l Y 3 R p b 2 4 x L 1 9 n c m F 2 X z M y X z E 3 L 0 d l w 6 R u Z G V y d G V y I F R 5 c C 5 7 d 2 9 y a 1 9 0 a W 1 l X 2 F 2 Z y w z f S Z x d W 9 0 O y w m c X V v d D t T Z W N 0 a W 9 u M S 9 f Z 3 J h d l 8 z M l 8 x N y 9 H Z c O k b m R l c n R l c i B U e X A u e 3 d v c m t f d G l t Z V 9 t Y X g s N H 0 m c X V v d D s s J n F 1 b 3 Q 7 U 2 V j d G l v b j E v X 2 d y Y X Z f M z J f M T c v R 2 X D p G 5 k Z X J 0 Z X I g V H l w L n t w c m V w X 3 R p b W V f b W l u L D V 9 J n F 1 b 3 Q 7 L C Z x d W 9 0 O 1 N l Y 3 R p b 2 4 x L 1 9 n c m F 2 X z M y X z E 3 L 0 d l w 6 R u Z G V y d G V y I F R 5 c C 5 7 c H J l c F 9 0 a W 1 l X 2 F 2 Z y w 2 f S Z x d W 9 0 O y w m c X V v d D t T Z W N 0 a W 9 u M S 9 f Z 3 J h d l 8 z M l 8 x N y 9 H Z c O k b m R l c n R l c i B U e X A u e 3 B y Z X B f d G l t Z V 9 t Y X g s N 3 0 m c X V v d D s s J n F 1 b 3 Q 7 U 2 V j d G l v b j E v X 2 d y Y X Z f M z J f M T c v R 2 X D p G 5 k Z X J 0 Z X I g V H l w L n t j b 2 1 t X 3 R p b W V f b W l u L D h 9 J n F 1 b 3 Q 7 L C Z x d W 9 0 O 1 N l Y 3 R p b 2 4 x L 1 9 n c m F 2 X z M y X z E 3 L 0 d l w 6 R u Z G V y d G V y I F R 5 c C 5 7 Y 2 9 t b V 9 0 a W 1 l X 2 F 2 Z y w 5 f S Z x d W 9 0 O y w m c X V v d D t T Z W N 0 a W 9 u M S 9 f Z 3 J h d l 8 z M l 8 x N y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N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N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0 O j M 4 L j E 2 N T M 5 N T d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g v R 2 X D p G 5 k Z X J 0 Z X I g V H l w L n t z d G V w L D B 9 J n F 1 b 3 Q 7 L C Z x d W 9 0 O 1 N l Y 3 R p b 2 4 x L 1 9 n c m F 2 X z M y X z E 4 L 0 d l w 6 R u Z G V y d G V y I F R 5 c C 5 7 d G 9 0 Y W x f d G l t Z S w x f S Z x d W 9 0 O y w m c X V v d D t T Z W N 0 a W 9 u M S 9 f Z 3 J h d l 8 z M l 8 x O C 9 H Z c O k b m R l c n R l c i B U e X A u e 3 d v c m t f d G l t Z V 9 t a W 4 s M n 0 m c X V v d D s s J n F 1 b 3 Q 7 U 2 V j d G l v b j E v X 2 d y Y X Z f M z J f M T g v R 2 X D p G 5 k Z X J 0 Z X I g V H l w L n t 3 b 3 J r X 3 R p b W V f Y X Z n L D N 9 J n F 1 b 3 Q 7 L C Z x d W 9 0 O 1 N l Y 3 R p b 2 4 x L 1 9 n c m F 2 X z M y X z E 4 L 0 d l w 6 R u Z G V y d G V y I F R 5 c C 5 7 d 2 9 y a 1 9 0 a W 1 l X 2 1 h e C w 0 f S Z x d W 9 0 O y w m c X V v d D t T Z W N 0 a W 9 u M S 9 f Z 3 J h d l 8 z M l 8 x O C 9 H Z c O k b m R l c n R l c i B U e X A u e 3 B y Z X B f d G l t Z V 9 t a W 4 s N X 0 m c X V v d D s s J n F 1 b 3 Q 7 U 2 V j d G l v b j E v X 2 d y Y X Z f M z J f M T g v R 2 X D p G 5 k Z X J 0 Z X I g V H l w L n t w c m V w X 3 R p b W V f Y X Z n L D Z 9 J n F 1 b 3 Q 7 L C Z x d W 9 0 O 1 N l Y 3 R p b 2 4 x L 1 9 n c m F 2 X z M y X z E 4 L 0 d l w 6 R u Z G V y d G V y I F R 5 c C 5 7 c H J l c F 9 0 a W 1 l X 2 1 h e C w 3 f S Z x d W 9 0 O y w m c X V v d D t T Z W N 0 a W 9 u M S 9 f Z 3 J h d l 8 z M l 8 x O C 9 H Z c O k b m R l c n R l c i B U e X A u e 2 N v b W 1 f d G l t Z V 9 t a W 4 s O H 0 m c X V v d D s s J n F 1 b 3 Q 7 U 2 V j d G l v b j E v X 2 d y Y X Z f M z J f M T g v R 2 X D p G 5 k Z X J 0 Z X I g V H l w L n t j b 2 1 t X 3 R p b W V f Y X Z n L D l 9 J n F 1 b 3 Q 7 L C Z x d W 9 0 O 1 N l Y 3 R p b 2 4 x L 1 9 n c m F 2 X z M y X z E 4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4 L 0 d l w 6 R u Z G V y d G V y I F R 5 c C 5 7 c 3 R l c C w w f S Z x d W 9 0 O y w m c X V v d D t T Z W N 0 a W 9 u M S 9 f Z 3 J h d l 8 z M l 8 x O C 9 H Z c O k b m R l c n R l c i B U e X A u e 3 R v d G F s X 3 R p b W U s M X 0 m c X V v d D s s J n F 1 b 3 Q 7 U 2 V j d G l v b j E v X 2 d y Y X Z f M z J f M T g v R 2 X D p G 5 k Z X J 0 Z X I g V H l w L n t 3 b 3 J r X 3 R p b W V f b W l u L D J 9 J n F 1 b 3 Q 7 L C Z x d W 9 0 O 1 N l Y 3 R p b 2 4 x L 1 9 n c m F 2 X z M y X z E 4 L 0 d l w 6 R u Z G V y d G V y I F R 5 c C 5 7 d 2 9 y a 1 9 0 a W 1 l X 2 F 2 Z y w z f S Z x d W 9 0 O y w m c X V v d D t T Z W N 0 a W 9 u M S 9 f Z 3 J h d l 8 z M l 8 x O C 9 H Z c O k b m R l c n R l c i B U e X A u e 3 d v c m t f d G l t Z V 9 t Y X g s N H 0 m c X V v d D s s J n F 1 b 3 Q 7 U 2 V j d G l v b j E v X 2 d y Y X Z f M z J f M T g v R 2 X D p G 5 k Z X J 0 Z X I g V H l w L n t w c m V w X 3 R p b W V f b W l u L D V 9 J n F 1 b 3 Q 7 L C Z x d W 9 0 O 1 N l Y 3 R p b 2 4 x L 1 9 n c m F 2 X z M y X z E 4 L 0 d l w 6 R u Z G V y d G V y I F R 5 c C 5 7 c H J l c F 9 0 a W 1 l X 2 F 2 Z y w 2 f S Z x d W 9 0 O y w m c X V v d D t T Z W N 0 a W 9 u M S 9 f Z 3 J h d l 8 z M l 8 x O C 9 H Z c O k b m R l c n R l c i B U e X A u e 3 B y Z X B f d G l t Z V 9 t Y X g s N 3 0 m c X V v d D s s J n F 1 b 3 Q 7 U 2 V j d G l v b j E v X 2 d y Y X Z f M z J f M T g v R 2 X D p G 5 k Z X J 0 Z X I g V H l w L n t j b 2 1 t X 3 R p b W V f b W l u L D h 9 J n F 1 b 3 Q 7 L C Z x d W 9 0 O 1 N l Y 3 R p b 2 4 x L 1 9 n c m F 2 X z M y X z E 4 L 0 d l w 6 R u Z G V y d G V y I F R 5 c C 5 7 Y 2 9 t b V 9 0 a W 1 l X 2 F 2 Z y w 5 f S Z x d W 9 0 O y w m c X V v d D t T Z W N 0 a W 9 u M S 9 f Z 3 J h d l 8 z M l 8 x O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O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0 O j Q z L j Y w N j Y w M j l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T k v R 2 X D p G 5 k Z X J 0 Z X I g V H l w L n t z d G V w L D B 9 J n F 1 b 3 Q 7 L C Z x d W 9 0 O 1 N l Y 3 R p b 2 4 x L 1 9 n c m F 2 X z M y X z E 5 L 0 d l w 6 R u Z G V y d G V y I F R 5 c C 5 7 d G 9 0 Y W x f d G l t Z S w x f S Z x d W 9 0 O y w m c X V v d D t T Z W N 0 a W 9 u M S 9 f Z 3 J h d l 8 z M l 8 x O S 9 H Z c O k b m R l c n R l c i B U e X A u e 3 d v c m t f d G l t Z V 9 t a W 4 s M n 0 m c X V v d D s s J n F 1 b 3 Q 7 U 2 V j d G l v b j E v X 2 d y Y X Z f M z J f M T k v R 2 X D p G 5 k Z X J 0 Z X I g V H l w L n t 3 b 3 J r X 3 R p b W V f Y X Z n L D N 9 J n F 1 b 3 Q 7 L C Z x d W 9 0 O 1 N l Y 3 R p b 2 4 x L 1 9 n c m F 2 X z M y X z E 5 L 0 d l w 6 R u Z G V y d G V y I F R 5 c C 5 7 d 2 9 y a 1 9 0 a W 1 l X 2 1 h e C w 0 f S Z x d W 9 0 O y w m c X V v d D t T Z W N 0 a W 9 u M S 9 f Z 3 J h d l 8 z M l 8 x O S 9 H Z c O k b m R l c n R l c i B U e X A u e 3 B y Z X B f d G l t Z V 9 t a W 4 s N X 0 m c X V v d D s s J n F 1 b 3 Q 7 U 2 V j d G l v b j E v X 2 d y Y X Z f M z J f M T k v R 2 X D p G 5 k Z X J 0 Z X I g V H l w L n t w c m V w X 3 R p b W V f Y X Z n L D Z 9 J n F 1 b 3 Q 7 L C Z x d W 9 0 O 1 N l Y 3 R p b 2 4 x L 1 9 n c m F 2 X z M y X z E 5 L 0 d l w 6 R u Z G V y d G V y I F R 5 c C 5 7 c H J l c F 9 0 a W 1 l X 2 1 h e C w 3 f S Z x d W 9 0 O y w m c X V v d D t T Z W N 0 a W 9 u M S 9 f Z 3 J h d l 8 z M l 8 x O S 9 H Z c O k b m R l c n R l c i B U e X A u e 2 N v b W 1 f d G l t Z V 9 t a W 4 s O H 0 m c X V v d D s s J n F 1 b 3 Q 7 U 2 V j d G l v b j E v X 2 d y Y X Z f M z J f M T k v R 2 X D p G 5 k Z X J 0 Z X I g V H l w L n t j b 2 1 t X 3 R p b W V f Y X Z n L D l 9 J n F 1 b 3 Q 7 L C Z x d W 9 0 O 1 N l Y 3 R p b 2 4 x L 1 9 n c m F 2 X z M y X z E 5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E 5 L 0 d l w 6 R u Z G V y d G V y I F R 5 c C 5 7 c 3 R l c C w w f S Z x d W 9 0 O y w m c X V v d D t T Z W N 0 a W 9 u M S 9 f Z 3 J h d l 8 z M l 8 x O S 9 H Z c O k b m R l c n R l c i B U e X A u e 3 R v d G F s X 3 R p b W U s M X 0 m c X V v d D s s J n F 1 b 3 Q 7 U 2 V j d G l v b j E v X 2 d y Y X Z f M z J f M T k v R 2 X D p G 5 k Z X J 0 Z X I g V H l w L n t 3 b 3 J r X 3 R p b W V f b W l u L D J 9 J n F 1 b 3 Q 7 L C Z x d W 9 0 O 1 N l Y 3 R p b 2 4 x L 1 9 n c m F 2 X z M y X z E 5 L 0 d l w 6 R u Z G V y d G V y I F R 5 c C 5 7 d 2 9 y a 1 9 0 a W 1 l X 2 F 2 Z y w z f S Z x d W 9 0 O y w m c X V v d D t T Z W N 0 a W 9 u M S 9 f Z 3 J h d l 8 z M l 8 x O S 9 H Z c O k b m R l c n R l c i B U e X A u e 3 d v c m t f d G l t Z V 9 t Y X g s N H 0 m c X V v d D s s J n F 1 b 3 Q 7 U 2 V j d G l v b j E v X 2 d y Y X Z f M z J f M T k v R 2 X D p G 5 k Z X J 0 Z X I g V H l w L n t w c m V w X 3 R p b W V f b W l u L D V 9 J n F 1 b 3 Q 7 L C Z x d W 9 0 O 1 N l Y 3 R p b 2 4 x L 1 9 n c m F 2 X z M y X z E 5 L 0 d l w 6 R u Z G V y d G V y I F R 5 c C 5 7 c H J l c F 9 0 a W 1 l X 2 F 2 Z y w 2 f S Z x d W 9 0 O y w m c X V v d D t T Z W N 0 a W 9 u M S 9 f Z 3 J h d l 8 z M l 8 x O S 9 H Z c O k b m R l c n R l c i B U e X A u e 3 B y Z X B f d G l t Z V 9 t Y X g s N 3 0 m c X V v d D s s J n F 1 b 3 Q 7 U 2 V j d G l v b j E v X 2 d y Y X Z f M z J f M T k v R 2 X D p G 5 k Z X J 0 Z X I g V H l w L n t j b 2 1 t X 3 R p b W V f b W l u L D h 9 J n F 1 b 3 Q 7 L C Z x d W 9 0 O 1 N l Y 3 R p b 2 4 x L 1 9 n c m F 2 X z M y X z E 5 L 0 d l w 6 R u Z G V y d G V y I F R 5 c C 5 7 Y 2 9 t b V 9 0 a W 1 l X 2 F 2 Z y w 5 f S Z x d W 9 0 O y w m c X V v d D t T Z W N 0 a W 9 u M S 9 f Z 3 J h d l 8 z M l 8 x O S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x O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x O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2 L T A 4 V D A 3 O j U 0 O j Q 5 L j U y M D c 2 M z R a I i A v P j x F b n R y e S B U e X B l P S J G a W x s Q 2 9 s d W 1 u V H l w Z X M i I F Z h b H V l P S J z Q X d V R k J R T U Z C U V V G Q l F V P S I g L z 4 8 R W 5 0 c n k g V H l w Z T 0 i R m l s b E N v b H V t b k 5 h b W V z I i B W Y W x 1 Z T 0 i c 1 s m c X V v d D t z d G V w J n F 1 b 3 Q 7 L C Z x d W 9 0 O 3 R v d G F s X 3 R p b W U m c X V v d D s s J n F 1 b 3 Q 7 d 2 9 y a 1 9 0 a W 1 l X 2 1 p b i Z x d W 9 0 O y w m c X V v d D t 3 b 3 J r X 3 R p b W V f Y X Z n J n F 1 b 3 Q 7 L C Z x d W 9 0 O 3 d v c m t f d G l t Z V 9 t Y X g m c X V v d D s s J n F 1 b 3 Q 7 c H J l c F 9 0 a W 1 l X 2 1 p b i Z x d W 9 0 O y w m c X V v d D t w c m V w X 3 R p b W V f Y X Z n J n F 1 b 3 Q 7 L C Z x d W 9 0 O 3 B y Z X B f d G l t Z V 9 t Y X g m c X V v d D s s J n F 1 b 3 Q 7 Y 2 9 t b V 9 0 a W 1 l X 2 1 p b i Z x d W 9 0 O y w m c X V v d D t j b 2 1 t X 3 R p b W V f Y X Z n J n F 1 b 3 Q 7 L C Z x d W 9 0 O 2 N v b W 1 f d G l t Z V 9 t Y X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2 d y Y X Z f M z J f M j A v R 2 X D p G 5 k Z X J 0 Z X I g V H l w L n t z d G V w L D B 9 J n F 1 b 3 Q 7 L C Z x d W 9 0 O 1 N l Y 3 R p b 2 4 x L 1 9 n c m F 2 X z M y X z I w L 0 d l w 6 R u Z G V y d G V y I F R 5 c C 5 7 d G 9 0 Y W x f d G l t Z S w x f S Z x d W 9 0 O y w m c X V v d D t T Z W N 0 a W 9 u M S 9 f Z 3 J h d l 8 z M l 8 y M C 9 H Z c O k b m R l c n R l c i B U e X A u e 3 d v c m t f d G l t Z V 9 t a W 4 s M n 0 m c X V v d D s s J n F 1 b 3 Q 7 U 2 V j d G l v b j E v X 2 d y Y X Z f M z J f M j A v R 2 X D p G 5 k Z X J 0 Z X I g V H l w L n t 3 b 3 J r X 3 R p b W V f Y X Z n L D N 9 J n F 1 b 3 Q 7 L C Z x d W 9 0 O 1 N l Y 3 R p b 2 4 x L 1 9 n c m F 2 X z M y X z I w L 0 d l w 6 R u Z G V y d G V y I F R 5 c C 5 7 d 2 9 y a 1 9 0 a W 1 l X 2 1 h e C w 0 f S Z x d W 9 0 O y w m c X V v d D t T Z W N 0 a W 9 u M S 9 f Z 3 J h d l 8 z M l 8 y M C 9 H Z c O k b m R l c n R l c i B U e X A u e 3 B y Z X B f d G l t Z V 9 t a W 4 s N X 0 m c X V v d D s s J n F 1 b 3 Q 7 U 2 V j d G l v b j E v X 2 d y Y X Z f M z J f M j A v R 2 X D p G 5 k Z X J 0 Z X I g V H l w L n t w c m V w X 3 R p b W V f Y X Z n L D Z 9 J n F 1 b 3 Q 7 L C Z x d W 9 0 O 1 N l Y 3 R p b 2 4 x L 1 9 n c m F 2 X z M y X z I w L 0 d l w 6 R u Z G V y d G V y I F R 5 c C 5 7 c H J l c F 9 0 a W 1 l X 2 1 h e C w 3 f S Z x d W 9 0 O y w m c X V v d D t T Z W N 0 a W 9 u M S 9 f Z 3 J h d l 8 z M l 8 y M C 9 H Z c O k b m R l c n R l c i B U e X A u e 2 N v b W 1 f d G l t Z V 9 t a W 4 s O H 0 m c X V v d D s s J n F 1 b 3 Q 7 U 2 V j d G l v b j E v X 2 d y Y X Z f M z J f M j A v R 2 X D p G 5 k Z X J 0 Z X I g V H l w L n t j b 2 1 t X 3 R p b W V f Y X Z n L D l 9 J n F 1 b 3 Q 7 L C Z x d W 9 0 O 1 N l Y 3 R p b 2 4 x L 1 9 n c m F 2 X z M y X z I w L 0 d l w 6 R u Z G V y d G V y I F R 5 c C 5 7 Y 2 9 t b V 9 0 a W 1 l X 2 1 h e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9 n c m F 2 X z M y X z I w L 0 d l w 6 R u Z G V y d G V y I F R 5 c C 5 7 c 3 R l c C w w f S Z x d W 9 0 O y w m c X V v d D t T Z W N 0 a W 9 u M S 9 f Z 3 J h d l 8 z M l 8 y M C 9 H Z c O k b m R l c n R l c i B U e X A u e 3 R v d G F s X 3 R p b W U s M X 0 m c X V v d D s s J n F 1 b 3 Q 7 U 2 V j d G l v b j E v X 2 d y Y X Z f M z J f M j A v R 2 X D p G 5 k Z X J 0 Z X I g V H l w L n t 3 b 3 J r X 3 R p b W V f b W l u L D J 9 J n F 1 b 3 Q 7 L C Z x d W 9 0 O 1 N l Y 3 R p b 2 4 x L 1 9 n c m F 2 X z M y X z I w L 0 d l w 6 R u Z G V y d G V y I F R 5 c C 5 7 d 2 9 y a 1 9 0 a W 1 l X 2 F 2 Z y w z f S Z x d W 9 0 O y w m c X V v d D t T Z W N 0 a W 9 u M S 9 f Z 3 J h d l 8 z M l 8 y M C 9 H Z c O k b m R l c n R l c i B U e X A u e 3 d v c m t f d G l t Z V 9 t Y X g s N H 0 m c X V v d D s s J n F 1 b 3 Q 7 U 2 V j d G l v b j E v X 2 d y Y X Z f M z J f M j A v R 2 X D p G 5 k Z X J 0 Z X I g V H l w L n t w c m V w X 3 R p b W V f b W l u L D V 9 J n F 1 b 3 Q 7 L C Z x d W 9 0 O 1 N l Y 3 R p b 2 4 x L 1 9 n c m F 2 X z M y X z I w L 0 d l w 6 R u Z G V y d G V y I F R 5 c C 5 7 c H J l c F 9 0 a W 1 l X 2 F 2 Z y w 2 f S Z x d W 9 0 O y w m c X V v d D t T Z W N 0 a W 9 u M S 9 f Z 3 J h d l 8 z M l 8 y M C 9 H Z c O k b m R l c n R l c i B U e X A u e 3 B y Z X B f d G l t Z V 9 t Y X g s N 3 0 m c X V v d D s s J n F 1 b 3 Q 7 U 2 V j d G l v b j E v X 2 d y Y X Z f M z J f M j A v R 2 X D p G 5 k Z X J 0 Z X I g V H l w L n t j b 2 1 t X 3 R p b W V f b W l u L D h 9 J n F 1 b 3 Q 7 L C Z x d W 9 0 O 1 N l Y 3 R p b 2 4 x L 1 9 n c m F 2 X z M y X z I w L 0 d l w 6 R u Z G V y d G V y I F R 5 c C 5 7 Y 2 9 t b V 9 0 a W 1 l X 2 F 2 Z y w 5 f S Z x d W 9 0 O y w m c X V v d D t T Z W N 0 a W 9 u M S 9 f Z 3 J h d l 8 z M l 8 y M C 9 H Z c O k b m R l c n R l c i B U e X A u e 2 N v b W 1 f d G l t Z V 9 t Y X g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Z 3 J h d l 8 z M l 8 y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M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J h d l 8 z M l 8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9 n c m F 2 X z M y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h U M D c 6 N T Q 6 N T c u M D k z M z E 0 O V o i I C 8 + P E V u d H J 5 I F R 5 c G U 9 I k Z p b G x D b 2 x 1 b W 5 U e X B l c y I g V m F s d W U 9 I n N B d 0 1 E Q X d N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y M S 9 H Z c O k b m R l c n R l c i B U e X A u e 3 N 0 Z X A s M H 0 m c X V v d D s s J n F 1 b 3 Q 7 U 2 V j d G l v b j E v X 2 d y Y X Z f M z J f M j E v R 2 X D p G 5 k Z X J 0 Z X I g V H l w L n t 0 b 3 R h b F 9 0 a W 1 l L D F 9 J n F 1 b 3 Q 7 L C Z x d W 9 0 O 1 N l Y 3 R p b 2 4 x L 1 9 n c m F 2 X z M y X z I x L 0 d l w 6 R u Z G V y d G V y I F R 5 c C 5 7 d 2 9 y a 1 9 0 a W 1 l X 2 1 p b i w y f S Z x d W 9 0 O y w m c X V v d D t T Z W N 0 a W 9 u M S 9 f Z 3 J h d l 8 z M l 8 y M S 9 H Z c O k b m R l c n R l c i B U e X A u e 3 d v c m t f d G l t Z V 9 h d m c s M 3 0 m c X V v d D s s J n F 1 b 3 Q 7 U 2 V j d G l v b j E v X 2 d y Y X Z f M z J f M j E v R 2 X D p G 5 k Z X J 0 Z X I g V H l w L n t 3 b 3 J r X 3 R p b W V f b W F 4 L D R 9 J n F 1 b 3 Q 7 L C Z x d W 9 0 O 1 N l Y 3 R p b 2 4 x L 1 9 n c m F 2 X z M y X z I x L 0 d l w 6 R u Z G V y d G V y I F R 5 c C 5 7 c H J l c F 9 0 a W 1 l X 2 1 p b i w 1 f S Z x d W 9 0 O y w m c X V v d D t T Z W N 0 a W 9 u M S 9 f Z 3 J h d l 8 z M l 8 y M S 9 H Z c O k b m R l c n R l c i B U e X A u e 3 B y Z X B f d G l t Z V 9 h d m c s N n 0 m c X V v d D s s J n F 1 b 3 Q 7 U 2 V j d G l v b j E v X 2 d y Y X Z f M z J f M j E v R 2 X D p G 5 k Z X J 0 Z X I g V H l w L n t w c m V w X 3 R p b W V f b W F 4 L D d 9 J n F 1 b 3 Q 7 L C Z x d W 9 0 O 1 N l Y 3 R p b 2 4 x L 1 9 n c m F 2 X z M y X z I x L 0 d l w 6 R u Z G V y d G V y I F R 5 c C 5 7 Y 2 9 t b V 9 0 a W 1 l X 2 1 p b i w 4 f S Z x d W 9 0 O y w m c X V v d D t T Z W N 0 a W 9 u M S 9 f Z 3 J h d l 8 z M l 8 y M S 9 H Z c O k b m R l c n R l c i B U e X A u e 2 N v b W 1 f d G l t Z V 9 h d m c s O X 0 m c X V v d D s s J n F 1 b 3 Q 7 U 2 V j d G l v b j E v X 2 d y Y X Z f M z J f M j E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j E v R 2 X D p G 5 k Z X J 0 Z X I g V H l w L n t z d G V w L D B 9 J n F 1 b 3 Q 7 L C Z x d W 9 0 O 1 N l Y 3 R p b 2 4 x L 1 9 n c m F 2 X z M y X z I x L 0 d l w 6 R u Z G V y d G V y I F R 5 c C 5 7 d G 9 0 Y W x f d G l t Z S w x f S Z x d W 9 0 O y w m c X V v d D t T Z W N 0 a W 9 u M S 9 f Z 3 J h d l 8 z M l 8 y M S 9 H Z c O k b m R l c n R l c i B U e X A u e 3 d v c m t f d G l t Z V 9 t a W 4 s M n 0 m c X V v d D s s J n F 1 b 3 Q 7 U 2 V j d G l v b j E v X 2 d y Y X Z f M z J f M j E v R 2 X D p G 5 k Z X J 0 Z X I g V H l w L n t 3 b 3 J r X 3 R p b W V f Y X Z n L D N 9 J n F 1 b 3 Q 7 L C Z x d W 9 0 O 1 N l Y 3 R p b 2 4 x L 1 9 n c m F 2 X z M y X z I x L 0 d l w 6 R u Z G V y d G V y I F R 5 c C 5 7 d 2 9 y a 1 9 0 a W 1 l X 2 1 h e C w 0 f S Z x d W 9 0 O y w m c X V v d D t T Z W N 0 a W 9 u M S 9 f Z 3 J h d l 8 z M l 8 y M S 9 H Z c O k b m R l c n R l c i B U e X A u e 3 B y Z X B f d G l t Z V 9 t a W 4 s N X 0 m c X V v d D s s J n F 1 b 3 Q 7 U 2 V j d G l v b j E v X 2 d y Y X Z f M z J f M j E v R 2 X D p G 5 k Z X J 0 Z X I g V H l w L n t w c m V w X 3 R p b W V f Y X Z n L D Z 9 J n F 1 b 3 Q 7 L C Z x d W 9 0 O 1 N l Y 3 R p b 2 4 x L 1 9 n c m F 2 X z M y X z I x L 0 d l w 6 R u Z G V y d G V y I F R 5 c C 5 7 c H J l c F 9 0 a W 1 l X 2 1 h e C w 3 f S Z x d W 9 0 O y w m c X V v d D t T Z W N 0 a W 9 u M S 9 f Z 3 J h d l 8 z M l 8 y M S 9 H Z c O k b m R l c n R l c i B U e X A u e 2 N v b W 1 f d G l t Z V 9 t a W 4 s O H 0 m c X V v d D s s J n F 1 b 3 Q 7 U 2 V j d G l v b j E v X 2 d y Y X Z f M z J f M j E v R 2 X D p G 5 k Z X J 0 Z X I g V H l w L n t j b 2 1 t X 3 R p b W V f Y X Z n L D l 9 J n F 1 b 3 Q 7 L C Z x d W 9 0 O 1 N l Y 3 R p b 2 4 x L 1 9 n c m F 2 X z M y X z I x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I x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2 d y Y X Z f M z J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Y t M D h U M D c 6 N T U 6 M D U u N j k y O D Y 5 M F o i I C 8 + P E V u d H J 5 I F R 5 c G U 9 I k Z p b G x D b 2 x 1 b W 5 U e X B l c y I g V m F s d W U 9 I n N B d 0 1 E Q X d N R k J R V U Z C U V U 9 I i A v P j x F b n R y e S B U e X B l P S J G a W x s Q 2 9 s d W 1 u T m F t Z X M i I F Z h b H V l P S J z W y Z x d W 9 0 O 3 N 0 Z X A m c X V v d D s s J n F 1 b 3 Q 7 d G 9 0 Y W x f d G l t Z S Z x d W 9 0 O y w m c X V v d D t 3 b 3 J r X 3 R p b W V f b W l u J n F 1 b 3 Q 7 L C Z x d W 9 0 O 3 d v c m t f d G l t Z V 9 h d m c m c X V v d D s s J n F 1 b 3 Q 7 d 2 9 y a 1 9 0 a W 1 l X 2 1 h e C Z x d W 9 0 O y w m c X V v d D t w c m V w X 3 R p b W V f b W l u J n F 1 b 3 Q 7 L C Z x d W 9 0 O 3 B y Z X B f d G l t Z V 9 h d m c m c X V v d D s s J n F 1 b 3 Q 7 c H J l c F 9 0 a W 1 l X 2 1 h e C Z x d W 9 0 O y w m c X V v d D t j b 2 1 t X 3 R p b W V f b W l u J n F 1 b 3 Q 7 L C Z x d W 9 0 O 2 N v b W 1 f d G l t Z V 9 h d m c m c X V v d D s s J n F 1 b 3 Q 7 Y 2 9 t b V 9 0 a W 1 l X 2 1 h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3 J h d l 8 z M l 8 y M i 9 H Z c O k b m R l c n R l c i B U e X A u e 3 N 0 Z X A s M H 0 m c X V v d D s s J n F 1 b 3 Q 7 U 2 V j d G l v b j E v X 2 d y Y X Z f M z J f M j I v R 2 X D p G 5 k Z X J 0 Z X I g V H l w L n t 0 b 3 R h b F 9 0 a W 1 l L D F 9 J n F 1 b 3 Q 7 L C Z x d W 9 0 O 1 N l Y 3 R p b 2 4 x L 1 9 n c m F 2 X z M y X z I y L 0 d l w 6 R u Z G V y d G V y I F R 5 c C 5 7 d 2 9 y a 1 9 0 a W 1 l X 2 1 p b i w y f S Z x d W 9 0 O y w m c X V v d D t T Z W N 0 a W 9 u M S 9 f Z 3 J h d l 8 z M l 8 y M i 9 H Z c O k b m R l c n R l c i B U e X A u e 3 d v c m t f d G l t Z V 9 h d m c s M 3 0 m c X V v d D s s J n F 1 b 3 Q 7 U 2 V j d G l v b j E v X 2 d y Y X Z f M z J f M j I v R 2 X D p G 5 k Z X J 0 Z X I g V H l w L n t 3 b 3 J r X 3 R p b W V f b W F 4 L D R 9 J n F 1 b 3 Q 7 L C Z x d W 9 0 O 1 N l Y 3 R p b 2 4 x L 1 9 n c m F 2 X z M y X z I y L 0 d l w 6 R u Z G V y d G V y I F R 5 c C 5 7 c H J l c F 9 0 a W 1 l X 2 1 p b i w 1 f S Z x d W 9 0 O y w m c X V v d D t T Z W N 0 a W 9 u M S 9 f Z 3 J h d l 8 z M l 8 y M i 9 H Z c O k b m R l c n R l c i B U e X A u e 3 B y Z X B f d G l t Z V 9 h d m c s N n 0 m c X V v d D s s J n F 1 b 3 Q 7 U 2 V j d G l v b j E v X 2 d y Y X Z f M z J f M j I v R 2 X D p G 5 k Z X J 0 Z X I g V H l w L n t w c m V w X 3 R p b W V f b W F 4 L D d 9 J n F 1 b 3 Q 7 L C Z x d W 9 0 O 1 N l Y 3 R p b 2 4 x L 1 9 n c m F 2 X z M y X z I y L 0 d l w 6 R u Z G V y d G V y I F R 5 c C 5 7 Y 2 9 t b V 9 0 a W 1 l X 2 1 p b i w 4 f S Z x d W 9 0 O y w m c X V v d D t T Z W N 0 a W 9 u M S 9 f Z 3 J h d l 8 z M l 8 y M i 9 H Z c O k b m R l c n R l c i B U e X A u e 2 N v b W 1 f d G l t Z V 9 h d m c s O X 0 m c X V v d D s s J n F 1 b 3 Q 7 U 2 V j d G l v b j E v X 2 d y Y X Z f M z J f M j I v R 2 X D p G 5 k Z X J 0 Z X I g V H l w L n t j b 2 1 t X 3 R p b W V f b W F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X 2 d y Y X Z f M z J f M j I v R 2 X D p G 5 k Z X J 0 Z X I g V H l w L n t z d G V w L D B 9 J n F 1 b 3 Q 7 L C Z x d W 9 0 O 1 N l Y 3 R p b 2 4 x L 1 9 n c m F 2 X z M y X z I y L 0 d l w 6 R u Z G V y d G V y I F R 5 c C 5 7 d G 9 0 Y W x f d G l t Z S w x f S Z x d W 9 0 O y w m c X V v d D t T Z W N 0 a W 9 u M S 9 f Z 3 J h d l 8 z M l 8 y M i 9 H Z c O k b m R l c n R l c i B U e X A u e 3 d v c m t f d G l t Z V 9 t a W 4 s M n 0 m c X V v d D s s J n F 1 b 3 Q 7 U 2 V j d G l v b j E v X 2 d y Y X Z f M z J f M j I v R 2 X D p G 5 k Z X J 0 Z X I g V H l w L n t 3 b 3 J r X 3 R p b W V f Y X Z n L D N 9 J n F 1 b 3 Q 7 L C Z x d W 9 0 O 1 N l Y 3 R p b 2 4 x L 1 9 n c m F 2 X z M y X z I y L 0 d l w 6 R u Z G V y d G V y I F R 5 c C 5 7 d 2 9 y a 1 9 0 a W 1 l X 2 1 h e C w 0 f S Z x d W 9 0 O y w m c X V v d D t T Z W N 0 a W 9 u M S 9 f Z 3 J h d l 8 z M l 8 y M i 9 H Z c O k b m R l c n R l c i B U e X A u e 3 B y Z X B f d G l t Z V 9 t a W 4 s N X 0 m c X V v d D s s J n F 1 b 3 Q 7 U 2 V j d G l v b j E v X 2 d y Y X Z f M z J f M j I v R 2 X D p G 5 k Z X J 0 Z X I g V H l w L n t w c m V w X 3 R p b W V f Y X Z n L D Z 9 J n F 1 b 3 Q 7 L C Z x d W 9 0 O 1 N l Y 3 R p b 2 4 x L 1 9 n c m F 2 X z M y X z I y L 0 d l w 6 R u Z G V y d G V y I F R 5 c C 5 7 c H J l c F 9 0 a W 1 l X 2 1 h e C w 3 f S Z x d W 9 0 O y w m c X V v d D t T Z W N 0 a W 9 u M S 9 f Z 3 J h d l 8 z M l 8 y M i 9 H Z c O k b m R l c n R l c i B U e X A u e 2 N v b W 1 f d G l t Z V 9 t a W 4 s O H 0 m c X V v d D s s J n F 1 b 3 Q 7 U 2 V j d G l v b j E v X 2 d y Y X Z f M z J f M j I v R 2 X D p G 5 k Z X J 0 Z X I g V H l w L n t j b 2 1 t X 3 R p b W V f Y X Z n L D l 9 J n F 1 b 3 Q 7 L C Z x d W 9 0 O 1 N l Y 3 R p b 2 4 x L 1 9 n c m F 2 X z M y X z I y L 0 d l w 6 R u Z G V y d G V y I F R 5 c C 5 7 Y 2 9 t b V 9 0 a W 1 l X 2 1 h e C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9 n c m F 2 X z M y X z I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n c m F 2 X z M y X z I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P a R / 7 g / H T I j 3 h H 1 V z 4 B F A A A A A A I A A A A A A B B m A A A A A Q A A I A A A A K 9 J Y 6 7 I x R S W S U 1 G G y u I v o S x / / 4 R f u 2 P 3 Z t 0 F + 3 x 2 4 g K A A A A A A 6 A A A A A A g A A I A A A A J n i 6 m L D i u K j w t J 9 a + G d R Z S 1 T H N h E W L p y I U k 6 r 7 X E 8 7 I U A A A A O q r p c w v Q a x L s g N H R V z 1 w w P D d Z e P s h M 6 A T b F N g 1 u p r y 3 Y F G w t i O p r K s f Q s 0 u Q c b Z 3 3 G C f V p 1 5 S j f J 9 4 r L U i U n F T I t Q 6 o a / B 2 r 3 K u I c J + i W 4 5 Q A A A A G n 5 S c p n C n i + e K d O 9 z d 7 / n F q 6 5 h 3 u c D z C c G X b p l 6 d c N G L B b L k g g W u c A d X 0 B e W H t Q B s T 7 / G s 7 W D J s O i N c I T s F F n I = < / D a t a M a s h u p > 
</file>

<file path=customXml/itemProps1.xml><?xml version="1.0" encoding="utf-8"?>
<ds:datastoreItem xmlns:ds="http://schemas.openxmlformats.org/officeDocument/2006/customXml" ds:itemID="{8E96279E-E8FD-4A39-8D5A-674EAE709D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22</vt:lpstr>
      <vt:lpstr>21</vt:lpstr>
      <vt:lpstr>20</vt:lpstr>
      <vt:lpstr>19</vt:lpstr>
      <vt:lpstr>18</vt:lpstr>
      <vt:lpstr>17</vt:lpstr>
      <vt:lpstr>16</vt:lpstr>
      <vt:lpstr>15</vt:lpstr>
      <vt:lpstr>14</vt:lpstr>
      <vt:lpstr>13</vt:lpstr>
      <vt:lpstr>12</vt:lpstr>
      <vt:lpstr>11</vt:lpstr>
      <vt:lpstr>10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Pegler</dc:creator>
  <cp:lastModifiedBy>Familie Pegler</cp:lastModifiedBy>
  <dcterms:created xsi:type="dcterms:W3CDTF">2018-06-08T07:41:49Z</dcterms:created>
  <dcterms:modified xsi:type="dcterms:W3CDTF">2018-06-08T08:30:27Z</dcterms:modified>
</cp:coreProperties>
</file>