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 1/Desktop/resources/GitHub/"/>
    </mc:Choice>
  </mc:AlternateContent>
  <xr:revisionPtr revIDLastSave="0" documentId="13_ncr:1_{359AE7AD-80A9-6C42-90ED-110B5C44D804}" xr6:coauthVersionLast="36" xr6:coauthVersionMax="36" xr10:uidLastSave="{00000000-0000-0000-0000-000000000000}"/>
  <bookViews>
    <workbookView xWindow="33600" yWindow="-1340" windowWidth="38400" windowHeight="19880" activeTab="3" xr2:uid="{296DC50E-35A8-A340-B73E-F027FA238B32}"/>
  </bookViews>
  <sheets>
    <sheet name="CASE 1" sheetId="1" r:id="rId1"/>
    <sheet name="CASE 2" sheetId="2" r:id="rId2"/>
    <sheet name="CASE 3" sheetId="3" r:id="rId3"/>
    <sheet name="CASE 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3" l="1"/>
  <c r="G30" i="2"/>
  <c r="G14" i="1"/>
  <c r="G13" i="1"/>
  <c r="G19" i="4"/>
  <c r="G18" i="4"/>
  <c r="G12" i="4"/>
  <c r="G14" i="4" s="1"/>
  <c r="G30" i="3"/>
  <c r="G29" i="3"/>
  <c r="G27" i="3"/>
  <c r="G26" i="3"/>
  <c r="G20" i="3"/>
  <c r="G21" i="3"/>
  <c r="G17" i="3"/>
  <c r="G25" i="3"/>
  <c r="G18" i="3"/>
  <c r="G12" i="3"/>
  <c r="G15" i="3" s="1"/>
  <c r="G23" i="2"/>
  <c r="G12" i="2" s="1"/>
  <c r="G15" i="2"/>
  <c r="G14" i="2"/>
  <c r="G21" i="1"/>
  <c r="G16" i="1"/>
  <c r="G15" i="1"/>
  <c r="G13" i="4" l="1"/>
  <c r="G26" i="4" s="1"/>
  <c r="G21" i="4" s="1"/>
  <c r="G16" i="4"/>
  <c r="G17" i="4" s="1"/>
  <c r="G13" i="3"/>
  <c r="G16" i="3" s="1"/>
  <c r="G14" i="3"/>
  <c r="G19" i="3"/>
  <c r="G16" i="2"/>
  <c r="G24" i="2"/>
  <c r="G13" i="2" s="1"/>
  <c r="G22" i="1"/>
  <c r="G23" i="1" s="1"/>
  <c r="G17" i="1"/>
  <c r="G12" i="1"/>
  <c r="G20" i="4" l="1"/>
  <c r="G22" i="4"/>
  <c r="G27" i="4" s="1"/>
  <c r="G15" i="4"/>
  <c r="G28" i="4" s="1"/>
  <c r="G28" i="2"/>
  <c r="G25" i="2"/>
  <c r="G31" i="2" s="1"/>
  <c r="G26" i="1"/>
  <c r="G31" i="4" l="1"/>
  <c r="G34" i="4"/>
  <c r="G27" i="1"/>
  <c r="G28" i="1" s="1"/>
  <c r="G29" i="1"/>
  <c r="G33" i="3"/>
  <c r="G31" i="3"/>
  <c r="G28" i="3"/>
  <c r="G26" i="2"/>
  <c r="G27" i="2" s="1"/>
  <c r="G29" i="2"/>
  <c r="G24" i="1"/>
  <c r="G25" i="1" s="1"/>
  <c r="G29" i="4" l="1"/>
  <c r="G30" i="4" s="1"/>
  <c r="G32" i="4"/>
  <c r="G33" i="4" s="1"/>
</calcChain>
</file>

<file path=xl/sharedStrings.xml><?xml version="1.0" encoding="utf-8"?>
<sst xmlns="http://schemas.openxmlformats.org/spreadsheetml/2006/main" count="205" uniqueCount="46">
  <si>
    <t>Clean Sandstone</t>
  </si>
  <si>
    <t>Pure Shale</t>
  </si>
  <si>
    <t>Gamma Ray</t>
  </si>
  <si>
    <t>API</t>
  </si>
  <si>
    <t>Laminated Formation</t>
  </si>
  <si>
    <t>OUTPUTS</t>
  </si>
  <si>
    <t>Neutron Porosity</t>
  </si>
  <si>
    <t>SS PU</t>
  </si>
  <si>
    <t>Density Porosity</t>
  </si>
  <si>
    <t>Aquifer</t>
  </si>
  <si>
    <t>Ohm-m</t>
  </si>
  <si>
    <t>SS PU.</t>
  </si>
  <si>
    <t>Deep Resistivity</t>
  </si>
  <si>
    <t>Archie's Eqn Parmaters</t>
  </si>
  <si>
    <t>-</t>
  </si>
  <si>
    <t>m</t>
  </si>
  <si>
    <t>n</t>
  </si>
  <si>
    <t>a</t>
  </si>
  <si>
    <t>Concentration of Shale</t>
  </si>
  <si>
    <t xml:space="preserve">Sandstone Porosity </t>
  </si>
  <si>
    <t>Water Saturation</t>
  </si>
  <si>
    <t>Hydrocarbon Saturation</t>
  </si>
  <si>
    <t>Fluid Density</t>
  </si>
  <si>
    <t>Hydrocarbon Density</t>
  </si>
  <si>
    <t>Concentration of Shale: Aquifer</t>
  </si>
  <si>
    <t>Sandstone Porosity: Aquifer</t>
  </si>
  <si>
    <t>CALCULATIONS</t>
  </si>
  <si>
    <t>Resistivity of Formation Water Ohm-m</t>
  </si>
  <si>
    <t>Sandstone Resistivity: Laminated Ohm-m</t>
  </si>
  <si>
    <t>Sandstone Resistivity: Aquifer Ohm-m</t>
  </si>
  <si>
    <t>g/cc</t>
  </si>
  <si>
    <t>Bulk Density</t>
  </si>
  <si>
    <t>Shale Density</t>
  </si>
  <si>
    <t>Hydrocarbon Pore Volume / Unit Depth</t>
  </si>
  <si>
    <t>INPUTS</t>
  </si>
  <si>
    <t>All water saturated?</t>
  </si>
  <si>
    <t>if yes, ignore G29,G30</t>
  </si>
  <si>
    <t>Parallel | Laminated Formation</t>
  </si>
  <si>
    <t>Perpendicular | Laminated Formation</t>
  </si>
  <si>
    <t>Sandstone Density</t>
  </si>
  <si>
    <t>Corrected Neutron porosity(laminated)</t>
  </si>
  <si>
    <t>Corrected Density porosity(laminated)</t>
  </si>
  <si>
    <t>slope</t>
  </si>
  <si>
    <t>Laminated formation</t>
  </si>
  <si>
    <t>geological context needed</t>
  </si>
  <si>
    <t>Likely Hydrocarbon Fluid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</si>
</sst>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0"/>
      <name val="Calibri (Body)_x0000_"/>
    </font>
    <font>
      <sz val="12"/>
      <color theme="1"/>
      <name val="Calibri (Body)_x0000_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0" xfId="0" applyFill="1" applyBorder="1"/>
    <xf numFmtId="0" fontId="0" fillId="4" borderId="4" xfId="0" applyFont="1" applyFill="1" applyBorder="1"/>
    <xf numFmtId="0" fontId="0" fillId="0" borderId="5" xfId="0" applyBorder="1"/>
    <xf numFmtId="0" fontId="0" fillId="0" borderId="6" xfId="0" applyFont="1" applyBorder="1"/>
    <xf numFmtId="0" fontId="0" fillId="0" borderId="7" xfId="0" applyFont="1" applyBorder="1"/>
    <xf numFmtId="0" fontId="0" fillId="8" borderId="8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0" fillId="11" borderId="11" xfId="0" applyFont="1" applyFill="1" applyBorder="1"/>
    <xf numFmtId="0" fontId="0" fillId="0" borderId="11" xfId="0" applyFont="1" applyBorder="1"/>
    <xf numFmtId="10" fontId="0" fillId="0" borderId="0" xfId="0" applyNumberFormat="1"/>
    <xf numFmtId="0" fontId="4" fillId="3" borderId="12" xfId="0" applyFont="1" applyFill="1" applyBorder="1"/>
    <xf numFmtId="0" fontId="2" fillId="3" borderId="13" xfId="0" applyFont="1" applyFill="1" applyBorder="1"/>
    <xf numFmtId="0" fontId="0" fillId="4" borderId="12" xfId="0" applyFont="1" applyFill="1" applyBorder="1"/>
    <xf numFmtId="0" fontId="0" fillId="0" borderId="12" xfId="0" applyFont="1" applyBorder="1"/>
    <xf numFmtId="0" fontId="2" fillId="5" borderId="14" xfId="0" applyFont="1" applyFill="1" applyBorder="1"/>
    <xf numFmtId="0" fontId="2" fillId="5" borderId="15" xfId="0" applyFont="1" applyFill="1" applyBorder="1"/>
    <xf numFmtId="0" fontId="2" fillId="5" borderId="16" xfId="0" applyFont="1" applyFill="1" applyBorder="1"/>
    <xf numFmtId="0" fontId="0" fillId="7" borderId="14" xfId="0" applyFont="1" applyFill="1" applyBorder="1"/>
    <xf numFmtId="0" fontId="0" fillId="7" borderId="15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8" borderId="17" xfId="0" applyFont="1" applyFill="1" applyBorder="1"/>
    <xf numFmtId="0" fontId="0" fillId="0" borderId="17" xfId="0" applyFont="1" applyBorder="1"/>
    <xf numFmtId="0" fontId="2" fillId="9" borderId="19" xfId="0" applyFont="1" applyFill="1" applyBorder="1"/>
    <xf numFmtId="0" fontId="2" fillId="9" borderId="20" xfId="0" applyFont="1" applyFill="1" applyBorder="1"/>
    <xf numFmtId="0" fontId="0" fillId="10" borderId="19" xfId="0" applyFont="1" applyFill="1" applyBorder="1"/>
    <xf numFmtId="0" fontId="0" fillId="0" borderId="19" xfId="0" applyFont="1" applyBorder="1"/>
    <xf numFmtId="2" fontId="0" fillId="0" borderId="0" xfId="0" applyNumberFormat="1"/>
    <xf numFmtId="0" fontId="0" fillId="0" borderId="0" xfId="0" applyAlignment="1"/>
    <xf numFmtId="0" fontId="5" fillId="0" borderId="0" xfId="0" applyFont="1" applyFill="1" applyBorder="1"/>
    <xf numFmtId="0" fontId="0" fillId="0" borderId="8" xfId="0" applyFont="1" applyFill="1" applyBorder="1"/>
    <xf numFmtId="0" fontId="0" fillId="0" borderId="0" xfId="0" applyFont="1" applyFill="1" applyBorder="1"/>
    <xf numFmtId="0" fontId="0" fillId="7" borderId="1" xfId="0" applyFont="1" applyFill="1" applyBorder="1"/>
    <xf numFmtId="0" fontId="0" fillId="0" borderId="1" xfId="0" applyFont="1" applyBorder="1"/>
    <xf numFmtId="0" fontId="0" fillId="8" borderId="1" xfId="0" applyFont="1" applyFill="1" applyBorder="1"/>
    <xf numFmtId="0" fontId="0" fillId="10" borderId="1" xfId="0" applyFont="1" applyFill="1" applyBorder="1"/>
    <xf numFmtId="0" fontId="0" fillId="4" borderId="1" xfId="0" applyFont="1" applyFill="1" applyBorder="1"/>
    <xf numFmtId="0" fontId="0" fillId="0" borderId="21" xfId="0" applyFont="1" applyFill="1" applyBorder="1"/>
    <xf numFmtId="0" fontId="0" fillId="11" borderId="22" xfId="0" applyFont="1" applyFill="1" applyBorder="1"/>
    <xf numFmtId="10" fontId="0" fillId="0" borderId="1" xfId="0" applyNumberFormat="1" applyBorder="1"/>
    <xf numFmtId="2" fontId="0" fillId="0" borderId="1" xfId="0" applyNumberForma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0" fontId="1" fillId="2" borderId="0" xfId="1"/>
    <xf numFmtId="2" fontId="0" fillId="0" borderId="23" xfId="0" applyNumberFormat="1" applyBorder="1"/>
    <xf numFmtId="0" fontId="3" fillId="0" borderId="2" xfId="0" applyFont="1" applyBorder="1" applyAlignment="1">
      <alignment horizontal="center"/>
    </xf>
    <xf numFmtId="0" fontId="6" fillId="0" borderId="3" xfId="0" applyFont="1" applyBorder="1"/>
    <xf numFmtId="0" fontId="0" fillId="0" borderId="2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8944</xdr:rowOff>
    </xdr:from>
    <xdr:to>
      <xdr:col>4</xdr:col>
      <xdr:colOff>804930</xdr:colOff>
      <xdr:row>3</xdr:row>
      <xdr:rowOff>196761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C3DEF6-A70F-F24B-8D0B-53579E81CF80}"/>
            </a:ext>
          </a:extLst>
        </xdr:cNvPr>
        <xdr:cNvSpPr txBox="1"/>
      </xdr:nvSpPr>
      <xdr:spPr>
        <a:xfrm>
          <a:off x="0" y="8944"/>
          <a:ext cx="5428803" cy="80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Workflow was made to evaluate the composition and storage properties of sandstone with laminated shale. </a:t>
          </a:r>
        </a:p>
        <a:p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CASE 1: </a:t>
          </a:r>
          <a:r>
            <a:rPr lang="en-US" sz="1100"/>
            <a:t>If clean,</a:t>
          </a:r>
          <a:r>
            <a:rPr lang="en-US" sz="1100" baseline="0"/>
            <a:t> water saturated sandstone and pure shale available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5</xdr:col>
      <xdr:colOff>8946</xdr:colOff>
      <xdr:row>0</xdr:row>
      <xdr:rowOff>8942</xdr:rowOff>
    </xdr:from>
    <xdr:to>
      <xdr:col>7</xdr:col>
      <xdr:colOff>214649</xdr:colOff>
      <xdr:row>8</xdr:row>
      <xdr:rowOff>196759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A00F53D-95FC-A642-814A-C83287BA4890}"/>
            </a:ext>
          </a:extLst>
        </xdr:cNvPr>
        <xdr:cNvSpPr txBox="1"/>
      </xdr:nvSpPr>
      <xdr:spPr>
        <a:xfrm>
          <a:off x="5455636" y="8942"/>
          <a:ext cx="4042534" cy="18334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It will return: </a:t>
          </a:r>
        </a:p>
        <a:p>
          <a:r>
            <a:rPr lang="en-US" sz="1100"/>
            <a:t>---------------------------------------------</a:t>
          </a:r>
        </a:p>
        <a:p>
          <a:r>
            <a:rPr lang="en-US" sz="1100"/>
            <a:t>- Concentration of Shale</a:t>
          </a:r>
        </a:p>
        <a:p>
          <a:r>
            <a:rPr lang="en-US" sz="1100"/>
            <a:t>- Sandstone Porosity in Laminated Formation</a:t>
          </a:r>
        </a:p>
        <a:p>
          <a:r>
            <a:rPr lang="en-US" sz="1100"/>
            <a:t>- Water Saturation in Laminated Formation</a:t>
          </a:r>
        </a:p>
        <a:p>
          <a:r>
            <a:rPr lang="en-US" sz="1100"/>
            <a:t>- Hydrocarbon Saturation in Laminated Formation</a:t>
          </a:r>
        </a:p>
        <a:p>
          <a:r>
            <a:rPr lang="en-US" sz="1100"/>
            <a:t>- Hydrocarbon Pore Volume per unit depth in Laminated</a:t>
          </a:r>
          <a:r>
            <a:rPr lang="en-US" sz="1100" baseline="0"/>
            <a:t> </a:t>
          </a:r>
          <a:r>
            <a:rPr lang="en-US" sz="1100"/>
            <a:t>Formation</a:t>
          </a:r>
        </a:p>
        <a:p>
          <a:r>
            <a:rPr lang="en-US" sz="1100"/>
            <a:t>- Fluid Density in Laminated Formation</a:t>
          </a:r>
        </a:p>
        <a:p>
          <a:r>
            <a:rPr lang="en-US" sz="1100"/>
            <a:t>- Hydrocarbon Density in Laminated Formation</a:t>
          </a:r>
        </a:p>
        <a:p>
          <a:r>
            <a:rPr lang="en-US" sz="1100"/>
            <a:t>- Fluid Type in Laminated Formation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9137</xdr:colOff>
      <xdr:row>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366875-6B42-0540-A555-1DA6DD9D945E}"/>
            </a:ext>
          </a:extLst>
        </xdr:cNvPr>
        <xdr:cNvSpPr txBox="1"/>
      </xdr:nvSpPr>
      <xdr:spPr>
        <a:xfrm>
          <a:off x="0" y="0"/>
          <a:ext cx="5299281" cy="100503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Workflow was made to evaluate the composition and storage properties of sandstone with laminated shale. </a:t>
          </a:r>
        </a:p>
        <a:p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CASE 2: </a:t>
          </a:r>
          <a:r>
            <a:rPr lang="en-US" sz="1100" b="0">
              <a:solidFill>
                <a:schemeClr val="tx1"/>
              </a:solidFill>
            </a:rPr>
            <a:t>If formation of interest is shale-laminated water saturated Sandstone(Aquifer): d/D</a:t>
          </a:r>
        </a:p>
      </xdr:txBody>
    </xdr:sp>
    <xdr:clientData/>
  </xdr:twoCellAnchor>
  <xdr:twoCellAnchor>
    <xdr:from>
      <xdr:col>5</xdr:col>
      <xdr:colOff>20192</xdr:colOff>
      <xdr:row>0</xdr:row>
      <xdr:rowOff>9136</xdr:rowOff>
    </xdr:from>
    <xdr:to>
      <xdr:col>7</xdr:col>
      <xdr:colOff>493381</xdr:colOff>
      <xdr:row>9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2081D80-DA32-ED48-816A-61306EEBA26A}"/>
            </a:ext>
          </a:extLst>
        </xdr:cNvPr>
        <xdr:cNvSpPr txBox="1"/>
      </xdr:nvSpPr>
      <xdr:spPr>
        <a:xfrm>
          <a:off x="5310336" y="9136"/>
          <a:ext cx="4054772" cy="1799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It will return: </a:t>
          </a:r>
        </a:p>
        <a:p>
          <a:r>
            <a:rPr lang="en-US" sz="1100"/>
            <a:t>---------------------------------------------</a:t>
          </a:r>
        </a:p>
        <a:p>
          <a:r>
            <a:rPr lang="en-US" sz="1100"/>
            <a:t>- Concentration of Shale</a:t>
          </a:r>
        </a:p>
        <a:p>
          <a:r>
            <a:rPr lang="en-US" sz="1100"/>
            <a:t>- Sandstone Porosity in Laminated Formation</a:t>
          </a:r>
        </a:p>
        <a:p>
          <a:r>
            <a:rPr lang="en-US" sz="1100"/>
            <a:t>- Water Saturation in Laminated Formation</a:t>
          </a:r>
        </a:p>
        <a:p>
          <a:r>
            <a:rPr lang="en-US" sz="1100"/>
            <a:t>- Hydrocarbon Saturation in Laminated Formation</a:t>
          </a:r>
        </a:p>
        <a:p>
          <a:r>
            <a:rPr lang="en-US" sz="1100"/>
            <a:t>- Hydrocarbon Pore Volume per unit depth in Laminated</a:t>
          </a:r>
          <a:r>
            <a:rPr lang="en-US" sz="1100" baseline="0"/>
            <a:t> </a:t>
          </a:r>
          <a:r>
            <a:rPr lang="en-US" sz="1100"/>
            <a:t>Formation</a:t>
          </a:r>
        </a:p>
        <a:p>
          <a:r>
            <a:rPr lang="en-US" sz="1100"/>
            <a:t>- Fluid Density in Laminated Formation</a:t>
          </a:r>
        </a:p>
        <a:p>
          <a:r>
            <a:rPr lang="en-US" sz="1100"/>
            <a:t>- Hydrocarbon Density in Laminated Formation</a:t>
          </a:r>
        </a:p>
        <a:p>
          <a:r>
            <a:rPr lang="en-US" sz="1100"/>
            <a:t>- Fluid Type in Laminated Formation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12701</xdr:colOff>
      <xdr:row>0</xdr:row>
      <xdr:rowOff>12700</xdr:rowOff>
    </xdr:from>
    <xdr:to>
      <xdr:col>5</xdr:col>
      <xdr:colOff>1</xdr:colOff>
      <xdr:row>6</xdr:row>
      <xdr:rowOff>81280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A760CE-BAF5-EB45-B722-19DECE77F919}"/>
            </a:ext>
          </a:extLst>
        </xdr:cNvPr>
        <xdr:cNvSpPr txBox="1"/>
      </xdr:nvSpPr>
      <xdr:spPr>
        <a:xfrm>
          <a:off x="12701" y="12700"/>
          <a:ext cx="6398260" cy="128778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Workflow was made to evaluate the composition and storage properties of sandstone with laminated shale. </a:t>
          </a:r>
        </a:p>
        <a:p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CASE 3: </a:t>
          </a:r>
          <a:r>
            <a:rPr lang="en-US" sz="1100"/>
            <a:t>if formation of interest is not water saturated</a:t>
          </a:r>
        </a:p>
        <a:p>
          <a:r>
            <a:rPr lang="en-US" sz="1100"/>
            <a:t>        - if gamma ray not available and, </a:t>
          </a:r>
        </a:p>
        <a:p>
          <a:r>
            <a:rPr lang="en-US" sz="1100"/>
            <a:t>        - if perpendicular and parallel resistivity available: </a:t>
          </a:r>
        </a:p>
        <a:p>
          <a:r>
            <a:rPr lang="en-US" sz="1100"/>
            <a:t>        </a:t>
          </a:r>
          <a:r>
            <a:rPr lang="en-US" sz="1100" baseline="0"/>
            <a:t>   </a:t>
          </a:r>
          <a:r>
            <a:rPr lang="en-US" sz="1100"/>
            <a:t>solve system for Csh &amp; Rss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7</xdr:col>
      <xdr:colOff>499234</xdr:colOff>
      <xdr:row>9</xdr:row>
      <xdr:rowOff>4651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BA31DDC-7B3B-EF47-8559-620615CBABCE}"/>
            </a:ext>
          </a:extLst>
        </xdr:cNvPr>
        <xdr:cNvSpPr txBox="1"/>
      </xdr:nvSpPr>
      <xdr:spPr>
        <a:xfrm>
          <a:off x="4851400" y="0"/>
          <a:ext cx="4042534" cy="18334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It will return: </a:t>
          </a:r>
        </a:p>
        <a:p>
          <a:r>
            <a:rPr lang="en-US" sz="1100"/>
            <a:t>---------------------------------------------</a:t>
          </a:r>
        </a:p>
        <a:p>
          <a:r>
            <a:rPr lang="en-US" sz="1100"/>
            <a:t>- Concentration of Shale</a:t>
          </a:r>
        </a:p>
        <a:p>
          <a:r>
            <a:rPr lang="en-US" sz="1100"/>
            <a:t>- Sandstone Porosity in Laminated Formation</a:t>
          </a:r>
        </a:p>
        <a:p>
          <a:r>
            <a:rPr lang="en-US" sz="1100"/>
            <a:t>- Water Saturation in Laminated Formation</a:t>
          </a:r>
        </a:p>
        <a:p>
          <a:r>
            <a:rPr lang="en-US" sz="1100"/>
            <a:t>- Hydrocarbon Saturation in Laminated Formation</a:t>
          </a:r>
        </a:p>
        <a:p>
          <a:r>
            <a:rPr lang="en-US" sz="1100"/>
            <a:t>- Hydrocarbon Pore Volume per unit depth in Laminated</a:t>
          </a:r>
          <a:r>
            <a:rPr lang="en-US" sz="1100" baseline="0"/>
            <a:t> </a:t>
          </a:r>
          <a:r>
            <a:rPr lang="en-US" sz="1100"/>
            <a:t>Formation</a:t>
          </a:r>
        </a:p>
        <a:p>
          <a:r>
            <a:rPr lang="en-US" sz="1100"/>
            <a:t>- Fluid Density in Laminated Formation</a:t>
          </a:r>
        </a:p>
        <a:p>
          <a:r>
            <a:rPr lang="en-US" sz="1100"/>
            <a:t>- Hydrocarbon Density in Laminated Formation</a:t>
          </a:r>
        </a:p>
        <a:p>
          <a:r>
            <a:rPr lang="en-US" sz="1100"/>
            <a:t>- Fluid Type in Laminated Formation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812800</xdr:colOff>
      <xdr:row>4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D27C1D-F87D-1146-9F92-5CD93CE857F7}"/>
            </a:ext>
          </a:extLst>
        </xdr:cNvPr>
        <xdr:cNvSpPr txBox="1"/>
      </xdr:nvSpPr>
      <xdr:spPr>
        <a:xfrm>
          <a:off x="0" y="0"/>
          <a:ext cx="6409267" cy="990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Workflow was made to evaluate the composition and storage properties of sandstone with laminated shale. </a:t>
          </a:r>
        </a:p>
        <a:p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CASE 4: </a:t>
          </a:r>
          <a:r>
            <a:rPr lang="en-US" sz="1100" b="0">
              <a:solidFill>
                <a:schemeClr val="tx1"/>
              </a:solidFill>
            </a:rPr>
            <a:t>If reference Sandstone water saturated(Aquifer) either clean or laminated available</a:t>
          </a:r>
        </a:p>
        <a:p>
          <a:r>
            <a:rPr lang="en-US" sz="1100" b="0">
              <a:solidFill>
                <a:schemeClr val="tx1"/>
              </a:solidFill>
            </a:rPr>
            <a:t>       </a:t>
          </a:r>
          <a:r>
            <a:rPr lang="en-US" sz="1100" b="0" baseline="0">
              <a:solidFill>
                <a:schemeClr val="tx1"/>
              </a:solidFill>
            </a:rPr>
            <a:t>      - </a:t>
          </a:r>
          <a:r>
            <a:rPr lang="en-US" sz="1100" b="0">
              <a:solidFill>
                <a:schemeClr val="tx1"/>
              </a:solidFill>
            </a:rPr>
            <a:t> both perpendicular and parallel resistivity NOT available.</a:t>
          </a:r>
        </a:p>
        <a:p>
          <a:endParaRPr lang="en-US" sz="1100"/>
        </a:p>
      </xdr:txBody>
    </xdr:sp>
    <xdr:clientData/>
  </xdr:twoCellAnchor>
  <xdr:twoCellAnchor>
    <xdr:from>
      <xdr:col>5</xdr:col>
      <xdr:colOff>0</xdr:colOff>
      <xdr:row>0</xdr:row>
      <xdr:rowOff>4233</xdr:rowOff>
    </xdr:from>
    <xdr:to>
      <xdr:col>7</xdr:col>
      <xdr:colOff>774700</xdr:colOff>
      <xdr:row>9</xdr:row>
      <xdr:rowOff>8884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30CA50E-CAE6-564D-8C5C-975B71DCA2DA}"/>
            </a:ext>
          </a:extLst>
        </xdr:cNvPr>
        <xdr:cNvSpPr txBox="1"/>
      </xdr:nvSpPr>
      <xdr:spPr>
        <a:xfrm>
          <a:off x="6426200" y="4233"/>
          <a:ext cx="4322233" cy="18334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It will return: </a:t>
          </a:r>
        </a:p>
        <a:p>
          <a:r>
            <a:rPr lang="en-US" sz="1100"/>
            <a:t>---------------------------------------------</a:t>
          </a:r>
        </a:p>
        <a:p>
          <a:r>
            <a:rPr lang="en-US" sz="1100"/>
            <a:t>- Concentration of Shale</a:t>
          </a:r>
        </a:p>
        <a:p>
          <a:r>
            <a:rPr lang="en-US" sz="1100"/>
            <a:t>- Sandstone Porosity in Laminated Formation</a:t>
          </a:r>
        </a:p>
        <a:p>
          <a:r>
            <a:rPr lang="en-US" sz="1100"/>
            <a:t>- Water Saturation in Laminated Formation</a:t>
          </a:r>
        </a:p>
        <a:p>
          <a:r>
            <a:rPr lang="en-US" sz="1100"/>
            <a:t>- Hydrocarbon Saturation in Laminated Formation</a:t>
          </a:r>
        </a:p>
        <a:p>
          <a:r>
            <a:rPr lang="en-US" sz="1100"/>
            <a:t>- Hydrocarbon Pore Volume per unit depth in Laminated</a:t>
          </a:r>
          <a:r>
            <a:rPr lang="en-US" sz="1100" baseline="0"/>
            <a:t> </a:t>
          </a:r>
          <a:r>
            <a:rPr lang="en-US" sz="1100"/>
            <a:t>Formation</a:t>
          </a:r>
        </a:p>
        <a:p>
          <a:r>
            <a:rPr lang="en-US" sz="1100"/>
            <a:t>- Fluid Density in Laminated Formation</a:t>
          </a:r>
        </a:p>
        <a:p>
          <a:r>
            <a:rPr lang="en-US" sz="1100"/>
            <a:t>- Hydrocarbon Density in Laminated Formation</a:t>
          </a:r>
        </a:p>
        <a:p>
          <a:r>
            <a:rPr lang="en-US" sz="1100"/>
            <a:t>- Fluid Type in Laminated Formation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9FE55-ED73-BF43-A3D5-881A138DDE7C}">
  <dimension ref="A1:K38"/>
  <sheetViews>
    <sheetView zoomScale="142" zoomScaleNormal="59" workbookViewId="0">
      <selection activeCell="J21" sqref="J21"/>
    </sheetView>
  </sheetViews>
  <sheetFormatPr baseColWidth="10" defaultRowHeight="16"/>
  <cols>
    <col min="1" max="1" width="22" customWidth="1"/>
    <col min="3" max="3" width="19" bestFit="1" customWidth="1"/>
    <col min="6" max="6" width="35.6640625" bestFit="1" customWidth="1"/>
    <col min="7" max="7" width="14.6640625" customWidth="1"/>
    <col min="8" max="8" width="23.5" bestFit="1" customWidth="1"/>
    <col min="9" max="9" width="8.33203125" bestFit="1" customWidth="1"/>
  </cols>
  <sheetData>
    <row r="1" spans="1:11">
      <c r="A1" s="4"/>
      <c r="B1" s="4"/>
      <c r="C1" s="4"/>
      <c r="D1" s="4"/>
      <c r="E1" s="4"/>
      <c r="F1" s="4"/>
      <c r="G1" s="4"/>
      <c r="H1" s="4"/>
      <c r="I1" s="4"/>
      <c r="J1" s="4"/>
    </row>
    <row r="2" spans="1:11">
      <c r="A2" s="4"/>
      <c r="B2" s="4"/>
      <c r="C2" s="4"/>
      <c r="D2" s="4"/>
      <c r="E2" s="4"/>
      <c r="F2" s="4"/>
      <c r="G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</row>
    <row r="4" spans="1:11">
      <c r="A4" s="4"/>
      <c r="B4" s="4"/>
      <c r="C4" s="4"/>
      <c r="D4" s="4"/>
      <c r="E4" s="4"/>
      <c r="F4" s="4"/>
      <c r="G4" s="4"/>
      <c r="H4" s="4"/>
      <c r="I4" s="4"/>
      <c r="J4" s="33"/>
    </row>
    <row r="6" spans="1:11">
      <c r="A6" s="4"/>
      <c r="B6" s="4"/>
      <c r="C6" s="4"/>
      <c r="D6" s="4"/>
      <c r="E6" s="4"/>
      <c r="F6" s="4"/>
      <c r="G6" s="4"/>
    </row>
    <row r="10" spans="1:11" ht="17" thickBot="1">
      <c r="A10" s="6" t="s">
        <v>34</v>
      </c>
      <c r="F10" s="6" t="s">
        <v>26</v>
      </c>
    </row>
    <row r="12" spans="1:11">
      <c r="A12" s="15" t="s">
        <v>2</v>
      </c>
      <c r="B12" s="16" t="s">
        <v>3</v>
      </c>
      <c r="F12" t="s">
        <v>28</v>
      </c>
      <c r="G12" s="32">
        <f>(1-G21)/((1/B24)-(G21/B25))</f>
        <v>36.654545454545442</v>
      </c>
      <c r="H12" t="s">
        <v>10</v>
      </c>
    </row>
    <row r="13" spans="1:11">
      <c r="A13" s="17" t="s">
        <v>0</v>
      </c>
      <c r="B13" s="41">
        <v>25</v>
      </c>
      <c r="F13" t="s">
        <v>25</v>
      </c>
      <c r="G13" s="14">
        <f>(((B20^2)+(D20^2))/2)^0.5</f>
        <v>0.34499999999999997</v>
      </c>
    </row>
    <row r="14" spans="1:11">
      <c r="A14" s="18" t="s">
        <v>1</v>
      </c>
      <c r="B14" s="38">
        <v>94</v>
      </c>
      <c r="F14" t="s">
        <v>27</v>
      </c>
      <c r="G14" s="32">
        <f>(B26*((G13^B29)/B31))</f>
        <v>5.3561249999999991E-2</v>
      </c>
      <c r="H14" t="s">
        <v>10</v>
      </c>
    </row>
    <row r="15" spans="1:11">
      <c r="A15" s="5" t="s">
        <v>4</v>
      </c>
      <c r="B15" s="41">
        <v>46</v>
      </c>
      <c r="F15" s="34" t="s">
        <v>31</v>
      </c>
      <c r="G15" s="32">
        <f>(D18*1) + (1-D18)*2.65</f>
        <v>2.0065</v>
      </c>
      <c r="H15" t="s">
        <v>30</v>
      </c>
    </row>
    <row r="16" spans="1:11">
      <c r="F16" t="s">
        <v>32</v>
      </c>
      <c r="G16" s="32">
        <f>(D19*1) + (1-D19)*2.65</f>
        <v>2.2127499999999998</v>
      </c>
      <c r="H16" t="s">
        <v>30</v>
      </c>
    </row>
    <row r="17" spans="1:8">
      <c r="A17" s="19" t="s">
        <v>6</v>
      </c>
      <c r="B17" s="20" t="s">
        <v>7</v>
      </c>
      <c r="C17" s="20" t="s">
        <v>8</v>
      </c>
      <c r="D17" s="21" t="s">
        <v>11</v>
      </c>
      <c r="F17" t="s">
        <v>39</v>
      </c>
      <c r="G17" s="32">
        <f>(1/(1-G21))*(G15-(G16*G21))</f>
        <v>1.9162656249999999</v>
      </c>
      <c r="H17" t="s">
        <v>30</v>
      </c>
    </row>
    <row r="18" spans="1:8">
      <c r="A18" s="22" t="s">
        <v>43</v>
      </c>
      <c r="B18" s="37">
        <v>0.23499999999999999</v>
      </c>
      <c r="C18" s="23" t="s">
        <v>4</v>
      </c>
      <c r="D18" s="37">
        <v>0.39</v>
      </c>
    </row>
    <row r="19" spans="1:8" ht="17" thickBot="1">
      <c r="A19" s="7" t="s">
        <v>1</v>
      </c>
      <c r="B19" s="38">
        <v>0.45</v>
      </c>
      <c r="C19" s="8" t="s">
        <v>1</v>
      </c>
      <c r="D19" s="38">
        <v>0.26500000000000001</v>
      </c>
      <c r="F19" s="6" t="s">
        <v>5</v>
      </c>
    </row>
    <row r="20" spans="1:8">
      <c r="A20" t="s">
        <v>9</v>
      </c>
      <c r="B20" s="50">
        <v>0.34499999999999997</v>
      </c>
      <c r="C20" s="36" t="s">
        <v>9</v>
      </c>
      <c r="D20" s="50">
        <v>0.34499999999999997</v>
      </c>
    </row>
    <row r="21" spans="1:8">
      <c r="F21" s="12" t="s">
        <v>18</v>
      </c>
      <c r="G21" s="44">
        <f>(B15 - B13)/(B14-B13)</f>
        <v>0.30434782608695654</v>
      </c>
    </row>
    <row r="22" spans="1:8">
      <c r="F22" s="13" t="s">
        <v>19</v>
      </c>
      <c r="G22" s="44">
        <f>(( ( ( (D18-(G21*D19))/(1-G21) )^2)+ ( ((B18-(G21*B19))/(1-G21))^2) )/2)^0.5</f>
        <v>0.32985629565198543</v>
      </c>
    </row>
    <row r="23" spans="1:8">
      <c r="A23" s="24" t="s">
        <v>12</v>
      </c>
      <c r="B23" s="25" t="s">
        <v>10</v>
      </c>
      <c r="F23" s="12" t="s">
        <v>20</v>
      </c>
      <c r="G23" s="44">
        <f>((G14/G12)*(B31/(G22^B29)))^(1/B30)</f>
        <v>0.11588751635131599</v>
      </c>
    </row>
    <row r="24" spans="1:8">
      <c r="A24" s="26" t="s">
        <v>4</v>
      </c>
      <c r="B24" s="39">
        <v>2.8</v>
      </c>
      <c r="F24" s="13" t="s">
        <v>21</v>
      </c>
      <c r="G24" s="44">
        <f>(1-G23)</f>
        <v>0.884112483648684</v>
      </c>
    </row>
    <row r="25" spans="1:8">
      <c r="A25" s="27" t="s">
        <v>1</v>
      </c>
      <c r="B25" s="38">
        <v>0.9</v>
      </c>
      <c r="F25" s="12" t="s">
        <v>33</v>
      </c>
      <c r="G25" s="44">
        <f>(1-G21)*(G22)*(G24)</f>
        <v>0.20287309133636969</v>
      </c>
    </row>
    <row r="26" spans="1:8">
      <c r="A26" s="9" t="s">
        <v>9</v>
      </c>
      <c r="B26" s="39">
        <v>0.45</v>
      </c>
      <c r="F26" s="13" t="s">
        <v>22</v>
      </c>
      <c r="G26" s="45">
        <f>(1/G22)*(G17-(1-G22)*2.65)</f>
        <v>0.42559384291962798</v>
      </c>
      <c r="H26" t="s">
        <v>30</v>
      </c>
    </row>
    <row r="27" spans="1:8">
      <c r="F27" s="12" t="s">
        <v>23</v>
      </c>
      <c r="G27" s="51">
        <f>(1/(1-G23))*(G26-(G23*1))</f>
        <v>0.35030194946481341</v>
      </c>
      <c r="H27" t="s">
        <v>30</v>
      </c>
    </row>
    <row r="28" spans="1:8">
      <c r="A28" s="28" t="s">
        <v>13</v>
      </c>
      <c r="B28" s="29" t="s">
        <v>14</v>
      </c>
      <c r="F28" s="13" t="s">
        <v>45</v>
      </c>
      <c r="G28" s="52" t="str">
        <f>IF(G27&lt;0.3,"Light Hydrocarbon","OIL")</f>
        <v>OIL</v>
      </c>
      <c r="H28" s="53" t="s">
        <v>44</v>
      </c>
    </row>
    <row r="29" spans="1:8">
      <c r="A29" s="30" t="s">
        <v>15</v>
      </c>
      <c r="B29" s="40">
        <v>2</v>
      </c>
      <c r="F29" s="43" t="s">
        <v>35</v>
      </c>
      <c r="G29" s="54" t="str">
        <f>IF(G23=1, "YES","NO")</f>
        <v>NO</v>
      </c>
      <c r="H29" s="53" t="s">
        <v>36</v>
      </c>
    </row>
    <row r="30" spans="1:8">
      <c r="A30" s="31" t="s">
        <v>16</v>
      </c>
      <c r="B30" s="38">
        <v>2</v>
      </c>
    </row>
    <row r="31" spans="1:8">
      <c r="A31" s="30" t="s">
        <v>17</v>
      </c>
      <c r="B31" s="40">
        <v>1</v>
      </c>
    </row>
    <row r="38" spans="1:2">
      <c r="A38" s="10"/>
      <c r="B38" s="1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0BCB-FF93-D649-BD06-5D9B6EC3B02A}">
  <dimension ref="A10:I31"/>
  <sheetViews>
    <sheetView zoomScale="139" workbookViewId="0">
      <selection activeCell="F30" sqref="F30"/>
    </sheetView>
  </sheetViews>
  <sheetFormatPr baseColWidth="10" defaultRowHeight="16"/>
  <cols>
    <col min="1" max="1" width="20.83203125" bestFit="1" customWidth="1"/>
    <col min="2" max="2" width="10.33203125" customWidth="1"/>
    <col min="3" max="3" width="15" bestFit="1" customWidth="1"/>
    <col min="4" max="4" width="12.5" customWidth="1"/>
    <col min="6" max="6" width="36" bestFit="1" customWidth="1"/>
    <col min="7" max="7" width="11" customWidth="1"/>
    <col min="8" max="8" width="24" bestFit="1" customWidth="1"/>
  </cols>
  <sheetData>
    <row r="10" spans="1:8" ht="17" thickBot="1">
      <c r="A10" s="6" t="s">
        <v>34</v>
      </c>
      <c r="F10" s="6" t="s">
        <v>26</v>
      </c>
    </row>
    <row r="12" spans="1:8">
      <c r="A12" s="19" t="s">
        <v>6</v>
      </c>
      <c r="B12" s="20" t="s">
        <v>7</v>
      </c>
      <c r="C12" s="20" t="s">
        <v>8</v>
      </c>
      <c r="D12" s="21" t="s">
        <v>11</v>
      </c>
      <c r="F12" t="s">
        <v>28</v>
      </c>
      <c r="G12" s="32">
        <f>(1-G23)/((1/B17)-(G23/B18))</f>
        <v>0.42755344418052255</v>
      </c>
      <c r="H12" t="s">
        <v>10</v>
      </c>
    </row>
    <row r="13" spans="1:8">
      <c r="A13" s="22" t="s">
        <v>9</v>
      </c>
      <c r="B13" s="37">
        <v>0.3</v>
      </c>
      <c r="C13" s="23" t="s">
        <v>9</v>
      </c>
      <c r="D13" s="37">
        <v>0.28499999999999998</v>
      </c>
      <c r="F13" t="s">
        <v>27</v>
      </c>
      <c r="G13" s="32">
        <f>(G12*((G24^B21)/B23))</f>
        <v>3.7258306888361035E-2</v>
      </c>
      <c r="H13" t="s">
        <v>10</v>
      </c>
    </row>
    <row r="14" spans="1:8">
      <c r="A14" s="7" t="s">
        <v>1</v>
      </c>
      <c r="B14" s="38">
        <v>0.34</v>
      </c>
      <c r="C14" s="8" t="s">
        <v>1</v>
      </c>
      <c r="D14" s="38">
        <v>0.2</v>
      </c>
      <c r="F14" s="34" t="s">
        <v>31</v>
      </c>
      <c r="G14" s="32">
        <f>(D13*1) + (1-D13)*2.65</f>
        <v>2.1797500000000003</v>
      </c>
      <c r="H14" t="s">
        <v>30</v>
      </c>
    </row>
    <row r="15" spans="1:8">
      <c r="F15" t="s">
        <v>32</v>
      </c>
      <c r="G15" s="32">
        <f>(D14*1) + (1-D14)*2.65</f>
        <v>2.3200000000000003</v>
      </c>
      <c r="H15" t="s">
        <v>30</v>
      </c>
    </row>
    <row r="16" spans="1:8">
      <c r="A16" s="24" t="s">
        <v>12</v>
      </c>
      <c r="B16" s="25" t="s">
        <v>10</v>
      </c>
      <c r="F16" t="s">
        <v>39</v>
      </c>
      <c r="G16" s="32">
        <f>(1/(1-G23))*(G14-(G15*G23))</f>
        <v>2.1629200000000002</v>
      </c>
      <c r="H16" t="s">
        <v>30</v>
      </c>
    </row>
    <row r="17" spans="1:9">
      <c r="A17" s="26" t="s">
        <v>4</v>
      </c>
      <c r="B17" s="39">
        <v>0.45</v>
      </c>
    </row>
    <row r="18" spans="1:9">
      <c r="A18" s="27" t="s">
        <v>1</v>
      </c>
      <c r="B18" s="38">
        <v>0.8</v>
      </c>
    </row>
    <row r="19" spans="1:9">
      <c r="A19" s="35"/>
      <c r="B19" s="42"/>
    </row>
    <row r="20" spans="1:9">
      <c r="A20" s="28" t="s">
        <v>13</v>
      </c>
      <c r="B20" s="29" t="s">
        <v>14</v>
      </c>
    </row>
    <row r="21" spans="1:9" ht="17" thickBot="1">
      <c r="A21" s="30" t="s">
        <v>15</v>
      </c>
      <c r="B21" s="40">
        <v>2</v>
      </c>
      <c r="F21" s="6" t="s">
        <v>5</v>
      </c>
    </row>
    <row r="22" spans="1:9">
      <c r="A22" s="31" t="s">
        <v>16</v>
      </c>
      <c r="B22" s="38">
        <v>2</v>
      </c>
    </row>
    <row r="23" spans="1:9">
      <c r="A23" s="30" t="s">
        <v>17</v>
      </c>
      <c r="B23" s="40">
        <v>1</v>
      </c>
      <c r="F23" s="12" t="s">
        <v>18</v>
      </c>
      <c r="G23" s="44">
        <f>(B13-D13) / (B14-D14)</f>
        <v>0.10714285714285723</v>
      </c>
    </row>
    <row r="24" spans="1:9">
      <c r="F24" s="13" t="s">
        <v>19</v>
      </c>
      <c r="G24" s="44">
        <f>(( ( ( (D13-(G23*D14))/(1-G23) )^2)+ ( ((B13-(G23*B14))/(1-G23))^2) )/2)^0.5</f>
        <v>0.29519999999999996</v>
      </c>
    </row>
    <row r="25" spans="1:9">
      <c r="F25" s="12" t="s">
        <v>20</v>
      </c>
      <c r="G25" s="44">
        <f>((G13/G12)*(B23/(G24^B21)))^(1/B22)</f>
        <v>1</v>
      </c>
    </row>
    <row r="26" spans="1:9">
      <c r="F26" s="13" t="s">
        <v>21</v>
      </c>
      <c r="G26" s="44">
        <f>(1-G25)</f>
        <v>0</v>
      </c>
    </row>
    <row r="27" spans="1:9">
      <c r="F27" s="12" t="s">
        <v>33</v>
      </c>
      <c r="G27" s="44">
        <f>(1-G23)*(G24)*(G26)</f>
        <v>0</v>
      </c>
    </row>
    <row r="28" spans="1:9">
      <c r="F28" s="13" t="s">
        <v>22</v>
      </c>
      <c r="G28" s="45">
        <f>(1/G24)*(G16-(1-G24)*2.65)</f>
        <v>0.99999999999999978</v>
      </c>
      <c r="H28" t="s">
        <v>30</v>
      </c>
    </row>
    <row r="29" spans="1:9">
      <c r="F29" s="12" t="s">
        <v>23</v>
      </c>
      <c r="G29" s="51" t="e">
        <f>(1/(1-G25))*(G28-(G25*1))</f>
        <v>#DIV/0!</v>
      </c>
      <c r="H29" t="s">
        <v>30</v>
      </c>
    </row>
    <row r="30" spans="1:9">
      <c r="F30" s="13" t="s">
        <v>45</v>
      </c>
      <c r="G30" s="52" t="e">
        <f>IF(G29&lt;0.3,"Light Hydrocrbon","OIL")</f>
        <v>#DIV/0!</v>
      </c>
      <c r="H30" s="53" t="s">
        <v>44</v>
      </c>
    </row>
    <row r="31" spans="1:9">
      <c r="F31" s="43" t="s">
        <v>35</v>
      </c>
      <c r="G31" s="54" t="str">
        <f>IF(G25=1, "YES","NO")</f>
        <v>YES</v>
      </c>
      <c r="H31" s="53" t="s">
        <v>36</v>
      </c>
      <c r="I3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EBFB-CD0B-824A-9010-8BAA0F0062BF}">
  <dimension ref="A10:I33"/>
  <sheetViews>
    <sheetView zoomScale="125" workbookViewId="0">
      <selection activeCell="F32" sqref="F32"/>
    </sheetView>
  </sheetViews>
  <sheetFormatPr baseColWidth="10" defaultRowHeight="16"/>
  <cols>
    <col min="1" max="1" width="32.6640625" bestFit="1" customWidth="1"/>
    <col min="3" max="3" width="19" bestFit="1" customWidth="1"/>
    <col min="6" max="6" width="35.6640625" bestFit="1" customWidth="1"/>
  </cols>
  <sheetData>
    <row r="10" spans="1:8" ht="17" thickBot="1">
      <c r="A10" s="6" t="s">
        <v>34</v>
      </c>
      <c r="F10" s="6" t="s">
        <v>26</v>
      </c>
    </row>
    <row r="12" spans="1:8">
      <c r="A12" s="19" t="s">
        <v>6</v>
      </c>
      <c r="B12" s="20" t="s">
        <v>7</v>
      </c>
      <c r="C12" s="20" t="s">
        <v>8</v>
      </c>
      <c r="D12" s="21" t="s">
        <v>11</v>
      </c>
      <c r="F12" t="s">
        <v>24</v>
      </c>
      <c r="G12" s="14">
        <f>(B13-D13) / (B14-D14)</f>
        <v>0.61111111111111105</v>
      </c>
    </row>
    <row r="13" spans="1:8">
      <c r="A13" s="22" t="s">
        <v>9</v>
      </c>
      <c r="B13" s="37">
        <v>0.28999999999999998</v>
      </c>
      <c r="C13" s="23" t="s">
        <v>9</v>
      </c>
      <c r="D13" s="37">
        <v>0.125</v>
      </c>
      <c r="F13" t="s">
        <v>29</v>
      </c>
      <c r="G13" s="32">
        <f>(1-G12)/((1/B21)-(G12/B20))</f>
        <v>1.3391304347826076</v>
      </c>
      <c r="H13" t="s">
        <v>10</v>
      </c>
    </row>
    <row r="14" spans="1:8">
      <c r="A14" s="7" t="s">
        <v>1</v>
      </c>
      <c r="B14" s="38">
        <v>0.3</v>
      </c>
      <c r="C14" s="8" t="s">
        <v>1</v>
      </c>
      <c r="D14" s="38">
        <v>0.03</v>
      </c>
      <c r="F14" t="s">
        <v>28</v>
      </c>
      <c r="G14" s="32">
        <f>(1-G25)/((1/B18)-(G25/B20))</f>
        <v>4.5</v>
      </c>
      <c r="H14" t="s">
        <v>10</v>
      </c>
    </row>
    <row r="15" spans="1:8">
      <c r="A15" s="36" t="s">
        <v>4</v>
      </c>
      <c r="B15" s="2">
        <v>0.25</v>
      </c>
      <c r="C15" s="36" t="s">
        <v>4</v>
      </c>
      <c r="D15" s="2">
        <v>0.22500000000000001</v>
      </c>
      <c r="F15" t="s">
        <v>25</v>
      </c>
      <c r="G15" s="14">
        <f>(( ( ( (D13-(G12*D14))/(1-G12) )^2)+ ( ((B13-(G12*B14))/(1-G12))^2) )/2)^0.5</f>
        <v>0.27428571428571424</v>
      </c>
    </row>
    <row r="16" spans="1:8">
      <c r="F16" t="s">
        <v>27</v>
      </c>
      <c r="G16" s="32">
        <f>(G13*((G15^B24)/B26))</f>
        <v>0.1007463354037266</v>
      </c>
      <c r="H16" t="s">
        <v>10</v>
      </c>
    </row>
    <row r="17" spans="1:9">
      <c r="A17" s="24" t="s">
        <v>12</v>
      </c>
      <c r="B17" s="25" t="s">
        <v>10</v>
      </c>
      <c r="F17" s="34" t="s">
        <v>31</v>
      </c>
      <c r="G17" s="32">
        <f>(D15*1) + (1-D15)*2.65</f>
        <v>2.2787500000000001</v>
      </c>
      <c r="H17" t="s">
        <v>30</v>
      </c>
    </row>
    <row r="18" spans="1:9">
      <c r="A18" s="26" t="s">
        <v>37</v>
      </c>
      <c r="B18" s="39">
        <v>2</v>
      </c>
      <c r="F18" t="s">
        <v>32</v>
      </c>
      <c r="G18" s="32">
        <f>(D14*1) + (1-D14)*2.65</f>
        <v>2.6004999999999998</v>
      </c>
      <c r="H18" t="s">
        <v>30</v>
      </c>
    </row>
    <row r="19" spans="1:9">
      <c r="A19" t="s">
        <v>38</v>
      </c>
      <c r="B19" s="2">
        <v>4</v>
      </c>
      <c r="F19" t="s">
        <v>39</v>
      </c>
      <c r="G19" s="32">
        <f>(1/(1-G25))*(G17-(G18*G25))</f>
        <v>2.2340624999999998</v>
      </c>
      <c r="H19" t="s">
        <v>30</v>
      </c>
    </row>
    <row r="20" spans="1:9">
      <c r="A20" s="27" t="s">
        <v>1</v>
      </c>
      <c r="B20" s="38">
        <v>0.4</v>
      </c>
      <c r="F20" t="s">
        <v>40</v>
      </c>
      <c r="G20">
        <f>(B15-(G25*B14))/(1-G25)</f>
        <v>0.24305555555555555</v>
      </c>
    </row>
    <row r="21" spans="1:9">
      <c r="A21" s="9" t="s">
        <v>9</v>
      </c>
      <c r="B21" s="39">
        <v>0.55000000000000004</v>
      </c>
      <c r="F21" t="s">
        <v>41</v>
      </c>
      <c r="G21">
        <f>(D15-(G25*D14))/(1-G25)</f>
        <v>0.25208333333333333</v>
      </c>
    </row>
    <row r="23" spans="1:9" ht="17" thickBot="1">
      <c r="A23" s="28" t="s">
        <v>13</v>
      </c>
      <c r="B23" s="29" t="s">
        <v>14</v>
      </c>
      <c r="F23" s="6" t="s">
        <v>5</v>
      </c>
    </row>
    <row r="24" spans="1:9">
      <c r="A24" s="30" t="s">
        <v>15</v>
      </c>
      <c r="B24" s="40">
        <v>2</v>
      </c>
    </row>
    <row r="25" spans="1:9">
      <c r="A25" s="31" t="s">
        <v>16</v>
      </c>
      <c r="B25" s="38">
        <v>2</v>
      </c>
      <c r="F25" s="12" t="s">
        <v>18</v>
      </c>
      <c r="G25" s="44">
        <f>((B18*B20)-(B19*B20))/((2*B18*B20)-(B20^2)-(B19*B18))</f>
        <v>0.12195121951219512</v>
      </c>
      <c r="I25" s="2"/>
    </row>
    <row r="26" spans="1:9">
      <c r="A26" s="30" t="s">
        <v>17</v>
      </c>
      <c r="B26" s="40">
        <v>1</v>
      </c>
      <c r="F26" s="13" t="s">
        <v>19</v>
      </c>
      <c r="G26" s="44">
        <f>(((G20^2)+(G21^2))/2)^0.5</f>
        <v>0.24761059148475878</v>
      </c>
    </row>
    <row r="27" spans="1:9">
      <c r="F27" s="12" t="s">
        <v>20</v>
      </c>
      <c r="G27" s="44">
        <f>((G16/G14)*(B26/(G26^B24)))^(1/B25)</f>
        <v>0.60428129945736964</v>
      </c>
    </row>
    <row r="28" spans="1:9">
      <c r="F28" s="13" t="s">
        <v>21</v>
      </c>
      <c r="G28" s="44">
        <f>(1-G27)</f>
        <v>0.39571870054263036</v>
      </c>
    </row>
    <row r="29" spans="1:9">
      <c r="F29" s="12" t="s">
        <v>33</v>
      </c>
      <c r="G29" s="44">
        <f>(1-G25)*(G26)*(G28)</f>
        <v>8.6034855953801712E-2</v>
      </c>
    </row>
    <row r="30" spans="1:9">
      <c r="F30" s="13" t="s">
        <v>22</v>
      </c>
      <c r="G30" s="45">
        <f>(1/G26)*(G19-(1-G26)*2.65)</f>
        <v>0.97019503888789715</v>
      </c>
      <c r="H30" t="s">
        <v>30</v>
      </c>
    </row>
    <row r="31" spans="1:9">
      <c r="F31" s="12" t="s">
        <v>23</v>
      </c>
      <c r="G31" s="45">
        <f>(1/(1-G27))*(G30-(G27*1))</f>
        <v>0.92468144398727503</v>
      </c>
      <c r="H31" t="s">
        <v>30</v>
      </c>
    </row>
    <row r="32" spans="1:9">
      <c r="F32" s="13" t="s">
        <v>45</v>
      </c>
      <c r="G32" s="46" t="str">
        <f>IF(G31&lt;0.3,"Light Hydrocarbon","OIL")</f>
        <v>OIL</v>
      </c>
    </row>
    <row r="33" spans="6:9">
      <c r="F33" s="43" t="s">
        <v>35</v>
      </c>
      <c r="G33" s="47" t="str">
        <f>IF(G27=1, "YES","NO")</f>
        <v>NO</v>
      </c>
      <c r="H33" s="49" t="s">
        <v>36</v>
      </c>
      <c r="I3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7C5E2-2992-0641-975E-A364266A2E4B}">
  <dimension ref="A10:I34"/>
  <sheetViews>
    <sheetView tabSelected="1" topLeftCell="A7" zoomScale="150" workbookViewId="0">
      <selection activeCell="B24" sqref="B24"/>
    </sheetView>
  </sheetViews>
  <sheetFormatPr baseColWidth="10" defaultRowHeight="16"/>
  <cols>
    <col min="1" max="1" width="32.6640625" bestFit="1" customWidth="1"/>
    <col min="3" max="3" width="19" bestFit="1" customWidth="1"/>
    <col min="6" max="6" width="35.6640625" bestFit="1" customWidth="1"/>
  </cols>
  <sheetData>
    <row r="10" spans="1:8" ht="17" thickBot="1">
      <c r="A10" s="6" t="s">
        <v>34</v>
      </c>
      <c r="F10" s="6" t="s">
        <v>26</v>
      </c>
    </row>
    <row r="12" spans="1:8">
      <c r="A12" s="15" t="s">
        <v>2</v>
      </c>
      <c r="B12" s="16" t="s">
        <v>3</v>
      </c>
      <c r="F12" t="s">
        <v>24</v>
      </c>
      <c r="G12" s="14">
        <f>(B19-D19) / (B20-D20)</f>
        <v>0.10714285714285723</v>
      </c>
    </row>
    <row r="13" spans="1:8">
      <c r="A13" s="18" t="s">
        <v>1</v>
      </c>
      <c r="B13" s="38">
        <v>140</v>
      </c>
      <c r="F13" s="36" t="s">
        <v>42</v>
      </c>
      <c r="G13" s="32">
        <f>(1-G12)/(B13-B15)</f>
        <v>7.7639751552795021E-3</v>
      </c>
    </row>
    <row r="14" spans="1:8">
      <c r="A14" s="5" t="s">
        <v>4</v>
      </c>
      <c r="B14" s="41">
        <v>30</v>
      </c>
      <c r="F14" t="s">
        <v>29</v>
      </c>
      <c r="G14" s="32">
        <f>(1-G12)/((1/B26)-(G12/B25))</f>
        <v>0.42755344418052255</v>
      </c>
      <c r="H14" t="s">
        <v>10</v>
      </c>
    </row>
    <row r="15" spans="1:8">
      <c r="A15" s="18" t="s">
        <v>9</v>
      </c>
      <c r="B15" s="38">
        <v>25</v>
      </c>
      <c r="F15" t="s">
        <v>28</v>
      </c>
      <c r="G15" s="32">
        <f>(1-G26)/((1/B24)-(G26/B25))</f>
        <v>1.7637626937466599</v>
      </c>
      <c r="H15" t="s">
        <v>10</v>
      </c>
    </row>
    <row r="16" spans="1:8">
      <c r="F16" t="s">
        <v>25</v>
      </c>
      <c r="G16" s="14">
        <f>(( ( ( (D19-(G12*D20))/(1-G12) )^2)+ ( ((B19-(G12*B20))/(1-G12))^2) )/2)^0.5</f>
        <v>0.29519999999999996</v>
      </c>
    </row>
    <row r="17" spans="1:9">
      <c r="F17" t="s">
        <v>27</v>
      </c>
      <c r="G17" s="32">
        <f>(G14*((G16^B29)/B31))</f>
        <v>3.7258306888361035E-2</v>
      </c>
      <c r="H17" t="s">
        <v>10</v>
      </c>
    </row>
    <row r="18" spans="1:9">
      <c r="A18" s="19" t="s">
        <v>6</v>
      </c>
      <c r="B18" s="20" t="s">
        <v>7</v>
      </c>
      <c r="C18" s="20" t="s">
        <v>8</v>
      </c>
      <c r="D18" s="21" t="s">
        <v>11</v>
      </c>
      <c r="F18" s="34" t="s">
        <v>31</v>
      </c>
      <c r="G18" s="32">
        <f>(D21*1) + (1-D21)*2.65</f>
        <v>2.1715</v>
      </c>
      <c r="H18" t="s">
        <v>30</v>
      </c>
    </row>
    <row r="19" spans="1:9">
      <c r="A19" s="22" t="s">
        <v>9</v>
      </c>
      <c r="B19" s="37">
        <v>0.3</v>
      </c>
      <c r="C19" s="23" t="s">
        <v>9</v>
      </c>
      <c r="D19" s="37">
        <v>0.28499999999999998</v>
      </c>
      <c r="F19" t="s">
        <v>32</v>
      </c>
      <c r="G19" s="32">
        <f>(D20*1) + (1-D20)*2.65</f>
        <v>2.3200000000000003</v>
      </c>
      <c r="H19" t="s">
        <v>30</v>
      </c>
    </row>
    <row r="20" spans="1:9">
      <c r="A20" s="7" t="s">
        <v>1</v>
      </c>
      <c r="B20" s="38">
        <v>0.34</v>
      </c>
      <c r="C20" s="8" t="s">
        <v>1</v>
      </c>
      <c r="D20" s="38">
        <v>0.2</v>
      </c>
      <c r="F20" t="s">
        <v>39</v>
      </c>
      <c r="G20" s="32">
        <f>(1/(1-G26))*(G18-(G19*G26))</f>
        <v>2.1461199999999998</v>
      </c>
      <c r="H20" t="s">
        <v>30</v>
      </c>
    </row>
    <row r="21" spans="1:9">
      <c r="A21" s="36" t="s">
        <v>4</v>
      </c>
      <c r="B21" s="2">
        <v>0.28499999999999998</v>
      </c>
      <c r="C21" s="36" t="s">
        <v>4</v>
      </c>
      <c r="D21" s="2">
        <v>0.28999999999999998</v>
      </c>
      <c r="F21" t="s">
        <v>40</v>
      </c>
      <c r="G21" s="14">
        <f>(B21-(G26*B20))/(1-G26)</f>
        <v>0.27559999999999996</v>
      </c>
    </row>
    <row r="22" spans="1:9">
      <c r="F22" t="s">
        <v>41</v>
      </c>
      <c r="G22" s="14">
        <f>(D21-(G26*D20))/(1-G26)</f>
        <v>0.3053818181818182</v>
      </c>
    </row>
    <row r="23" spans="1:9">
      <c r="A23" s="24" t="s">
        <v>12</v>
      </c>
      <c r="B23" s="25" t="s">
        <v>10</v>
      </c>
    </row>
    <row r="24" spans="1:9" ht="17" thickBot="1">
      <c r="A24" s="26" t="s">
        <v>37</v>
      </c>
      <c r="B24" s="39">
        <v>1.5</v>
      </c>
      <c r="F24" s="6" t="s">
        <v>5</v>
      </c>
    </row>
    <row r="25" spans="1:9">
      <c r="A25" s="27" t="s">
        <v>1</v>
      </c>
      <c r="B25" s="38">
        <v>0.8</v>
      </c>
    </row>
    <row r="26" spans="1:9">
      <c r="A26" s="9" t="s">
        <v>9</v>
      </c>
      <c r="B26" s="39">
        <v>0.45</v>
      </c>
      <c r="F26" s="12" t="s">
        <v>18</v>
      </c>
      <c r="G26" s="44">
        <f xml:space="preserve"> G13*(B14-B13)+1</f>
        <v>0.14596273291925477</v>
      </c>
      <c r="I26" s="2"/>
    </row>
    <row r="27" spans="1:9">
      <c r="F27" s="13" t="s">
        <v>19</v>
      </c>
      <c r="G27" s="44">
        <f>(((G21^2)+(G22^2))/2)^0.5</f>
        <v>0.29087232153990955</v>
      </c>
    </row>
    <row r="28" spans="1:9">
      <c r="A28" s="28" t="s">
        <v>13</v>
      </c>
      <c r="B28" s="29" t="s">
        <v>14</v>
      </c>
      <c r="F28" s="12" t="s">
        <v>20</v>
      </c>
      <c r="G28" s="44">
        <f>((G17/G15)*(B31/(G27^B29)))^(1/B30)</f>
        <v>0.49967668358135842</v>
      </c>
    </row>
    <row r="29" spans="1:9">
      <c r="A29" s="30" t="s">
        <v>15</v>
      </c>
      <c r="B29" s="40">
        <v>2</v>
      </c>
      <c r="F29" s="13" t="s">
        <v>21</v>
      </c>
      <c r="G29" s="44">
        <f>(1-G28)</f>
        <v>0.50032331641864158</v>
      </c>
    </row>
    <row r="30" spans="1:9">
      <c r="A30" s="31" t="s">
        <v>16</v>
      </c>
      <c r="B30" s="38">
        <v>2</v>
      </c>
      <c r="F30" s="12" t="s">
        <v>33</v>
      </c>
      <c r="G30" s="44">
        <f>(1-G26)*(G27)*(G29)</f>
        <v>0.12428821818630489</v>
      </c>
    </row>
    <row r="31" spans="1:9">
      <c r="A31" s="30" t="s">
        <v>17</v>
      </c>
      <c r="B31" s="40">
        <v>1</v>
      </c>
      <c r="F31" s="13" t="s">
        <v>22</v>
      </c>
      <c r="G31" s="45">
        <f>(1/G27)*(G20-(1-G27)*2.65)</f>
        <v>0.91769354563402683</v>
      </c>
      <c r="H31" t="s">
        <v>30</v>
      </c>
    </row>
    <row r="32" spans="1:9">
      <c r="F32" s="12" t="s">
        <v>23</v>
      </c>
      <c r="G32" s="45">
        <f>(1/(1-G28))*(G31-(G28*1))</f>
        <v>0.8354934665945013</v>
      </c>
      <c r="H32" t="s">
        <v>30</v>
      </c>
    </row>
    <row r="33" spans="6:9">
      <c r="F33" s="13" t="s">
        <v>45</v>
      </c>
      <c r="G33" s="46" t="str">
        <f>IF(G32&lt;0.3,"Light Hydrocarbon","OIL")</f>
        <v>OIL</v>
      </c>
      <c r="H33" s="48" t="s">
        <v>44</v>
      </c>
      <c r="I33" s="3"/>
    </row>
    <row r="34" spans="6:9">
      <c r="F34" s="43" t="s">
        <v>35</v>
      </c>
      <c r="G34" s="47" t="str">
        <f>IF(G28=1, "YES","NO")</f>
        <v>NO</v>
      </c>
      <c r="H34" s="49" t="s">
        <v>36</v>
      </c>
      <c r="I3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1</vt:lpstr>
      <vt:lpstr>CASE 2</vt:lpstr>
      <vt:lpstr>CASE 3</vt:lpstr>
      <vt:lpstr>CASE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2020-06-17T21:07:15Z</dcterms:created>
  <dcterms:modified xsi:type="dcterms:W3CDTF">2020-06-19T01:56:03Z</dcterms:modified>
</cp:coreProperties>
</file>