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8" windowWidth="14808" windowHeight="8016"/>
  </bookViews>
  <sheets>
    <sheet name="Achizitii Recuzita " sheetId="1" r:id="rId1"/>
    <sheet name="Subtotaluri" sheetId="13" r:id="rId2"/>
    <sheet name="Financiar" sheetId="4" r:id="rId3"/>
    <sheet name="Raiting" sheetId="5" r:id="rId4"/>
    <sheet name="Profit" sheetId="2" r:id="rId5"/>
    <sheet name="Scenario Summary" sheetId="10" r:id="rId6"/>
    <sheet name="GoalSeek" sheetId="12" r:id="rId7"/>
    <sheet name="Solver" sheetId="15" r:id="rId8"/>
    <sheet name="Pivot Table" sheetId="17" r:id="rId9"/>
  </sheets>
  <definedNames>
    <definedName name="solver_adj" localSheetId="7" hidden="1">Solver!$L$4:$L$33</definedName>
    <definedName name="solver_cvg" localSheetId="7" hidden="1">0.0001</definedName>
    <definedName name="solver_drv" localSheetId="7" hidden="1">1</definedName>
    <definedName name="solver_eng" localSheetId="7" hidden="1">2</definedName>
    <definedName name="solver_est" localSheetId="7" hidden="1">1</definedName>
    <definedName name="solver_itr" localSheetId="7" hidden="1">2147483647</definedName>
    <definedName name="solver_lhs1" localSheetId="7" hidden="1">Solver!$L$4:$L$33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1</definedName>
    <definedName name="solver_nwt" localSheetId="7" hidden="1">1</definedName>
    <definedName name="solver_opt" localSheetId="7" hidden="1">Solver!$M$34</definedName>
    <definedName name="solver_pre" localSheetId="7" hidden="1">0.000001</definedName>
    <definedName name="solver_rbv" localSheetId="7" hidden="1">1</definedName>
    <definedName name="solver_rel1" localSheetId="7" hidden="1">1</definedName>
    <definedName name="solver_rhs1" localSheetId="7" hidden="1">Solver!$O$4:$O$33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3</definedName>
    <definedName name="solver_val" localSheetId="7" hidden="1">120000</definedName>
    <definedName name="solver_ver" localSheetId="7" hidden="1">3</definedName>
  </definedNames>
  <calcPr calcId="145621"/>
  <pivotCaches>
    <pivotCache cacheId="0" r:id="rId10"/>
  </pivotCaches>
</workbook>
</file>

<file path=xl/calcChain.xml><?xml version="1.0" encoding="utf-8"?>
<calcChain xmlns="http://schemas.openxmlformats.org/spreadsheetml/2006/main">
  <c r="O34" i="15" l="1"/>
  <c r="L34" i="15"/>
  <c r="K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M5" i="15"/>
  <c r="M4" i="15"/>
  <c r="D34" i="15"/>
  <c r="C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4" i="15" s="1"/>
  <c r="G34" i="15"/>
  <c r="L41" i="13"/>
  <c r="L40" i="13"/>
  <c r="L38" i="13"/>
  <c r="L24" i="13"/>
  <c r="L22" i="13"/>
  <c r="L16" i="13"/>
  <c r="L11" i="13"/>
  <c r="L6" i="13"/>
  <c r="I42" i="13"/>
  <c r="H42" i="13"/>
  <c r="K39" i="13"/>
  <c r="J39" i="13"/>
  <c r="L39" i="13" s="1"/>
  <c r="E39" i="13"/>
  <c r="B39" i="13"/>
  <c r="J37" i="13"/>
  <c r="E37" i="13"/>
  <c r="B37" i="13"/>
  <c r="K37" i="13" s="1"/>
  <c r="L37" i="13" s="1"/>
  <c r="J36" i="13"/>
  <c r="L36" i="13" s="1"/>
  <c r="E36" i="13"/>
  <c r="B36" i="13"/>
  <c r="J35" i="13"/>
  <c r="E35" i="13"/>
  <c r="B35" i="13"/>
  <c r="K35" i="13" s="1"/>
  <c r="K34" i="13"/>
  <c r="L34" i="13" s="1"/>
  <c r="J34" i="13"/>
  <c r="E34" i="13"/>
  <c r="B34" i="13"/>
  <c r="J33" i="13"/>
  <c r="E33" i="13"/>
  <c r="B33" i="13"/>
  <c r="K33" i="13" s="1"/>
  <c r="L33" i="13" s="1"/>
  <c r="J32" i="13"/>
  <c r="E32" i="13"/>
  <c r="B32" i="13"/>
  <c r="J31" i="13"/>
  <c r="E31" i="13"/>
  <c r="B31" i="13"/>
  <c r="K31" i="13" s="1"/>
  <c r="K30" i="13"/>
  <c r="L30" i="13" s="1"/>
  <c r="J30" i="13"/>
  <c r="E30" i="13"/>
  <c r="B30" i="13"/>
  <c r="J29" i="13"/>
  <c r="E29" i="13"/>
  <c r="B29" i="13"/>
  <c r="K29" i="13" s="1"/>
  <c r="L29" i="13" s="1"/>
  <c r="J28" i="13"/>
  <c r="E28" i="13"/>
  <c r="B28" i="13"/>
  <c r="J27" i="13"/>
  <c r="E27" i="13"/>
  <c r="B27" i="13"/>
  <c r="K27" i="13" s="1"/>
  <c r="K26" i="13"/>
  <c r="L26" i="13" s="1"/>
  <c r="J26" i="13"/>
  <c r="E26" i="13"/>
  <c r="B26" i="13"/>
  <c r="J25" i="13"/>
  <c r="E25" i="13"/>
  <c r="B25" i="13"/>
  <c r="K25" i="13" s="1"/>
  <c r="L25" i="13" s="1"/>
  <c r="J23" i="13"/>
  <c r="E23" i="13"/>
  <c r="B23" i="13"/>
  <c r="J21" i="13"/>
  <c r="E21" i="13"/>
  <c r="B21" i="13"/>
  <c r="K21" i="13" s="1"/>
  <c r="K20" i="13"/>
  <c r="L20" i="13" s="1"/>
  <c r="J20" i="13"/>
  <c r="E20" i="13"/>
  <c r="B20" i="13"/>
  <c r="J19" i="13"/>
  <c r="E19" i="13"/>
  <c r="B19" i="13"/>
  <c r="K19" i="13" s="1"/>
  <c r="L19" i="13" s="1"/>
  <c r="J18" i="13"/>
  <c r="E18" i="13"/>
  <c r="B18" i="13"/>
  <c r="J17" i="13"/>
  <c r="L17" i="13" s="1"/>
  <c r="E17" i="13"/>
  <c r="B17" i="13"/>
  <c r="K17" i="13" s="1"/>
  <c r="K15" i="13"/>
  <c r="J15" i="13"/>
  <c r="L15" i="13" s="1"/>
  <c r="E15" i="13"/>
  <c r="B15" i="13"/>
  <c r="J14" i="13"/>
  <c r="E14" i="13"/>
  <c r="B14" i="13"/>
  <c r="K14" i="13" s="1"/>
  <c r="L14" i="13" s="1"/>
  <c r="K13" i="13"/>
  <c r="J13" i="13"/>
  <c r="E13" i="13"/>
  <c r="B13" i="13"/>
  <c r="J12" i="13"/>
  <c r="E12" i="13"/>
  <c r="B12" i="13"/>
  <c r="K12" i="13" s="1"/>
  <c r="K10" i="13"/>
  <c r="J10" i="13"/>
  <c r="E10" i="13"/>
  <c r="B10" i="13"/>
  <c r="J9" i="13"/>
  <c r="E9" i="13"/>
  <c r="B9" i="13"/>
  <c r="K9" i="13" s="1"/>
  <c r="L9" i="13" s="1"/>
  <c r="K8" i="13"/>
  <c r="J8" i="13"/>
  <c r="E8" i="13"/>
  <c r="B8" i="13"/>
  <c r="J7" i="13"/>
  <c r="E7" i="13"/>
  <c r="B7" i="13"/>
  <c r="K7" i="13" s="1"/>
  <c r="K5" i="13"/>
  <c r="L5" i="13" s="1"/>
  <c r="J5" i="13"/>
  <c r="E5" i="13"/>
  <c r="B5" i="13"/>
  <c r="J4" i="13"/>
  <c r="J42" i="13" s="1"/>
  <c r="E4" i="13"/>
  <c r="B4" i="13"/>
  <c r="K4" i="13" s="1"/>
  <c r="O3" i="13"/>
  <c r="K36" i="13" s="1"/>
  <c r="E34" i="1"/>
  <c r="H18" i="12"/>
  <c r="H10" i="12" s="1"/>
  <c r="H11" i="12"/>
  <c r="D18" i="12"/>
  <c r="D10" i="12" s="1"/>
  <c r="D12" i="12" s="1"/>
  <c r="D14" i="12" s="1"/>
  <c r="D20" i="12" s="1"/>
  <c r="D21" i="12" s="1"/>
  <c r="D11" i="12"/>
  <c r="G9" i="10"/>
  <c r="G10" i="10"/>
  <c r="G11" i="10"/>
  <c r="G12" i="10"/>
  <c r="G13" i="10"/>
  <c r="G8" i="10"/>
  <c r="E10" i="2"/>
  <c r="F10" i="2"/>
  <c r="G10" i="2"/>
  <c r="H10" i="2"/>
  <c r="I10" i="2"/>
  <c r="D10" i="2"/>
  <c r="E17" i="2"/>
  <c r="F17" i="2"/>
  <c r="G17" i="2"/>
  <c r="G9" i="2" s="1"/>
  <c r="G11" i="2" s="1"/>
  <c r="G13" i="2" s="1"/>
  <c r="G19" i="2" s="1"/>
  <c r="G20" i="2" s="1"/>
  <c r="H17" i="2"/>
  <c r="H9" i="2" s="1"/>
  <c r="H11" i="2" s="1"/>
  <c r="H13" i="2" s="1"/>
  <c r="H19" i="2" s="1"/>
  <c r="H20" i="2" s="1"/>
  <c r="I17" i="2"/>
  <c r="D17" i="2"/>
  <c r="E22" i="1"/>
  <c r="E7" i="1"/>
  <c r="E8" i="1"/>
  <c r="E15" i="1"/>
  <c r="E16" i="1"/>
  <c r="E9" i="1"/>
  <c r="E20" i="1"/>
  <c r="E10" i="1"/>
  <c r="E23" i="1"/>
  <c r="E11" i="1"/>
  <c r="E12" i="1"/>
  <c r="E24" i="1"/>
  <c r="E5" i="1"/>
  <c r="E17" i="1"/>
  <c r="E25" i="1"/>
  <c r="E6" i="1"/>
  <c r="E26" i="1"/>
  <c r="E27" i="1"/>
  <c r="E28" i="1"/>
  <c r="E18" i="1"/>
  <c r="E13" i="1"/>
  <c r="E14" i="1"/>
  <c r="E29" i="1"/>
  <c r="E30" i="1"/>
  <c r="E31" i="1"/>
  <c r="E19" i="1"/>
  <c r="E32" i="1"/>
  <c r="E33" i="1"/>
  <c r="E21" i="1"/>
  <c r="M34" i="15" l="1"/>
  <c r="L13" i="13"/>
  <c r="L10" i="13"/>
  <c r="L8" i="13"/>
  <c r="L31" i="13"/>
  <c r="L7" i="13"/>
  <c r="L35" i="13"/>
  <c r="L21" i="13"/>
  <c r="L12" i="13"/>
  <c r="L27" i="13"/>
  <c r="L4" i="13"/>
  <c r="K18" i="13"/>
  <c r="K42" i="13" s="1"/>
  <c r="K23" i="13"/>
  <c r="L23" i="13" s="1"/>
  <c r="K28" i="13"/>
  <c r="L28" i="13" s="1"/>
  <c r="K32" i="13"/>
  <c r="L32" i="13" s="1"/>
  <c r="H12" i="12"/>
  <c r="H14" i="12" s="1"/>
  <c r="H20" i="12" s="1"/>
  <c r="H21" i="12" s="1"/>
  <c r="D9" i="2"/>
  <c r="D11" i="2" s="1"/>
  <c r="D13" i="2" s="1"/>
  <c r="D19" i="2" s="1"/>
  <c r="D20" i="2" s="1"/>
  <c r="F9" i="2"/>
  <c r="F11" i="2" s="1"/>
  <c r="F13" i="2" s="1"/>
  <c r="F19" i="2" s="1"/>
  <c r="F20" i="2" s="1"/>
  <c r="I9" i="2"/>
  <c r="I11" i="2" s="1"/>
  <c r="I13" i="2" s="1"/>
  <c r="I19" i="2" s="1"/>
  <c r="I20" i="2" s="1"/>
  <c r="E9" i="2"/>
  <c r="E11" i="2" s="1"/>
  <c r="E13" i="2" s="1"/>
  <c r="E19" i="2" s="1"/>
  <c r="E20" i="2" s="1"/>
  <c r="B7" i="4"/>
  <c r="L42" i="13" l="1"/>
  <c r="J43" i="13"/>
  <c r="L18" i="13"/>
  <c r="I35" i="1"/>
  <c r="H35" i="1"/>
  <c r="O4" i="1"/>
  <c r="B29" i="1"/>
  <c r="B14" i="1"/>
  <c r="B13" i="1"/>
  <c r="B18" i="1"/>
  <c r="K18" i="1" s="1"/>
  <c r="B28" i="1"/>
  <c r="B27" i="1"/>
  <c r="B26" i="1"/>
  <c r="B6" i="1"/>
  <c r="K6" i="1" s="1"/>
  <c r="B34" i="1"/>
  <c r="B30" i="1"/>
  <c r="B25" i="1"/>
  <c r="B17" i="1"/>
  <c r="K17" i="1" s="1"/>
  <c r="B5" i="1"/>
  <c r="B24" i="1"/>
  <c r="B12" i="1"/>
  <c r="B11" i="1"/>
  <c r="K11" i="1" s="1"/>
  <c r="B7" i="1"/>
  <c r="B23" i="1"/>
  <c r="B10" i="1"/>
  <c r="B9" i="1"/>
  <c r="K9" i="1" s="1"/>
  <c r="B20" i="1"/>
  <c r="B21" i="1"/>
  <c r="B8" i="1"/>
  <c r="B16" i="1"/>
  <c r="K16" i="1" s="1"/>
  <c r="B15" i="1"/>
  <c r="B22" i="1"/>
  <c r="B31" i="1"/>
  <c r="B19" i="1"/>
  <c r="K19" i="1" s="1"/>
  <c r="B32" i="1"/>
  <c r="B33" i="1"/>
  <c r="J22" i="1"/>
  <c r="J7" i="1"/>
  <c r="J8" i="1"/>
  <c r="J15" i="1"/>
  <c r="J16" i="1"/>
  <c r="J9" i="1"/>
  <c r="L9" i="1" s="1"/>
  <c r="J20" i="1"/>
  <c r="J10" i="1"/>
  <c r="J23" i="1"/>
  <c r="J11" i="1"/>
  <c r="L11" i="1" s="1"/>
  <c r="J12" i="1"/>
  <c r="J24" i="1"/>
  <c r="J5" i="1"/>
  <c r="J17" i="1"/>
  <c r="L17" i="1" s="1"/>
  <c r="J25" i="1"/>
  <c r="J6" i="1"/>
  <c r="J26" i="1"/>
  <c r="J27" i="1"/>
  <c r="J28" i="1"/>
  <c r="J18" i="1"/>
  <c r="J13" i="1"/>
  <c r="J14" i="1"/>
  <c r="J29" i="1"/>
  <c r="J34" i="1"/>
  <c r="J30" i="1"/>
  <c r="J31" i="1"/>
  <c r="J19" i="1"/>
  <c r="J32" i="1"/>
  <c r="J33" i="1"/>
  <c r="J21" i="1"/>
  <c r="L18" i="1" l="1"/>
  <c r="L6" i="1"/>
  <c r="L19" i="1"/>
  <c r="K32" i="1"/>
  <c r="L32" i="1" s="1"/>
  <c r="L16" i="1"/>
  <c r="K15" i="1"/>
  <c r="L15" i="1" s="1"/>
  <c r="K5" i="1"/>
  <c r="L5" i="1" s="1"/>
  <c r="K34" i="1"/>
  <c r="L34" i="1" s="1"/>
  <c r="J35" i="1"/>
  <c r="K7" i="1"/>
  <c r="L7" i="1" s="1"/>
  <c r="K31" i="1"/>
  <c r="L31" i="1" s="1"/>
  <c r="K8" i="1"/>
  <c r="L8" i="1" s="1"/>
  <c r="K10" i="1"/>
  <c r="L10" i="1" s="1"/>
  <c r="K12" i="1"/>
  <c r="L12" i="1" s="1"/>
  <c r="K25" i="1"/>
  <c r="L25" i="1" s="1"/>
  <c r="K26" i="1"/>
  <c r="L26" i="1" s="1"/>
  <c r="K13" i="1"/>
  <c r="L13" i="1" s="1"/>
  <c r="K33" i="1"/>
  <c r="L33" i="1" s="1"/>
  <c r="K22" i="1"/>
  <c r="L22" i="1" s="1"/>
  <c r="K23" i="1"/>
  <c r="L23" i="1" s="1"/>
  <c r="K24" i="1"/>
  <c r="L24" i="1" s="1"/>
  <c r="K30" i="1"/>
  <c r="L30" i="1" s="1"/>
  <c r="K14" i="1"/>
  <c r="L14" i="1" s="1"/>
  <c r="K29" i="1"/>
  <c r="L29" i="1" s="1"/>
  <c r="K28" i="1"/>
  <c r="L28" i="1" s="1"/>
  <c r="K20" i="1"/>
  <c r="L20" i="1" s="1"/>
  <c r="K21" i="1"/>
  <c r="L21" i="1" s="1"/>
  <c r="K27" i="1"/>
  <c r="L27" i="1" s="1"/>
  <c r="K35" i="1" l="1"/>
  <c r="J36" i="1" s="1"/>
  <c r="L35" i="1" l="1"/>
</calcChain>
</file>

<file path=xl/sharedStrings.xml><?xml version="1.0" encoding="utf-8"?>
<sst xmlns="http://schemas.openxmlformats.org/spreadsheetml/2006/main" count="514" uniqueCount="177">
  <si>
    <t xml:space="preserve">Nr. Crt. </t>
  </si>
  <si>
    <t>Furnizor</t>
  </si>
  <si>
    <t>Show</t>
  </si>
  <si>
    <t>Categorie</t>
  </si>
  <si>
    <t xml:space="preserve">Articol </t>
  </si>
  <si>
    <t>Pret Unitar</t>
  </si>
  <si>
    <t>Nr. Buc.</t>
  </si>
  <si>
    <t>Data Achizitie</t>
  </si>
  <si>
    <t>Remember:The War of the Son</t>
  </si>
  <si>
    <t>I miss you</t>
  </si>
  <si>
    <t xml:space="preserve">I can see your voice </t>
  </si>
  <si>
    <t>Runnnig Man</t>
  </si>
  <si>
    <t>Divertisment</t>
  </si>
  <si>
    <t>Serial</t>
  </si>
  <si>
    <t xml:space="preserve">Burning </t>
  </si>
  <si>
    <t>Film</t>
  </si>
  <si>
    <t>Playing with fire</t>
  </si>
  <si>
    <t>The Masked Singer</t>
  </si>
  <si>
    <t>Arirang News Center</t>
  </si>
  <si>
    <t>News</t>
  </si>
  <si>
    <t>The Return of Superman</t>
  </si>
  <si>
    <t xml:space="preserve">Watcher </t>
  </si>
  <si>
    <t>Documentary of AKB48: The Time Has Come</t>
  </si>
  <si>
    <t>Documentary</t>
  </si>
  <si>
    <t xml:space="preserve">Documentary of Namie Amuro </t>
  </si>
  <si>
    <t>Choco Bank</t>
  </si>
  <si>
    <t>Animatie</t>
  </si>
  <si>
    <t>The King and the Clown</t>
  </si>
  <si>
    <t>Fashion King</t>
  </si>
  <si>
    <t>Pororo the Little Penguin</t>
  </si>
  <si>
    <t>Rainbow Ruby</t>
  </si>
  <si>
    <t>Defendant</t>
  </si>
  <si>
    <t>Arthdal Chronicles Part 1: The Children of Prophecy</t>
  </si>
  <si>
    <t>49 Days</t>
  </si>
  <si>
    <t>A frozen flower</t>
  </si>
  <si>
    <t>Stratosphere: The Documentary</t>
  </si>
  <si>
    <t>Gangnam Beauty</t>
  </si>
  <si>
    <t>Chosun Police</t>
  </si>
  <si>
    <t>Market</t>
  </si>
  <si>
    <t>Teleshoping</t>
  </si>
  <si>
    <t>Hwarang</t>
  </si>
  <si>
    <t>I'm not a robot</t>
  </si>
  <si>
    <t>Love Rain</t>
  </si>
  <si>
    <t>Miss Hamurabi</t>
  </si>
  <si>
    <t xml:space="preserve">Nice Witch </t>
  </si>
  <si>
    <t>Angels Costumes</t>
  </si>
  <si>
    <t>ISS Props</t>
  </si>
  <si>
    <t>Mike Tristano &amp;Co.</t>
  </si>
  <si>
    <t>ProductionHUB</t>
  </si>
  <si>
    <t>Rochii de bal</t>
  </si>
  <si>
    <t xml:space="preserve">Costume traditionale coreene razboinici </t>
  </si>
  <si>
    <t xml:space="preserve">Dosare </t>
  </si>
  <si>
    <t>Pistol fals</t>
  </si>
  <si>
    <t>Cravate</t>
  </si>
  <si>
    <t>Casa in miniatura din ciocolata</t>
  </si>
  <si>
    <t>Obiective aparate foto</t>
  </si>
  <si>
    <t>Aparatura sonora</t>
  </si>
  <si>
    <t>Constume traditionale coreene ministrii</t>
  </si>
  <si>
    <t>Robe procurori</t>
  </si>
  <si>
    <t>Extensii par</t>
  </si>
  <si>
    <t>Colac de salvare</t>
  </si>
  <si>
    <t>Microfon</t>
  </si>
  <si>
    <t>Diverse Masti</t>
  </si>
  <si>
    <t>Manechin</t>
  </si>
  <si>
    <t>Tobe traditionale coreene</t>
  </si>
  <si>
    <t>Costum Pilot</t>
  </si>
  <si>
    <t>Umbrela</t>
  </si>
  <si>
    <t>Halat alb</t>
  </si>
  <si>
    <t>Televiziunea Arirang TV</t>
  </si>
  <si>
    <t>Extinctor</t>
  </si>
  <si>
    <t>Camera supraveghere</t>
  </si>
  <si>
    <t xml:space="preserve">Cai </t>
  </si>
  <si>
    <t>Modificator voce</t>
  </si>
  <si>
    <t>Produse cosmetice</t>
  </si>
  <si>
    <t>Costume salbatici</t>
  </si>
  <si>
    <t>Mini microfoane</t>
  </si>
  <si>
    <t>Scaune</t>
  </si>
  <si>
    <t>Masina</t>
  </si>
  <si>
    <t>Cercei</t>
  </si>
  <si>
    <t>Bec</t>
  </si>
  <si>
    <t>Majorare</t>
  </si>
  <si>
    <t>TOTAL</t>
  </si>
  <si>
    <t>Procentul majorare pret</t>
  </si>
  <si>
    <t>Data majorare pret</t>
  </si>
  <si>
    <t>Pret Total</t>
  </si>
  <si>
    <t>Cheltuieli salariale</t>
  </si>
  <si>
    <t>Fond salarii actori</t>
  </si>
  <si>
    <t>Fond salarii regizori</t>
  </si>
  <si>
    <t xml:space="preserve">Fond salarii prezentatori </t>
  </si>
  <si>
    <t>Fond salarii montaj si editare</t>
  </si>
  <si>
    <t xml:space="preserve">Prime </t>
  </si>
  <si>
    <t>Taxe si Impozite</t>
  </si>
  <si>
    <t>Cheltuieli salariale totale:</t>
  </si>
  <si>
    <t>Cheltuieli fixe:</t>
  </si>
  <si>
    <t>Total Cheltuieli:</t>
  </si>
  <si>
    <t>Februarie 2020</t>
  </si>
  <si>
    <t>Ianuarie 2020</t>
  </si>
  <si>
    <t>Decembrie 2019</t>
  </si>
  <si>
    <t>Noiembrie 2019</t>
  </si>
  <si>
    <t>Octombrie 2019</t>
  </si>
  <si>
    <t>Septembrie 2019</t>
  </si>
  <si>
    <t>Venituri audienta</t>
  </si>
  <si>
    <t>Sponsorizari</t>
  </si>
  <si>
    <t>Total Venituri</t>
  </si>
  <si>
    <t xml:space="preserve">Profit Brut </t>
  </si>
  <si>
    <t>Profit Net</t>
  </si>
  <si>
    <t>Perioada</t>
  </si>
  <si>
    <t>Dobanda</t>
  </si>
  <si>
    <t>Rata lunara</t>
  </si>
  <si>
    <t>Rezultat</t>
  </si>
  <si>
    <t>$</t>
  </si>
  <si>
    <t>ani</t>
  </si>
  <si>
    <t>Suma depusa initial</t>
  </si>
  <si>
    <t>Date brute</t>
  </si>
  <si>
    <t>Date prelucrate</t>
  </si>
  <si>
    <t>Unitate de masura</t>
  </si>
  <si>
    <t>%</t>
  </si>
  <si>
    <t>luni</t>
  </si>
  <si>
    <t>Investitie pentru sezonul 2 "Real Men"</t>
  </si>
  <si>
    <t>20.3% </t>
  </si>
  <si>
    <t>7.2% </t>
  </si>
  <si>
    <t>20.1% </t>
  </si>
  <si>
    <t>22.6% </t>
  </si>
  <si>
    <t>6.6% </t>
  </si>
  <si>
    <t>Raiting</t>
  </si>
  <si>
    <t>Raiting-ul anual pentru fiecare categorie de program</t>
  </si>
  <si>
    <t>Plafon</t>
  </si>
  <si>
    <t>Prima</t>
  </si>
  <si>
    <t>Taxe (CAS)</t>
  </si>
  <si>
    <t>Impozit Profit</t>
  </si>
  <si>
    <t>Impozit Salarial</t>
  </si>
  <si>
    <t>Observatie !</t>
  </si>
  <si>
    <t>if</t>
  </si>
  <si>
    <t>sum</t>
  </si>
  <si>
    <t>Primele se acorda daca veniturile totale au depasit un anumit plafon !</t>
  </si>
  <si>
    <t>Grafice</t>
  </si>
  <si>
    <t>Profitul</t>
  </si>
  <si>
    <t>Scenariu</t>
  </si>
  <si>
    <t>$M$5</t>
  </si>
  <si>
    <t>$D$13</t>
  </si>
  <si>
    <t>$E$13</t>
  </si>
  <si>
    <t>$F$13</t>
  </si>
  <si>
    <t>$G$13</t>
  </si>
  <si>
    <t>$H$13</t>
  </si>
  <si>
    <t>$I$13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</si>
  <si>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</si>
  <si>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</si>
  <si>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</si>
  <si>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</si>
  <si>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</si>
  <si>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</si>
  <si>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</si>
  <si>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 xml:space="preserve">Majorare prima </t>
  </si>
  <si>
    <t xml:space="preserve">Created by Adriana on 06-03-2020
</t>
  </si>
  <si>
    <t xml:space="preserve">Octombrie 2019 </t>
  </si>
  <si>
    <t>Diferenta</t>
  </si>
  <si>
    <t>Goal Seek - Descoperire obiectiv                    ~Valori Inițiale~</t>
  </si>
  <si>
    <t>Goal Seek - Descoperire obiectiv                    ~Valori Obiectiv~</t>
  </si>
  <si>
    <t>Animatie Total</t>
  </si>
  <si>
    <t>Divertisment Total</t>
  </si>
  <si>
    <t>Documentary Total</t>
  </si>
  <si>
    <t>Film Total</t>
  </si>
  <si>
    <t>News Total</t>
  </si>
  <si>
    <t>Serial Total</t>
  </si>
  <si>
    <t>Teleshoping Total</t>
  </si>
  <si>
    <t>Grand Total</t>
  </si>
  <si>
    <t>Pret Total 2020</t>
  </si>
  <si>
    <t>Limite Nr Buc.</t>
  </si>
  <si>
    <t xml:space="preserve">Total </t>
  </si>
  <si>
    <t>Target</t>
  </si>
  <si>
    <t>Solver - Valori Initiale</t>
  </si>
  <si>
    <t>Solver - Valori necesare</t>
  </si>
  <si>
    <t>Row Labels</t>
  </si>
  <si>
    <t>Column Labels</t>
  </si>
  <si>
    <t>(All)</t>
  </si>
  <si>
    <t>Sum of Pret Total 2020</t>
  </si>
  <si>
    <t>Televiziunea Arirang - 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</si>
</sst>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409]d/mmm/yyyy;@"/>
  </numFmts>
  <fonts count="2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5"/>
      <color theme="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8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8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8" fillId="16" borderId="0" applyNumberFormat="0" applyBorder="0" applyAlignment="0" applyProtection="0"/>
    <xf numFmtId="0" fontId="3" fillId="17" borderId="0" applyNumberFormat="0" applyBorder="0" applyAlignment="0" applyProtection="0"/>
    <xf numFmtId="0" fontId="8" fillId="18" borderId="0" applyNumberFormat="0" applyBorder="0" applyAlignment="0" applyProtection="0"/>
  </cellStyleXfs>
  <cellXfs count="136">
    <xf numFmtId="0" fontId="0" fillId="0" borderId="0" xfId="0"/>
    <xf numFmtId="0" fontId="0" fillId="0" borderId="0" xfId="0" applyAlignment="1">
      <alignment horizontal="center"/>
    </xf>
    <xf numFmtId="0" fontId="2" fillId="4" borderId="0" xfId="3" applyFont="1" applyAlignment="1">
      <alignment horizontal="center"/>
    </xf>
    <xf numFmtId="0" fontId="2" fillId="5" borderId="0" xfId="4" applyFont="1" applyAlignment="1">
      <alignment horizontal="center"/>
    </xf>
    <xf numFmtId="164" fontId="2" fillId="5" borderId="0" xfId="4" applyNumberFormat="1" applyFont="1" applyAlignment="1">
      <alignment horizontal="center"/>
    </xf>
    <xf numFmtId="0" fontId="2" fillId="3" borderId="0" xfId="2" applyFont="1" applyAlignment="1">
      <alignment horizontal="center"/>
    </xf>
    <xf numFmtId="165" fontId="2" fillId="5" borderId="0" xfId="4" applyNumberFormat="1" applyFont="1" applyAlignment="1">
      <alignment horizontal="center"/>
    </xf>
    <xf numFmtId="0" fontId="2" fillId="5" borderId="0" xfId="4" applyFont="1" applyAlignment="1">
      <alignment horizontal="left"/>
    </xf>
    <xf numFmtId="164" fontId="2" fillId="4" borderId="0" xfId="3" applyNumberFormat="1" applyFont="1" applyAlignment="1">
      <alignment horizontal="center"/>
    </xf>
    <xf numFmtId="0" fontId="5" fillId="2" borderId="0" xfId="1" applyFont="1"/>
    <xf numFmtId="165" fontId="5" fillId="2" borderId="0" xfId="1" applyNumberFormat="1" applyFont="1"/>
    <xf numFmtId="0" fontId="2" fillId="4" borderId="0" xfId="3" applyFont="1"/>
    <xf numFmtId="0" fontId="2" fillId="3" borderId="0" xfId="2" applyFont="1"/>
    <xf numFmtId="0" fontId="2" fillId="3" borderId="0" xfId="2" applyFont="1" applyAlignment="1">
      <alignment horizontal="center"/>
    </xf>
    <xf numFmtId="0" fontId="2" fillId="5" borderId="1" xfId="4" applyFont="1" applyBorder="1" applyAlignment="1">
      <alignment horizontal="center" vertical="center" wrapText="1"/>
    </xf>
    <xf numFmtId="10" fontId="2" fillId="5" borderId="1" xfId="4" applyNumberFormat="1" applyFont="1" applyBorder="1" applyAlignment="1">
      <alignment horizontal="center" vertical="center" wrapText="1"/>
    </xf>
    <xf numFmtId="0" fontId="0" fillId="0" borderId="0" xfId="0" applyAlignment="1"/>
    <xf numFmtId="0" fontId="11" fillId="0" borderId="0" xfId="0" applyFont="1"/>
    <xf numFmtId="0" fontId="0" fillId="0" borderId="0" xfId="0" applyFont="1"/>
    <xf numFmtId="0" fontId="2" fillId="14" borderId="2" xfId="13" applyFont="1" applyBorder="1"/>
    <xf numFmtId="0" fontId="11" fillId="13" borderId="3" xfId="12" applyFont="1" applyBorder="1"/>
    <xf numFmtId="0" fontId="11" fillId="13" borderId="5" xfId="12" applyFont="1" applyBorder="1"/>
    <xf numFmtId="0" fontId="2" fillId="14" borderId="8" xfId="13" applyFont="1" applyBorder="1"/>
    <xf numFmtId="0" fontId="11" fillId="12" borderId="6" xfId="11" applyFont="1" applyBorder="1"/>
    <xf numFmtId="0" fontId="11" fillId="12" borderId="4" xfId="11" applyFont="1" applyBorder="1"/>
    <xf numFmtId="0" fontId="11" fillId="12" borderId="7" xfId="11" applyFont="1" applyBorder="1"/>
    <xf numFmtId="0" fontId="11" fillId="12" borderId="0" xfId="11" applyFont="1" applyBorder="1"/>
    <xf numFmtId="0" fontId="11" fillId="12" borderId="8" xfId="11" applyFont="1" applyBorder="1"/>
    <xf numFmtId="0" fontId="11" fillId="12" borderId="2" xfId="11" applyFont="1" applyBorder="1"/>
    <xf numFmtId="0" fontId="11" fillId="0" borderId="3" xfId="0" applyFont="1" applyBorder="1"/>
    <xf numFmtId="0" fontId="11" fillId="0" borderId="12" xfId="0" applyFont="1" applyBorder="1"/>
    <xf numFmtId="0" fontId="11" fillId="0" borderId="6" xfId="0" applyFont="1" applyBorder="1"/>
    <xf numFmtId="0" fontId="2" fillId="17" borderId="8" xfId="16" applyFont="1" applyBorder="1"/>
    <xf numFmtId="0" fontId="2" fillId="17" borderId="2" xfId="16" applyFont="1" applyBorder="1"/>
    <xf numFmtId="0" fontId="11" fillId="16" borderId="5" xfId="15" applyFont="1" applyBorder="1"/>
    <xf numFmtId="0" fontId="11" fillId="16" borderId="3" xfId="15" applyFont="1" applyBorder="1"/>
    <xf numFmtId="0" fontId="11" fillId="11" borderId="6" xfId="10" applyFont="1" applyBorder="1"/>
    <xf numFmtId="0" fontId="11" fillId="11" borderId="4" xfId="10" applyFont="1" applyBorder="1"/>
    <xf numFmtId="0" fontId="11" fillId="18" borderId="5" xfId="17" applyFont="1" applyBorder="1"/>
    <xf numFmtId="0" fontId="11" fillId="18" borderId="3" xfId="17" applyFont="1" applyBorder="1"/>
    <xf numFmtId="164" fontId="11" fillId="12" borderId="4" xfId="11" applyNumberFormat="1" applyFont="1" applyBorder="1"/>
    <xf numFmtId="164" fontId="11" fillId="12" borderId="9" xfId="11" applyNumberFormat="1" applyFont="1" applyBorder="1"/>
    <xf numFmtId="164" fontId="11" fillId="12" borderId="0" xfId="11" applyNumberFormat="1" applyFont="1" applyBorder="1"/>
    <xf numFmtId="164" fontId="11" fillId="12" borderId="10" xfId="11" applyNumberFormat="1" applyFont="1" applyBorder="1"/>
    <xf numFmtId="164" fontId="11" fillId="12" borderId="2" xfId="11" applyNumberFormat="1" applyFont="1" applyBorder="1"/>
    <xf numFmtId="164" fontId="11" fillId="12" borderId="11" xfId="11" applyNumberFormat="1" applyFont="1" applyBorder="1"/>
    <xf numFmtId="164" fontId="11" fillId="13" borderId="3" xfId="12" applyNumberFormat="1" applyFont="1" applyBorder="1"/>
    <xf numFmtId="164" fontId="11" fillId="13" borderId="12" xfId="12" applyNumberFormat="1" applyFont="1" applyBorder="1"/>
    <xf numFmtId="164" fontId="2" fillId="14" borderId="2" xfId="13" applyNumberFormat="1" applyFont="1" applyBorder="1"/>
    <xf numFmtId="164" fontId="2" fillId="14" borderId="11" xfId="13" applyNumberFormat="1" applyFont="1" applyBorder="1"/>
    <xf numFmtId="164" fontId="0" fillId="0" borderId="0" xfId="0" applyNumberFormat="1"/>
    <xf numFmtId="164" fontId="11" fillId="16" borderId="3" xfId="15" applyNumberFormat="1" applyFont="1" applyBorder="1"/>
    <xf numFmtId="164" fontId="11" fillId="16" borderId="12" xfId="15" applyNumberFormat="1" applyFont="1" applyBorder="1"/>
    <xf numFmtId="164" fontId="2" fillId="17" borderId="2" xfId="16" applyNumberFormat="1" applyFont="1" applyBorder="1"/>
    <xf numFmtId="164" fontId="2" fillId="17" borderId="11" xfId="16" applyNumberFormat="1" applyFont="1" applyBorder="1"/>
    <xf numFmtId="164" fontId="11" fillId="11" borderId="4" xfId="10" applyNumberFormat="1" applyFont="1" applyBorder="1"/>
    <xf numFmtId="164" fontId="11" fillId="11" borderId="9" xfId="10" applyNumberFormat="1" applyFont="1" applyBorder="1"/>
    <xf numFmtId="164" fontId="11" fillId="18" borderId="3" xfId="17" applyNumberFormat="1" applyFont="1" applyBorder="1"/>
    <xf numFmtId="164" fontId="11" fillId="18" borderId="12" xfId="17" applyNumberFormat="1" applyFont="1" applyBorder="1"/>
    <xf numFmtId="164" fontId="8" fillId="12" borderId="0" xfId="11" applyNumberFormat="1" applyFont="1" applyBorder="1"/>
    <xf numFmtId="164" fontId="8" fillId="12" borderId="10" xfId="11" applyNumberFormat="1" applyFont="1" applyBorder="1"/>
    <xf numFmtId="164" fontId="8" fillId="13" borderId="3" xfId="12" applyNumberFormat="1" applyFont="1" applyBorder="1"/>
    <xf numFmtId="0" fontId="5" fillId="2" borderId="6" xfId="1" applyFont="1" applyBorder="1"/>
    <xf numFmtId="164" fontId="5" fillId="2" borderId="9" xfId="1" applyNumberFormat="1" applyFont="1" applyBorder="1"/>
    <xf numFmtId="0" fontId="5" fillId="2" borderId="7" xfId="1" applyFont="1" applyBorder="1"/>
    <xf numFmtId="9" fontId="5" fillId="2" borderId="10" xfId="1" applyNumberFormat="1" applyFont="1" applyBorder="1"/>
    <xf numFmtId="0" fontId="5" fillId="2" borderId="8" xfId="1" applyFont="1" applyBorder="1"/>
    <xf numFmtId="9" fontId="5" fillId="2" borderId="11" xfId="1" applyNumberFormat="1" applyFont="1" applyBorder="1"/>
    <xf numFmtId="0" fontId="5" fillId="2" borderId="14" xfId="1" applyFont="1" applyBorder="1"/>
    <xf numFmtId="0" fontId="5" fillId="2" borderId="13" xfId="1" applyFont="1" applyBorder="1"/>
    <xf numFmtId="0" fontId="5" fillId="2" borderId="15" xfId="1" applyFont="1" applyBorder="1"/>
    <xf numFmtId="0" fontId="12" fillId="9" borderId="15" xfId="8" applyFont="1" applyBorder="1"/>
    <xf numFmtId="0" fontId="12" fillId="9" borderId="5" xfId="8" applyFont="1" applyBorder="1"/>
    <xf numFmtId="0" fontId="12" fillId="9" borderId="3" xfId="8" applyFont="1" applyBorder="1"/>
    <xf numFmtId="0" fontId="12" fillId="9" borderId="12" xfId="8" applyFont="1" applyBorder="1"/>
    <xf numFmtId="164" fontId="8" fillId="13" borderId="12" xfId="12" applyNumberFormat="1" applyFont="1" applyBorder="1"/>
    <xf numFmtId="0" fontId="11" fillId="12" borderId="17" xfId="11" applyFont="1" applyBorder="1"/>
    <xf numFmtId="164" fontId="11" fillId="12" borderId="18" xfId="11" applyNumberFormat="1" applyFont="1" applyBorder="1"/>
    <xf numFmtId="0" fontId="11" fillId="12" borderId="19" xfId="11" applyFont="1" applyBorder="1"/>
    <xf numFmtId="164" fontId="11" fillId="12" borderId="20" xfId="11" applyNumberFormat="1" applyFont="1" applyBorder="1"/>
    <xf numFmtId="0" fontId="11" fillId="12" borderId="21" xfId="11" applyFont="1" applyBorder="1"/>
    <xf numFmtId="164" fontId="11" fillId="12" borderId="22" xfId="11" applyNumberFormat="1" applyFont="1" applyBorder="1"/>
    <xf numFmtId="0" fontId="2" fillId="14" borderId="16" xfId="13" applyFont="1" applyBorder="1"/>
    <xf numFmtId="0" fontId="11" fillId="0" borderId="23" xfId="0" applyFont="1" applyBorder="1"/>
    <xf numFmtId="0" fontId="11" fillId="0" borderId="24" xfId="0" applyFont="1" applyBorder="1"/>
    <xf numFmtId="0" fontId="11" fillId="0" borderId="25" xfId="0" applyFont="1" applyBorder="1"/>
    <xf numFmtId="0" fontId="2" fillId="7" borderId="0" xfId="6" applyFont="1"/>
    <xf numFmtId="0" fontId="2" fillId="8" borderId="0" xfId="7" applyFont="1"/>
    <xf numFmtId="0" fontId="0" fillId="0" borderId="0" xfId="0" applyFill="1" applyBorder="1" applyAlignment="1"/>
    <xf numFmtId="164" fontId="0" fillId="0" borderId="0" xfId="0" applyNumberFormat="1" applyFill="1" applyBorder="1" applyAlignment="1"/>
    <xf numFmtId="164" fontId="0" fillId="0" borderId="27" xfId="0" applyNumberFormat="1" applyFill="1" applyBorder="1" applyAlignment="1"/>
    <xf numFmtId="0" fontId="14" fillId="19" borderId="2" xfId="0" applyFont="1" applyFill="1" applyBorder="1" applyAlignment="1">
      <alignment horizontal="left"/>
    </xf>
    <xf numFmtId="0" fontId="14" fillId="19" borderId="26" xfId="0" applyFont="1" applyFill="1" applyBorder="1" applyAlignment="1">
      <alignment horizontal="left"/>
    </xf>
    <xf numFmtId="0" fontId="0" fillId="0" borderId="3" xfId="0" applyFill="1" applyBorder="1" applyAlignment="1"/>
    <xf numFmtId="0" fontId="15" fillId="20" borderId="0" xfId="0" applyFont="1" applyFill="1" applyBorder="1" applyAlignment="1">
      <alignment horizontal="left"/>
    </xf>
    <xf numFmtId="0" fontId="16" fillId="20" borderId="3" xfId="0" applyFont="1" applyFill="1" applyBorder="1" applyAlignment="1">
      <alignment horizontal="left"/>
    </xf>
    <xf numFmtId="0" fontId="15" fillId="20" borderId="27" xfId="0" applyFont="1" applyFill="1" applyBorder="1" applyAlignment="1">
      <alignment horizontal="left"/>
    </xf>
    <xf numFmtId="0" fontId="17" fillId="19" borderId="26" xfId="0" applyFont="1" applyFill="1" applyBorder="1" applyAlignment="1">
      <alignment horizontal="right"/>
    </xf>
    <xf numFmtId="0" fontId="17" fillId="19" borderId="2" xfId="0" applyFont="1" applyFill="1" applyBorder="1" applyAlignment="1">
      <alignment horizontal="right"/>
    </xf>
    <xf numFmtId="0" fontId="0" fillId="21" borderId="0" xfId="0" applyFill="1" applyBorder="1" applyAlignment="1"/>
    <xf numFmtId="0" fontId="18" fillId="0" borderId="0" xfId="0" applyFont="1" applyFill="1" applyBorder="1" applyAlignment="1">
      <alignment vertical="top" wrapText="1"/>
    </xf>
    <xf numFmtId="0" fontId="19" fillId="10" borderId="0" xfId="9" applyFont="1"/>
    <xf numFmtId="0" fontId="19" fillId="10" borderId="0" xfId="9" applyFont="1" applyBorder="1" applyAlignment="1">
      <alignment horizontal="left"/>
    </xf>
    <xf numFmtId="164" fontId="19" fillId="10" borderId="0" xfId="9" applyNumberFormat="1" applyFont="1" applyBorder="1" applyAlignment="1"/>
    <xf numFmtId="164" fontId="19" fillId="10" borderId="0" xfId="9" applyNumberFormat="1" applyFont="1"/>
    <xf numFmtId="0" fontId="11" fillId="0" borderId="16" xfId="0" applyFont="1" applyBorder="1"/>
    <xf numFmtId="10" fontId="2" fillId="5" borderId="0" xfId="4" applyNumberFormat="1" applyFont="1" applyAlignment="1">
      <alignment horizontal="left"/>
    </xf>
    <xf numFmtId="164" fontId="2" fillId="5" borderId="0" xfId="4" applyNumberFormat="1" applyFont="1"/>
    <xf numFmtId="164" fontId="2" fillId="4" borderId="0" xfId="3" applyNumberFormat="1" applyFont="1"/>
    <xf numFmtId="164" fontId="2" fillId="15" borderId="0" xfId="14" applyNumberFormat="1" applyFont="1" applyAlignment="1">
      <alignment horizontal="center"/>
    </xf>
    <xf numFmtId="0" fontId="2" fillId="4" borderId="0" xfId="3" applyNumberFormat="1" applyFont="1" applyAlignment="1">
      <alignment horizontal="center"/>
    </xf>
    <xf numFmtId="0" fontId="2" fillId="15" borderId="0" xfId="14" applyFont="1"/>
    <xf numFmtId="1" fontId="2" fillId="4" borderId="0" xfId="3" applyNumberFormat="1" applyFont="1" applyAlignment="1">
      <alignment horizontal="center"/>
    </xf>
    <xf numFmtId="1" fontId="2" fillId="5" borderId="0" xfId="4" applyNumberFormat="1" applyFont="1" applyAlignment="1">
      <alignment horizontal="center"/>
    </xf>
    <xf numFmtId="165" fontId="2" fillId="4" borderId="0" xfId="3" applyNumberFormat="1" applyFont="1" applyAlignment="1">
      <alignment horizontal="center"/>
    </xf>
    <xf numFmtId="0" fontId="2" fillId="4" borderId="0" xfId="3" applyFont="1" applyAlignment="1">
      <alignment horizontal="left"/>
    </xf>
    <xf numFmtId="10" fontId="2" fillId="4" borderId="0" xfId="3" applyNumberFormat="1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7" borderId="0" xfId="6" applyFont="1" applyAlignment="1"/>
    <xf numFmtId="0" fontId="3" fillId="4" borderId="0" xfId="3"/>
    <xf numFmtId="164" fontId="2" fillId="6" borderId="0" xfId="5" applyNumberFormat="1" applyFont="1" applyAlignment="1">
      <alignment horizontal="center"/>
    </xf>
    <xf numFmtId="0" fontId="2" fillId="6" borderId="0" xfId="5" applyFont="1" applyAlignment="1">
      <alignment horizontal="center"/>
    </xf>
    <xf numFmtId="0" fontId="4" fillId="6" borderId="0" xfId="5" applyFont="1" applyAlignment="1">
      <alignment horizontal="center"/>
    </xf>
    <xf numFmtId="8" fontId="2" fillId="3" borderId="0" xfId="2" applyNumberFormat="1" applyFont="1" applyAlignment="1">
      <alignment horizontal="center"/>
    </xf>
    <xf numFmtId="0" fontId="2" fillId="3" borderId="0" xfId="2" applyFont="1" applyAlignment="1">
      <alignment horizontal="center"/>
    </xf>
    <xf numFmtId="0" fontId="6" fillId="6" borderId="0" xfId="5" applyFont="1" applyAlignment="1">
      <alignment horizontal="center"/>
    </xf>
    <xf numFmtId="0" fontId="3" fillId="6" borderId="0" xfId="5" applyAlignment="1">
      <alignment horizontal="center"/>
    </xf>
    <xf numFmtId="44" fontId="7" fillId="6" borderId="0" xfId="5" applyNumberFormat="1" applyFont="1" applyAlignment="1">
      <alignment horizontal="center" vertical="top" wrapText="1"/>
    </xf>
    <xf numFmtId="44" fontId="3" fillId="6" borderId="0" xfId="5" applyNumberFormat="1" applyAlignment="1">
      <alignment horizontal="center" vertical="top" wrapText="1"/>
    </xf>
    <xf numFmtId="0" fontId="13" fillId="6" borderId="0" xfId="5" applyFont="1" applyAlignment="1">
      <alignment horizontal="center"/>
    </xf>
    <xf numFmtId="0" fontId="6" fillId="6" borderId="0" xfId="5" applyFont="1" applyAlignment="1">
      <alignment horizontal="center" vertical="top" wrapText="1"/>
    </xf>
    <xf numFmtId="0" fontId="4" fillId="6" borderId="0" xfId="5" applyFont="1" applyAlignment="1">
      <alignment horizontal="center" vertical="top"/>
    </xf>
    <xf numFmtId="0" fontId="2" fillId="6" borderId="0" xfId="5" applyFont="1" applyAlignment="1">
      <alignment horizontal="center" vertical="top"/>
    </xf>
    <xf numFmtId="0" fontId="20" fillId="6" borderId="0" xfId="5" applyFont="1" applyAlignment="1">
      <alignment horizontal="center" vertical="center"/>
    </xf>
  </cellXfs>
  <cellStyles count="18">
    <cellStyle name="20% - Accent2" xfId="11" builtinId="34"/>
    <cellStyle name="40% - Accent1" xfId="10" builtinId="31"/>
    <cellStyle name="40% - Accent2" xfId="12" builtinId="35"/>
    <cellStyle name="40% - Accent3" xfId="15" builtinId="39"/>
    <cellStyle name="40% - Accent4" xfId="17" builtinId="43"/>
    <cellStyle name="60% - Accent2" xfId="13" builtinId="36"/>
    <cellStyle name="60% - Accent3" xfId="16" builtinId="40"/>
    <cellStyle name="60% - Accent4" xfId="4" builtinId="44"/>
    <cellStyle name="60% - Accent6" xfId="7" builtinId="52"/>
    <cellStyle name="Accent2" xfId="2" builtinId="33"/>
    <cellStyle name="Accent3" xfId="14" builtinId="37"/>
    <cellStyle name="Accent4" xfId="3" builtinId="41"/>
    <cellStyle name="Accent5" xfId="5" builtinId="45"/>
    <cellStyle name="Accent6" xfId="6" builtinId="49"/>
    <cellStyle name="Bad" xfId="9" builtinId="27"/>
    <cellStyle name="Good" xfId="8" builtinId="26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Evolutia cheltuielilor,</a:t>
            </a:r>
            <a:r>
              <a:rPr lang="en-US" baseline="0"/>
              <a:t> veniturilor si a profitului brut</a:t>
            </a:r>
            <a:endParaRPr lang="ro-RO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Profit!$B$27</c:f>
              <c:strCache>
                <c:ptCount val="1"/>
                <c:pt idx="0">
                  <c:v>Total Cheltuieli:</c:v>
                </c:pt>
              </c:strCache>
            </c:strRef>
          </c:tx>
          <c:invertIfNegative val="0"/>
          <c:cat>
            <c:strRef>
              <c:f>Profit!$C$26:$H$26</c:f>
              <c:strCache>
                <c:ptCount val="6"/>
                <c:pt idx="0">
                  <c:v>Septembrie 2019</c:v>
                </c:pt>
                <c:pt idx="1">
                  <c:v>Octombrie 2019</c:v>
                </c:pt>
                <c:pt idx="2">
                  <c:v>Noiembrie 2019</c:v>
                </c:pt>
                <c:pt idx="3">
                  <c:v>Decembrie 2019</c:v>
                </c:pt>
                <c:pt idx="4">
                  <c:v>Ianuarie 2020</c:v>
                </c:pt>
                <c:pt idx="5">
                  <c:v>Februarie 2020</c:v>
                </c:pt>
              </c:strCache>
            </c:strRef>
          </c:cat>
          <c:val>
            <c:numRef>
              <c:f>Profit!$C$27:$H$27</c:f>
              <c:numCache>
                <c:formatCode>General</c:formatCode>
                <c:ptCount val="6"/>
                <c:pt idx="0">
                  <c:v>3549200</c:v>
                </c:pt>
                <c:pt idx="1">
                  <c:v>4347700</c:v>
                </c:pt>
                <c:pt idx="2">
                  <c:v>2914400</c:v>
                </c:pt>
                <c:pt idx="3">
                  <c:v>3693000</c:v>
                </c:pt>
                <c:pt idx="4">
                  <c:v>4025600</c:v>
                </c:pt>
                <c:pt idx="5">
                  <c:v>3429500</c:v>
                </c:pt>
              </c:numCache>
            </c:numRef>
          </c:val>
        </c:ser>
        <c:ser>
          <c:idx val="1"/>
          <c:order val="1"/>
          <c:tx>
            <c:strRef>
              <c:f>Profit!$B$28</c:f>
              <c:strCache>
                <c:ptCount val="1"/>
                <c:pt idx="0">
                  <c:v>Total Venituri</c:v>
                </c:pt>
              </c:strCache>
            </c:strRef>
          </c:tx>
          <c:invertIfNegative val="0"/>
          <c:cat>
            <c:strRef>
              <c:f>Profit!$C$26:$H$26</c:f>
              <c:strCache>
                <c:ptCount val="6"/>
                <c:pt idx="0">
                  <c:v>Septembrie 2019</c:v>
                </c:pt>
                <c:pt idx="1">
                  <c:v>Octombrie 2019</c:v>
                </c:pt>
                <c:pt idx="2">
                  <c:v>Noiembrie 2019</c:v>
                </c:pt>
                <c:pt idx="3">
                  <c:v>Decembrie 2019</c:v>
                </c:pt>
                <c:pt idx="4">
                  <c:v>Ianuarie 2020</c:v>
                </c:pt>
                <c:pt idx="5">
                  <c:v>Februarie 2020</c:v>
                </c:pt>
              </c:strCache>
            </c:strRef>
          </c:cat>
          <c:val>
            <c:numRef>
              <c:f>Profit!$C$28:$H$28</c:f>
              <c:numCache>
                <c:formatCode>General</c:formatCode>
                <c:ptCount val="6"/>
                <c:pt idx="0">
                  <c:v>4000000</c:v>
                </c:pt>
                <c:pt idx="1">
                  <c:v>7000000</c:v>
                </c:pt>
                <c:pt idx="2">
                  <c:v>6100000</c:v>
                </c:pt>
                <c:pt idx="3">
                  <c:v>8300000</c:v>
                </c:pt>
                <c:pt idx="4">
                  <c:v>8700000</c:v>
                </c:pt>
                <c:pt idx="5">
                  <c:v>4400000</c:v>
                </c:pt>
              </c:numCache>
            </c:numRef>
          </c:val>
        </c:ser>
        <c:ser>
          <c:idx val="2"/>
          <c:order val="2"/>
          <c:tx>
            <c:strRef>
              <c:f>Profit!$B$29</c:f>
              <c:strCache>
                <c:ptCount val="1"/>
                <c:pt idx="0">
                  <c:v>Profit Brut </c:v>
                </c:pt>
              </c:strCache>
            </c:strRef>
          </c:tx>
          <c:invertIfNegative val="0"/>
          <c:cat>
            <c:strRef>
              <c:f>Profit!$C$26:$H$26</c:f>
              <c:strCache>
                <c:ptCount val="6"/>
                <c:pt idx="0">
                  <c:v>Septembrie 2019</c:v>
                </c:pt>
                <c:pt idx="1">
                  <c:v>Octombrie 2019</c:v>
                </c:pt>
                <c:pt idx="2">
                  <c:v>Noiembrie 2019</c:v>
                </c:pt>
                <c:pt idx="3">
                  <c:v>Decembrie 2019</c:v>
                </c:pt>
                <c:pt idx="4">
                  <c:v>Ianuarie 2020</c:v>
                </c:pt>
                <c:pt idx="5">
                  <c:v>Februarie 2020</c:v>
                </c:pt>
              </c:strCache>
            </c:strRef>
          </c:cat>
          <c:val>
            <c:numRef>
              <c:f>Profit!$C$29:$H$29</c:f>
              <c:numCache>
                <c:formatCode>General</c:formatCode>
                <c:ptCount val="6"/>
                <c:pt idx="0">
                  <c:v>450800</c:v>
                </c:pt>
                <c:pt idx="1">
                  <c:v>2652300</c:v>
                </c:pt>
                <c:pt idx="2">
                  <c:v>3185600</c:v>
                </c:pt>
                <c:pt idx="3">
                  <c:v>4607000</c:v>
                </c:pt>
                <c:pt idx="4">
                  <c:v>4674400</c:v>
                </c:pt>
                <c:pt idx="5">
                  <c:v>970500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87381376"/>
        <c:axId val="287382912"/>
      </c:barChart>
      <c:catAx>
        <c:axId val="287381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87382912"/>
        <c:crosses val="autoZero"/>
        <c:auto val="1"/>
        <c:lblAlgn val="ctr"/>
        <c:lblOffset val="100"/>
        <c:noMultiLvlLbl val="0"/>
      </c:catAx>
      <c:valAx>
        <c:axId val="287382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873813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Structura cheltuielilor salariale in luna ianuarie</a:t>
            </a:r>
            <a:r>
              <a:rPr lang="en-US" baseline="0"/>
              <a:t> 2020</a:t>
            </a:r>
            <a:endParaRPr lang="ro-RO"/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6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Profit!$J$27:$J$32</c:f>
              <c:strCache>
                <c:ptCount val="6"/>
                <c:pt idx="0">
                  <c:v>Fond salarii actori</c:v>
                </c:pt>
                <c:pt idx="1">
                  <c:v>Fond salarii regizori</c:v>
                </c:pt>
                <c:pt idx="2">
                  <c:v>Fond salarii prezentatori </c:v>
                </c:pt>
                <c:pt idx="3">
                  <c:v>Fond salarii montaj si editare</c:v>
                </c:pt>
                <c:pt idx="4">
                  <c:v>Prime </c:v>
                </c:pt>
                <c:pt idx="5">
                  <c:v>Taxe si Impozite</c:v>
                </c:pt>
              </c:strCache>
            </c:strRef>
          </c:cat>
          <c:val>
            <c:numRef>
              <c:f>Profit!$K$27:$K$32</c:f>
              <c:numCache>
                <c:formatCode>"$"#,##0.00</c:formatCode>
                <c:ptCount val="6"/>
                <c:pt idx="0">
                  <c:v>710000</c:v>
                </c:pt>
                <c:pt idx="1">
                  <c:v>470000</c:v>
                </c:pt>
                <c:pt idx="2">
                  <c:v>470000</c:v>
                </c:pt>
                <c:pt idx="3">
                  <c:v>670000</c:v>
                </c:pt>
                <c:pt idx="4">
                  <c:v>370000</c:v>
                </c:pt>
                <c:pt idx="5">
                  <c:v>765599.99999999988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45272</xdr:colOff>
      <xdr:row>30</xdr:row>
      <xdr:rowOff>46392</xdr:rowOff>
    </xdr:from>
    <xdr:to>
      <xdr:col>6</xdr:col>
      <xdr:colOff>647252</xdr:colOff>
      <xdr:row>45</xdr:row>
      <xdr:rowOff>88301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17091</xdr:colOff>
      <xdr:row>32</xdr:row>
      <xdr:rowOff>107686</xdr:rowOff>
    </xdr:from>
    <xdr:to>
      <xdr:col>14</xdr:col>
      <xdr:colOff>587011</xdr:colOff>
      <xdr:row>53</xdr:row>
      <xdr:rowOff>58155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902.866151388887" createdVersion="4" refreshedVersion="4" minRefreshableVersion="3" recordCount="30">
  <cacheSource type="worksheet">
    <worksheetSource ref="A4:L34" sheet="Achizitii Recuzita "/>
  </cacheSource>
  <cacheFields count="12">
    <cacheField name="Nr. Crt. " numFmtId="0">
      <sharedItems containsSemiMixedTypes="0" containsString="0" containsNumber="1" containsInteger="1" minValue="1" maxValue="30"/>
    </cacheField>
    <cacheField name="Data Achizitie" numFmtId="165">
      <sharedItems containsSemiMixedTypes="0" containsNonDate="0" containsDate="1" containsString="0" minDate="2018-02-09T00:00:00" maxDate="2020-11-04T00:00:00" count="26">
        <d v="2020-03-02T00:00:00"/>
        <d v="2018-02-09T00:00:00"/>
        <d v="2019-12-12T00:00:00"/>
        <d v="2019-12-13T00:00:00"/>
        <d v="2019-05-05T00:00:00"/>
        <d v="2019-01-19T00:00:00"/>
        <d v="2020-01-27T00:00:00"/>
        <d v="2019-10-07T00:00:00"/>
        <d v="2020-02-07T00:00:00"/>
        <d v="2019-02-21T00:00:00"/>
        <d v="2019-02-02T00:00:00"/>
        <d v="2019-04-23T00:00:00"/>
        <d v="2019-04-12T00:00:00"/>
        <d v="2019-12-21T00:00:00"/>
        <d v="2020-05-01T00:00:00"/>
        <d v="2019-01-05T00:00:00"/>
        <d v="2019-03-19T00:00:00"/>
        <d v="2019-11-13T00:00:00"/>
        <d v="2020-03-08T00:00:00"/>
        <d v="2018-05-19T00:00:00"/>
        <d v="2019-06-29T00:00:00"/>
        <d v="2020-02-24T00:00:00"/>
        <d v="2020-01-21T00:00:00"/>
        <d v="2020-11-03T00:00:00"/>
        <d v="2019-03-02T00:00:00"/>
        <d v="2019-05-03T00:00:00"/>
      </sharedItems>
    </cacheField>
    <cacheField name="Show" numFmtId="0">
      <sharedItems count="30">
        <s v="Pororo the Little Penguin"/>
        <s v="Rainbow Ruby"/>
        <s v="I can see your voice "/>
        <s v="Runnnig Man"/>
        <s v="The Masked Singer"/>
        <s v="The Return of Superman"/>
        <s v="Documentary of AKB48: The Time Has Come"/>
        <s v="Documentary of Namie Amuro "/>
        <s v="Stratosphere: The Documentary"/>
        <s v="Gangnam Beauty"/>
        <s v="Burning "/>
        <s v="Playing with fire"/>
        <s v="The King and the Clown"/>
        <s v="A frozen flower"/>
        <s v="Love Rain"/>
        <s v="Arirang News Center"/>
        <s v="Remember:The War of the Son"/>
        <s v="I miss you"/>
        <s v="Watcher "/>
        <s v="Choco Bank"/>
        <s v="Fashion King"/>
        <s v="Defendant"/>
        <s v="Arthdal Chronicles Part 1: The Children of Prophecy"/>
        <s v="49 Days"/>
        <s v="Chosun Police"/>
        <s v="Hwarang"/>
        <s v="I'm not a robot"/>
        <s v="Miss Hamurabi"/>
        <s v="Nice Witch "/>
        <s v="Market"/>
      </sharedItems>
    </cacheField>
    <cacheField name="Categorie" numFmtId="0">
      <sharedItems/>
    </cacheField>
    <cacheField name="Raiting" numFmtId="0">
      <sharedItems containsMixedTypes="1" containsNumber="1" minValue="0.112" maxValue="0.112"/>
    </cacheField>
    <cacheField name="Furnizor" numFmtId="0">
      <sharedItems count="4">
        <s v="Mike Tristano &amp;Co."/>
        <s v="ProductionHUB"/>
        <s v="ISS Props"/>
        <s v="Angels Costumes"/>
      </sharedItems>
    </cacheField>
    <cacheField name="Articol " numFmtId="0">
      <sharedItems/>
    </cacheField>
    <cacheField name="Pret Unitar" numFmtId="164">
      <sharedItems containsSemiMixedTypes="0" containsString="0" containsNumber="1" containsInteger="1" minValue="10" maxValue="17000"/>
    </cacheField>
    <cacheField name="Nr. Buc." numFmtId="0">
      <sharedItems containsSemiMixedTypes="0" containsString="0" containsNumber="1" containsInteger="1" minValue="1" maxValue="250"/>
    </cacheField>
    <cacheField name="Pret Total" numFmtId="164">
      <sharedItems containsSemiMixedTypes="0" containsString="0" containsNumber="1" containsInteger="1" minValue="10" maxValue="34000"/>
    </cacheField>
    <cacheField name="Majorare" numFmtId="164">
      <sharedItems containsSemiMixedTypes="0" containsString="0" containsNumber="1" minValue="0" maxValue="225"/>
    </cacheField>
    <cacheField name="Pret Total 2020" numFmtId="164">
      <sharedItems containsSemiMixedTypes="0" containsString="0" containsNumber="1" minValue="10" maxValue="3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"/>
    <x v="0"/>
    <x v="0"/>
    <s v="Animatie"/>
    <s v="20.3% "/>
    <x v="0"/>
    <s v="Aparatura sonora"/>
    <n v="1500"/>
    <n v="1"/>
    <n v="1500"/>
    <n v="225"/>
    <n v="1725"/>
  </r>
  <r>
    <n v="2"/>
    <x v="1"/>
    <x v="1"/>
    <s v="Animatie"/>
    <s v="20.3% "/>
    <x v="0"/>
    <s v="Modificator voce"/>
    <n v="450"/>
    <n v="2"/>
    <n v="900"/>
    <n v="0"/>
    <n v="900"/>
  </r>
  <r>
    <n v="3"/>
    <x v="2"/>
    <x v="2"/>
    <s v="Divertisment"/>
    <s v="7.2% "/>
    <x v="0"/>
    <s v="Microfon"/>
    <n v="50"/>
    <n v="25"/>
    <n v="1250"/>
    <n v="0"/>
    <n v="1250"/>
  </r>
  <r>
    <n v="4"/>
    <x v="3"/>
    <x v="3"/>
    <s v="Divertisment"/>
    <s v="7.2% "/>
    <x v="1"/>
    <s v="Colac de salvare"/>
    <n v="10"/>
    <n v="50"/>
    <n v="500"/>
    <n v="0"/>
    <n v="500"/>
  </r>
  <r>
    <n v="5"/>
    <x v="2"/>
    <x v="4"/>
    <s v="Divertisment"/>
    <s v="7.2% "/>
    <x v="2"/>
    <s v="Diverse Masti"/>
    <n v="500"/>
    <n v="15"/>
    <n v="7500"/>
    <n v="0"/>
    <n v="7500"/>
  </r>
  <r>
    <n v="6"/>
    <x v="4"/>
    <x v="5"/>
    <s v="Divertisment"/>
    <s v="7.2% "/>
    <x v="0"/>
    <s v="Mini microfoane"/>
    <n v="350"/>
    <n v="10"/>
    <n v="3500"/>
    <n v="0"/>
    <n v="3500"/>
  </r>
  <r>
    <n v="7"/>
    <x v="5"/>
    <x v="6"/>
    <s v="Documentary"/>
    <s v="6.6% "/>
    <x v="2"/>
    <s v="Masina"/>
    <n v="17000"/>
    <n v="2"/>
    <n v="34000"/>
    <n v="0"/>
    <n v="34000"/>
  </r>
  <r>
    <n v="8"/>
    <x v="6"/>
    <x v="7"/>
    <s v="Documentary"/>
    <s v="6.6% "/>
    <x v="2"/>
    <s v="Obiective aparate foto"/>
    <n v="250"/>
    <n v="6"/>
    <n v="1500"/>
    <n v="37.5"/>
    <n v="1537.5"/>
  </r>
  <r>
    <n v="9"/>
    <x v="7"/>
    <x v="8"/>
    <s v="Documentary"/>
    <s v="6.6% "/>
    <x v="2"/>
    <s v="Bec"/>
    <n v="10"/>
    <n v="1"/>
    <n v="10"/>
    <n v="0"/>
    <n v="10"/>
  </r>
  <r>
    <n v="10"/>
    <x v="7"/>
    <x v="9"/>
    <s v="Documentary"/>
    <s v="6.6% "/>
    <x v="2"/>
    <s v="Extensii par"/>
    <n v="25"/>
    <n v="100"/>
    <n v="2500"/>
    <n v="0"/>
    <n v="2500"/>
  </r>
  <r>
    <n v="11"/>
    <x v="8"/>
    <x v="10"/>
    <s v="Film"/>
    <s v="20.1% "/>
    <x v="1"/>
    <s v="Scaune"/>
    <n v="20"/>
    <n v="20"/>
    <n v="400"/>
    <n v="3"/>
    <n v="403"/>
  </r>
  <r>
    <n v="12"/>
    <x v="9"/>
    <x v="11"/>
    <s v="Film"/>
    <s v="20.1% "/>
    <x v="3"/>
    <s v="Extinctor"/>
    <n v="60"/>
    <n v="10"/>
    <n v="600"/>
    <n v="0"/>
    <n v="600"/>
  </r>
  <r>
    <n v="13"/>
    <x v="10"/>
    <x v="12"/>
    <s v="Film"/>
    <s v="20.1% "/>
    <x v="3"/>
    <s v="Tobe traditionale coreene"/>
    <n v="700"/>
    <n v="40"/>
    <n v="28000"/>
    <n v="0"/>
    <n v="28000"/>
  </r>
  <r>
    <n v="14"/>
    <x v="11"/>
    <x v="13"/>
    <s v="Film"/>
    <s v="20.1% "/>
    <x v="1"/>
    <s v="Constume traditionale coreene ministrii"/>
    <n v="150"/>
    <n v="25"/>
    <n v="3750"/>
    <n v="0"/>
    <n v="3750"/>
  </r>
  <r>
    <n v="15"/>
    <x v="12"/>
    <x v="14"/>
    <s v="Film"/>
    <s v="20.1% "/>
    <x v="0"/>
    <s v="Umbrela"/>
    <n v="15"/>
    <n v="12"/>
    <n v="180"/>
    <n v="0"/>
    <n v="180"/>
  </r>
  <r>
    <n v="16"/>
    <x v="13"/>
    <x v="15"/>
    <s v="News"/>
    <s v="22.6% "/>
    <x v="0"/>
    <s v="Cravate"/>
    <n v="50"/>
    <n v="15"/>
    <n v="750"/>
    <n v="0"/>
    <n v="750"/>
  </r>
  <r>
    <n v="17"/>
    <x v="14"/>
    <x v="16"/>
    <s v="Serial"/>
    <s v="20.3% "/>
    <x v="3"/>
    <s v="Pistol fals"/>
    <n v="500"/>
    <n v="10"/>
    <n v="5000"/>
    <n v="75"/>
    <n v="5075"/>
  </r>
  <r>
    <n v="18"/>
    <x v="15"/>
    <x v="17"/>
    <s v="Serial"/>
    <s v="20.3% "/>
    <x v="2"/>
    <s v="Rochii de bal"/>
    <n v="250"/>
    <n v="50"/>
    <n v="12500"/>
    <n v="0"/>
    <n v="12500"/>
  </r>
  <r>
    <n v="19"/>
    <x v="16"/>
    <x v="18"/>
    <s v="Serial"/>
    <s v="20.3% "/>
    <x v="0"/>
    <s v="Camera supraveghere"/>
    <n v="250"/>
    <n v="12"/>
    <n v="3000"/>
    <n v="0"/>
    <n v="3000"/>
  </r>
  <r>
    <n v="20"/>
    <x v="17"/>
    <x v="19"/>
    <s v="Serial"/>
    <s v="20.3% "/>
    <x v="1"/>
    <s v="Casa in miniatura din ciocolata"/>
    <n v="550"/>
    <n v="3"/>
    <n v="1650"/>
    <n v="0"/>
    <n v="1650"/>
  </r>
  <r>
    <n v="21"/>
    <x v="18"/>
    <x v="20"/>
    <s v="Serial"/>
    <s v="20.3% "/>
    <x v="2"/>
    <s v="Manechin"/>
    <n v="40"/>
    <n v="30"/>
    <n v="1200"/>
    <n v="6"/>
    <n v="1206"/>
  </r>
  <r>
    <n v="22"/>
    <x v="19"/>
    <x v="21"/>
    <s v="Serial"/>
    <s v="20.3% "/>
    <x v="1"/>
    <s v="Robe procurori"/>
    <n v="100"/>
    <n v="5"/>
    <n v="500"/>
    <n v="0"/>
    <n v="500"/>
  </r>
  <r>
    <n v="23"/>
    <x v="20"/>
    <x v="22"/>
    <s v="Serial"/>
    <s v="20.3% "/>
    <x v="0"/>
    <s v="Costume salbatici"/>
    <n v="120"/>
    <n v="50"/>
    <n v="6000"/>
    <n v="0"/>
    <n v="6000"/>
  </r>
  <r>
    <n v="24"/>
    <x v="21"/>
    <x v="23"/>
    <s v="Serial"/>
    <s v="20.3% "/>
    <x v="3"/>
    <s v="Produse cosmetice"/>
    <n v="800"/>
    <n v="25"/>
    <n v="20000"/>
    <n v="120"/>
    <n v="20120"/>
  </r>
  <r>
    <n v="25"/>
    <x v="4"/>
    <x v="24"/>
    <s v="Serial"/>
    <s v="20.3% "/>
    <x v="0"/>
    <s v="Cai "/>
    <n v="5000"/>
    <n v="2"/>
    <n v="10000"/>
    <n v="0"/>
    <n v="10000"/>
  </r>
  <r>
    <n v="26"/>
    <x v="22"/>
    <x v="25"/>
    <s v="Serial"/>
    <s v="20.3% "/>
    <x v="3"/>
    <s v="Costume traditionale coreene razboinici "/>
    <n v="150"/>
    <n v="50"/>
    <n v="7500"/>
    <n v="22.5"/>
    <n v="7522.5"/>
  </r>
  <r>
    <n v="27"/>
    <x v="23"/>
    <x v="26"/>
    <s v="Serial"/>
    <s v="20.3% "/>
    <x v="3"/>
    <s v="Halat alb"/>
    <n v="36"/>
    <n v="5"/>
    <n v="180"/>
    <n v="5.3999999999999995"/>
    <n v="185.4"/>
  </r>
  <r>
    <n v="28"/>
    <x v="24"/>
    <x v="27"/>
    <s v="Serial"/>
    <s v="20.3% "/>
    <x v="2"/>
    <s v="Dosare "/>
    <n v="15"/>
    <n v="250"/>
    <n v="3750"/>
    <n v="0"/>
    <n v="3750"/>
  </r>
  <r>
    <n v="29"/>
    <x v="7"/>
    <x v="28"/>
    <s v="Serial"/>
    <s v="20.3% "/>
    <x v="1"/>
    <s v="Costum Pilot"/>
    <n v="250"/>
    <n v="8"/>
    <n v="2000"/>
    <n v="0"/>
    <n v="2000"/>
  </r>
  <r>
    <n v="30"/>
    <x v="25"/>
    <x v="29"/>
    <s v="Teleshoping"/>
    <n v="0.112"/>
    <x v="3"/>
    <s v="Cercei"/>
    <n v="35"/>
    <n v="7"/>
    <n v="245"/>
    <n v="0"/>
    <n v="2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C14" firstHeaderRow="1" firstDataRow="2" firstDataCol="1" rowPageCount="1" colPageCount="1"/>
  <pivotFields count="12">
    <pivotField showAll="0"/>
    <pivotField axis="axisPage" numFmtId="165" showAll="0">
      <items count="27">
        <item x="1"/>
        <item x="19"/>
        <item x="15"/>
        <item x="5"/>
        <item x="10"/>
        <item x="9"/>
        <item x="24"/>
        <item x="16"/>
        <item x="12"/>
        <item x="11"/>
        <item x="25"/>
        <item x="4"/>
        <item x="20"/>
        <item x="7"/>
        <item x="17"/>
        <item x="2"/>
        <item x="3"/>
        <item x="13"/>
        <item x="22"/>
        <item x="6"/>
        <item x="8"/>
        <item x="21"/>
        <item x="0"/>
        <item x="18"/>
        <item x="14"/>
        <item x="23"/>
        <item t="default"/>
      </items>
    </pivotField>
    <pivotField axis="axisRow" showAll="0">
      <items count="31">
        <item x="23"/>
        <item x="13"/>
        <item x="15"/>
        <item x="22"/>
        <item x="10"/>
        <item x="19"/>
        <item x="24"/>
        <item x="21"/>
        <item x="6"/>
        <item x="7"/>
        <item x="20"/>
        <item x="9"/>
        <item x="25"/>
        <item x="2"/>
        <item x="17"/>
        <item x="26"/>
        <item x="14"/>
        <item x="29"/>
        <item x="27"/>
        <item x="28"/>
        <item x="11"/>
        <item x="0"/>
        <item x="1"/>
        <item x="16"/>
        <item x="3"/>
        <item x="8"/>
        <item x="12"/>
        <item x="4"/>
        <item x="5"/>
        <item x="18"/>
        <item t="default"/>
      </items>
    </pivotField>
    <pivotField showAll="0"/>
    <pivotField showAll="0"/>
    <pivotField axis="axisCol" showAll="0">
      <items count="5">
        <item x="3"/>
        <item h="1" x="2"/>
        <item h="1" x="0"/>
        <item h="1" x="1"/>
        <item t="default"/>
      </items>
    </pivotField>
    <pivotField showAll="0"/>
    <pivotField numFmtId="164" showAll="0"/>
    <pivotField showAll="0"/>
    <pivotField numFmtId="164" showAll="0"/>
    <pivotField numFmtId="164" showAll="0"/>
    <pivotField dataField="1" numFmtId="164" showAll="0"/>
  </pivotFields>
  <rowFields count="1">
    <field x="2"/>
  </rowFields>
  <rowItems count="8">
    <i>
      <x/>
    </i>
    <i>
      <x v="12"/>
    </i>
    <i>
      <x v="15"/>
    </i>
    <i>
      <x v="17"/>
    </i>
    <i>
      <x v="20"/>
    </i>
    <i>
      <x v="23"/>
    </i>
    <i>
      <x v="26"/>
    </i>
    <i t="grand">
      <x/>
    </i>
  </rowItems>
  <colFields count="1">
    <field x="5"/>
  </colFields>
  <colItems count="2">
    <i>
      <x/>
    </i>
    <i t="grand">
      <x/>
    </i>
  </colItems>
  <pageFields count="1">
    <pageField fld="1" hier="-1"/>
  </pageFields>
  <dataFields count="1">
    <dataField name="Sum of Pret Total 2020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6"/>
  <sheetViews>
    <sheetView tabSelected="1" topLeftCell="A16" zoomScale="85" zoomScaleNormal="85" workbookViewId="0">
      <selection activeCell="B43" sqref="B43:C43"/>
    </sheetView>
  </sheetViews>
  <sheetFormatPr defaultRowHeight="14.4" x14ac:dyDescent="0.3"/>
  <cols>
    <col min="1" max="1" width="7.77734375" style="1" bestFit="1" customWidth="1"/>
    <col min="2" max="2" width="13.21875" bestFit="1" customWidth="1"/>
    <col min="3" max="3" width="48.109375" bestFit="1" customWidth="1"/>
    <col min="4" max="4" width="13" bestFit="1" customWidth="1"/>
    <col min="5" max="5" width="7.21875" bestFit="1" customWidth="1"/>
    <col min="6" max="6" width="18.109375" customWidth="1"/>
    <col min="7" max="7" width="37.88671875" bestFit="1" customWidth="1"/>
    <col min="8" max="8" width="10.77734375" bestFit="1" customWidth="1"/>
    <col min="9" max="9" width="8" bestFit="1" customWidth="1"/>
    <col min="10" max="10" width="11.33203125" customWidth="1"/>
    <col min="11" max="11" width="10.21875" bestFit="1" customWidth="1"/>
    <col min="12" max="12" width="14.6640625" bestFit="1" customWidth="1"/>
    <col min="14" max="14" width="23" bestFit="1" customWidth="1"/>
    <col min="15" max="15" width="10.33203125" bestFit="1" customWidth="1"/>
    <col min="16" max="16" width="21.109375" bestFit="1" customWidth="1"/>
    <col min="17" max="17" width="10.21875" bestFit="1" customWidth="1"/>
  </cols>
  <sheetData>
    <row r="1" spans="1:15" ht="14.4" customHeight="1" x14ac:dyDescent="0.3">
      <c r="A1" s="124" t="s">
        <v>68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2" spans="1:15" ht="14.4" customHeigh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</row>
    <row r="3" spans="1:15" ht="14.4" customHeight="1" x14ac:dyDescent="0.3">
      <c r="A3" s="86"/>
      <c r="B3" s="86"/>
      <c r="C3" s="86"/>
      <c r="D3" s="86"/>
      <c r="E3" s="86"/>
      <c r="F3" s="86"/>
      <c r="G3" s="86"/>
      <c r="H3" s="86"/>
      <c r="I3" s="86"/>
      <c r="J3" s="86"/>
      <c r="K3" s="120"/>
      <c r="L3" s="120"/>
    </row>
    <row r="4" spans="1:15" x14ac:dyDescent="0.3">
      <c r="A4" s="2" t="s">
        <v>0</v>
      </c>
      <c r="B4" s="2" t="s">
        <v>7</v>
      </c>
      <c r="C4" s="2" t="s">
        <v>2</v>
      </c>
      <c r="D4" s="2" t="s">
        <v>3</v>
      </c>
      <c r="E4" s="2" t="s">
        <v>124</v>
      </c>
      <c r="F4" s="2" t="s">
        <v>1</v>
      </c>
      <c r="G4" s="2" t="s">
        <v>4</v>
      </c>
      <c r="H4" s="2" t="s">
        <v>5</v>
      </c>
      <c r="I4" s="2" t="s">
        <v>6</v>
      </c>
      <c r="J4" s="2" t="s">
        <v>84</v>
      </c>
      <c r="K4" s="2" t="s">
        <v>80</v>
      </c>
      <c r="L4" s="2" t="s">
        <v>166</v>
      </c>
      <c r="N4" s="9" t="s">
        <v>83</v>
      </c>
      <c r="O4" s="10">
        <f>DATE(2020,1,1)</f>
        <v>43831</v>
      </c>
    </row>
    <row r="5" spans="1:15" x14ac:dyDescent="0.3">
      <c r="A5" s="3">
        <v>1</v>
      </c>
      <c r="B5" s="6">
        <f>DATE(2020,3,2)</f>
        <v>43892</v>
      </c>
      <c r="C5" s="7" t="s">
        <v>29</v>
      </c>
      <c r="D5" s="7" t="s">
        <v>26</v>
      </c>
      <c r="E5" s="7" t="str">
        <f>VLOOKUP(D5,Raiting!$B$5:$C$12,2,0)</f>
        <v>20.3% </v>
      </c>
      <c r="F5" s="7" t="s">
        <v>47</v>
      </c>
      <c r="G5" s="7" t="s">
        <v>56</v>
      </c>
      <c r="H5" s="4">
        <v>1500</v>
      </c>
      <c r="I5" s="3">
        <v>1</v>
      </c>
      <c r="J5" s="4">
        <f t="shared" ref="J5:J34" si="0">H5*I5</f>
        <v>1500</v>
      </c>
      <c r="K5" s="4">
        <f t="shared" ref="K5:K34" si="1">IF(B5&gt;$O$4,H5*$O$5,0)</f>
        <v>225</v>
      </c>
      <c r="L5" s="107">
        <f>J5+K5</f>
        <v>1725</v>
      </c>
      <c r="N5" s="9" t="s">
        <v>82</v>
      </c>
      <c r="O5" s="9">
        <v>0.15</v>
      </c>
    </row>
    <row r="6" spans="1:15" x14ac:dyDescent="0.3">
      <c r="A6" s="3">
        <v>2</v>
      </c>
      <c r="B6" s="6">
        <f>DATE(2018,2,9)</f>
        <v>43140</v>
      </c>
      <c r="C6" s="7" t="s">
        <v>30</v>
      </c>
      <c r="D6" s="7" t="s">
        <v>26</v>
      </c>
      <c r="E6" s="7" t="str">
        <f>VLOOKUP(D6,Raiting!$B$5:$C$12,2,0)</f>
        <v>20.3% </v>
      </c>
      <c r="F6" s="7" t="s">
        <v>47</v>
      </c>
      <c r="G6" s="7" t="s">
        <v>72</v>
      </c>
      <c r="H6" s="4">
        <v>450</v>
      </c>
      <c r="I6" s="3">
        <v>2</v>
      </c>
      <c r="J6" s="4">
        <f t="shared" si="0"/>
        <v>900</v>
      </c>
      <c r="K6" s="4">
        <f t="shared" si="1"/>
        <v>0</v>
      </c>
      <c r="L6" s="107">
        <f t="shared" ref="L6:L35" si="2">J6+K6</f>
        <v>900</v>
      </c>
    </row>
    <row r="7" spans="1:15" x14ac:dyDescent="0.3">
      <c r="A7" s="3">
        <v>3</v>
      </c>
      <c r="B7" s="6">
        <f>DATE(2019,12,12)</f>
        <v>43811</v>
      </c>
      <c r="C7" s="7" t="s">
        <v>10</v>
      </c>
      <c r="D7" s="7" t="s">
        <v>12</v>
      </c>
      <c r="E7" s="7" t="str">
        <f>VLOOKUP(D7,Raiting!$B$5:$C$12,2,0)</f>
        <v>7.2% </v>
      </c>
      <c r="F7" s="7" t="s">
        <v>47</v>
      </c>
      <c r="G7" s="7" t="s">
        <v>61</v>
      </c>
      <c r="H7" s="4">
        <v>50</v>
      </c>
      <c r="I7" s="3">
        <v>25</v>
      </c>
      <c r="J7" s="4">
        <f t="shared" si="0"/>
        <v>1250</v>
      </c>
      <c r="K7" s="4">
        <f t="shared" si="1"/>
        <v>0</v>
      </c>
      <c r="L7" s="107">
        <f t="shared" si="2"/>
        <v>1250</v>
      </c>
    </row>
    <row r="8" spans="1:15" x14ac:dyDescent="0.3">
      <c r="A8" s="3">
        <v>4</v>
      </c>
      <c r="B8" s="6">
        <f>DATE(2019,12,13)</f>
        <v>43812</v>
      </c>
      <c r="C8" s="7" t="s">
        <v>11</v>
      </c>
      <c r="D8" s="7" t="s">
        <v>12</v>
      </c>
      <c r="E8" s="7" t="str">
        <f>VLOOKUP(D8,Raiting!$B$5:$C$12,2,0)</f>
        <v>7.2% </v>
      </c>
      <c r="F8" s="7" t="s">
        <v>48</v>
      </c>
      <c r="G8" s="7" t="s">
        <v>60</v>
      </c>
      <c r="H8" s="4">
        <v>10</v>
      </c>
      <c r="I8" s="3">
        <v>50</v>
      </c>
      <c r="J8" s="4">
        <f t="shared" si="0"/>
        <v>500</v>
      </c>
      <c r="K8" s="4">
        <f t="shared" si="1"/>
        <v>0</v>
      </c>
      <c r="L8" s="107">
        <f t="shared" si="2"/>
        <v>500</v>
      </c>
    </row>
    <row r="9" spans="1:15" x14ac:dyDescent="0.3">
      <c r="A9" s="3">
        <v>5</v>
      </c>
      <c r="B9" s="6">
        <f>DATE(2019,12,12)</f>
        <v>43811</v>
      </c>
      <c r="C9" s="7" t="s">
        <v>17</v>
      </c>
      <c r="D9" s="7" t="s">
        <v>12</v>
      </c>
      <c r="E9" s="7" t="str">
        <f>VLOOKUP(D9,Raiting!$B$5:$C$12,2,0)</f>
        <v>7.2% </v>
      </c>
      <c r="F9" s="7" t="s">
        <v>46</v>
      </c>
      <c r="G9" s="7" t="s">
        <v>62</v>
      </c>
      <c r="H9" s="4">
        <v>500</v>
      </c>
      <c r="I9" s="3">
        <v>15</v>
      </c>
      <c r="J9" s="4">
        <f t="shared" si="0"/>
        <v>7500</v>
      </c>
      <c r="K9" s="4">
        <f t="shared" si="1"/>
        <v>0</v>
      </c>
      <c r="L9" s="107">
        <f t="shared" si="2"/>
        <v>7500</v>
      </c>
    </row>
    <row r="10" spans="1:15" x14ac:dyDescent="0.3">
      <c r="A10" s="3">
        <v>6</v>
      </c>
      <c r="B10" s="6">
        <f>DATE(2019,5,5)</f>
        <v>43590</v>
      </c>
      <c r="C10" s="7" t="s">
        <v>20</v>
      </c>
      <c r="D10" s="7" t="s">
        <v>12</v>
      </c>
      <c r="E10" s="7" t="str">
        <f>VLOOKUP(D10,Raiting!$B$5:$C$12,2,0)</f>
        <v>7.2% </v>
      </c>
      <c r="F10" s="7" t="s">
        <v>47</v>
      </c>
      <c r="G10" s="7" t="s">
        <v>75</v>
      </c>
      <c r="H10" s="4">
        <v>350</v>
      </c>
      <c r="I10" s="3">
        <v>10</v>
      </c>
      <c r="J10" s="4">
        <f t="shared" si="0"/>
        <v>3500</v>
      </c>
      <c r="K10" s="4">
        <f t="shared" si="1"/>
        <v>0</v>
      </c>
      <c r="L10" s="107">
        <f t="shared" si="2"/>
        <v>3500</v>
      </c>
    </row>
    <row r="11" spans="1:15" x14ac:dyDescent="0.3">
      <c r="A11" s="3">
        <v>7</v>
      </c>
      <c r="B11" s="6">
        <f>DATE(2019,1,19)</f>
        <v>43484</v>
      </c>
      <c r="C11" s="7" t="s">
        <v>22</v>
      </c>
      <c r="D11" s="7" t="s">
        <v>23</v>
      </c>
      <c r="E11" s="7" t="str">
        <f>VLOOKUP(D11,Raiting!$B$5:$C$12,2,0)</f>
        <v>6.6% </v>
      </c>
      <c r="F11" s="7" t="s">
        <v>46</v>
      </c>
      <c r="G11" s="7" t="s">
        <v>77</v>
      </c>
      <c r="H11" s="4">
        <v>17000</v>
      </c>
      <c r="I11" s="3">
        <v>2</v>
      </c>
      <c r="J11" s="4">
        <f t="shared" si="0"/>
        <v>34000</v>
      </c>
      <c r="K11" s="4">
        <f t="shared" si="1"/>
        <v>0</v>
      </c>
      <c r="L11" s="107">
        <f t="shared" si="2"/>
        <v>34000</v>
      </c>
    </row>
    <row r="12" spans="1:15" x14ac:dyDescent="0.3">
      <c r="A12" s="3">
        <v>8</v>
      </c>
      <c r="B12" s="6">
        <f>DATE(2020,1,27)</f>
        <v>43857</v>
      </c>
      <c r="C12" s="7" t="s">
        <v>24</v>
      </c>
      <c r="D12" s="7" t="s">
        <v>23</v>
      </c>
      <c r="E12" s="7" t="str">
        <f>VLOOKUP(D12,Raiting!$B$5:$C$12,2,0)</f>
        <v>6.6% </v>
      </c>
      <c r="F12" s="7" t="s">
        <v>46</v>
      </c>
      <c r="G12" s="7" t="s">
        <v>55</v>
      </c>
      <c r="H12" s="4">
        <v>250</v>
      </c>
      <c r="I12" s="3">
        <v>6</v>
      </c>
      <c r="J12" s="4">
        <f t="shared" si="0"/>
        <v>1500</v>
      </c>
      <c r="K12" s="4">
        <f t="shared" si="1"/>
        <v>37.5</v>
      </c>
      <c r="L12" s="107">
        <f t="shared" si="2"/>
        <v>1537.5</v>
      </c>
    </row>
    <row r="13" spans="1:15" x14ac:dyDescent="0.3">
      <c r="A13" s="3">
        <v>9</v>
      </c>
      <c r="B13" s="6">
        <f>DATE(2019,10,7)</f>
        <v>43745</v>
      </c>
      <c r="C13" s="7" t="s">
        <v>35</v>
      </c>
      <c r="D13" s="7" t="s">
        <v>23</v>
      </c>
      <c r="E13" s="7" t="str">
        <f>VLOOKUP(D13,Raiting!$B$5:$C$12,2,0)</f>
        <v>6.6% </v>
      </c>
      <c r="F13" s="7" t="s">
        <v>46</v>
      </c>
      <c r="G13" s="7" t="s">
        <v>79</v>
      </c>
      <c r="H13" s="4">
        <v>10</v>
      </c>
      <c r="I13" s="3">
        <v>1</v>
      </c>
      <c r="J13" s="4">
        <f t="shared" si="0"/>
        <v>10</v>
      </c>
      <c r="K13" s="4">
        <f t="shared" si="1"/>
        <v>0</v>
      </c>
      <c r="L13" s="107">
        <f t="shared" si="2"/>
        <v>10</v>
      </c>
    </row>
    <row r="14" spans="1:15" x14ac:dyDescent="0.3">
      <c r="A14" s="3">
        <v>10</v>
      </c>
      <c r="B14" s="6">
        <f>DATE(2019,10,7)</f>
        <v>43745</v>
      </c>
      <c r="C14" s="7" t="s">
        <v>36</v>
      </c>
      <c r="D14" s="7" t="s">
        <v>23</v>
      </c>
      <c r="E14" s="7" t="str">
        <f>VLOOKUP(D14,Raiting!$B$5:$C$12,2,0)</f>
        <v>6.6% </v>
      </c>
      <c r="F14" s="7" t="s">
        <v>46</v>
      </c>
      <c r="G14" s="7" t="s">
        <v>59</v>
      </c>
      <c r="H14" s="4">
        <v>25</v>
      </c>
      <c r="I14" s="3">
        <v>100</v>
      </c>
      <c r="J14" s="4">
        <f t="shared" si="0"/>
        <v>2500</v>
      </c>
      <c r="K14" s="4">
        <f t="shared" si="1"/>
        <v>0</v>
      </c>
      <c r="L14" s="107">
        <f t="shared" si="2"/>
        <v>2500</v>
      </c>
    </row>
    <row r="15" spans="1:15" x14ac:dyDescent="0.3">
      <c r="A15" s="3">
        <v>11</v>
      </c>
      <c r="B15" s="6">
        <f>DATE(2020,2,7)</f>
        <v>43868</v>
      </c>
      <c r="C15" s="7" t="s">
        <v>14</v>
      </c>
      <c r="D15" s="7" t="s">
        <v>15</v>
      </c>
      <c r="E15" s="7" t="str">
        <f>VLOOKUP(D15,Raiting!$B$5:$C$12,2,0)</f>
        <v>20.1% </v>
      </c>
      <c r="F15" s="7" t="s">
        <v>48</v>
      </c>
      <c r="G15" s="7" t="s">
        <v>76</v>
      </c>
      <c r="H15" s="4">
        <v>20</v>
      </c>
      <c r="I15" s="3">
        <v>20</v>
      </c>
      <c r="J15" s="4">
        <f t="shared" si="0"/>
        <v>400</v>
      </c>
      <c r="K15" s="4">
        <f t="shared" si="1"/>
        <v>3</v>
      </c>
      <c r="L15" s="107">
        <f t="shared" si="2"/>
        <v>403</v>
      </c>
    </row>
    <row r="16" spans="1:15" x14ac:dyDescent="0.3">
      <c r="A16" s="3">
        <v>12</v>
      </c>
      <c r="B16" s="6">
        <f>DATE(2019,2,21)</f>
        <v>43517</v>
      </c>
      <c r="C16" s="7" t="s">
        <v>16</v>
      </c>
      <c r="D16" s="7" t="s">
        <v>15</v>
      </c>
      <c r="E16" s="7" t="str">
        <f>VLOOKUP(D16,Raiting!$B$5:$C$12,2,0)</f>
        <v>20.1% </v>
      </c>
      <c r="F16" s="7" t="s">
        <v>45</v>
      </c>
      <c r="G16" s="7" t="s">
        <v>69</v>
      </c>
      <c r="H16" s="4">
        <v>60</v>
      </c>
      <c r="I16" s="3">
        <v>10</v>
      </c>
      <c r="J16" s="4">
        <f t="shared" si="0"/>
        <v>600</v>
      </c>
      <c r="K16" s="4">
        <f t="shared" si="1"/>
        <v>0</v>
      </c>
      <c r="L16" s="107">
        <f t="shared" si="2"/>
        <v>600</v>
      </c>
    </row>
    <row r="17" spans="1:12" x14ac:dyDescent="0.3">
      <c r="A17" s="3">
        <v>13</v>
      </c>
      <c r="B17" s="6">
        <f>DATE(2019,2,2)</f>
        <v>43498</v>
      </c>
      <c r="C17" s="7" t="s">
        <v>27</v>
      </c>
      <c r="D17" s="7" t="s">
        <v>15</v>
      </c>
      <c r="E17" s="7" t="str">
        <f>VLOOKUP(D17,Raiting!$B$5:$C$12,2,0)</f>
        <v>20.1% </v>
      </c>
      <c r="F17" s="7" t="s">
        <v>45</v>
      </c>
      <c r="G17" s="7" t="s">
        <v>64</v>
      </c>
      <c r="H17" s="4">
        <v>700</v>
      </c>
      <c r="I17" s="3">
        <v>40</v>
      </c>
      <c r="J17" s="4">
        <f t="shared" si="0"/>
        <v>28000</v>
      </c>
      <c r="K17" s="4">
        <f t="shared" si="1"/>
        <v>0</v>
      </c>
      <c r="L17" s="107">
        <f t="shared" si="2"/>
        <v>28000</v>
      </c>
    </row>
    <row r="18" spans="1:12" x14ac:dyDescent="0.3">
      <c r="A18" s="3">
        <v>14</v>
      </c>
      <c r="B18" s="6">
        <f>DATE(2019,4,23)</f>
        <v>43578</v>
      </c>
      <c r="C18" s="7" t="s">
        <v>34</v>
      </c>
      <c r="D18" s="7" t="s">
        <v>15</v>
      </c>
      <c r="E18" s="7" t="str">
        <f>VLOOKUP(D18,Raiting!$B$5:$C$12,2,0)</f>
        <v>20.1% </v>
      </c>
      <c r="F18" s="7" t="s">
        <v>48</v>
      </c>
      <c r="G18" s="7" t="s">
        <v>57</v>
      </c>
      <c r="H18" s="4">
        <v>150</v>
      </c>
      <c r="I18" s="3">
        <v>25</v>
      </c>
      <c r="J18" s="4">
        <f t="shared" si="0"/>
        <v>3750</v>
      </c>
      <c r="K18" s="4">
        <f t="shared" si="1"/>
        <v>0</v>
      </c>
      <c r="L18" s="107">
        <f t="shared" si="2"/>
        <v>3750</v>
      </c>
    </row>
    <row r="19" spans="1:12" x14ac:dyDescent="0.3">
      <c r="A19" s="3">
        <v>15</v>
      </c>
      <c r="B19" s="6">
        <f>DATE(2019,4,12)</f>
        <v>43567</v>
      </c>
      <c r="C19" s="7" t="s">
        <v>42</v>
      </c>
      <c r="D19" s="7" t="s">
        <v>15</v>
      </c>
      <c r="E19" s="7" t="str">
        <f>VLOOKUP(D19,Raiting!$B$5:$C$12,2,0)</f>
        <v>20.1% </v>
      </c>
      <c r="F19" s="7" t="s">
        <v>47</v>
      </c>
      <c r="G19" s="7" t="s">
        <v>66</v>
      </c>
      <c r="H19" s="4">
        <v>15</v>
      </c>
      <c r="I19" s="3">
        <v>12</v>
      </c>
      <c r="J19" s="4">
        <f t="shared" si="0"/>
        <v>180</v>
      </c>
      <c r="K19" s="4">
        <f t="shared" si="1"/>
        <v>0</v>
      </c>
      <c r="L19" s="107">
        <f t="shared" si="2"/>
        <v>180</v>
      </c>
    </row>
    <row r="20" spans="1:12" x14ac:dyDescent="0.3">
      <c r="A20" s="3">
        <v>16</v>
      </c>
      <c r="B20" s="6">
        <f>DATE(2019,12,21)</f>
        <v>43820</v>
      </c>
      <c r="C20" s="7" t="s">
        <v>18</v>
      </c>
      <c r="D20" s="7" t="s">
        <v>19</v>
      </c>
      <c r="E20" s="7" t="str">
        <f>VLOOKUP(D20,Raiting!$B$5:$C$12,2,0)</f>
        <v>22.6% </v>
      </c>
      <c r="F20" s="7" t="s">
        <v>47</v>
      </c>
      <c r="G20" s="7" t="s">
        <v>53</v>
      </c>
      <c r="H20" s="4">
        <v>50</v>
      </c>
      <c r="I20" s="3">
        <v>15</v>
      </c>
      <c r="J20" s="4">
        <f t="shared" si="0"/>
        <v>750</v>
      </c>
      <c r="K20" s="4">
        <f t="shared" si="1"/>
        <v>0</v>
      </c>
      <c r="L20" s="107">
        <f t="shared" si="2"/>
        <v>750</v>
      </c>
    </row>
    <row r="21" spans="1:12" x14ac:dyDescent="0.3">
      <c r="A21" s="3">
        <v>17</v>
      </c>
      <c r="B21" s="6">
        <f>DATE(2020,5,1)</f>
        <v>43952</v>
      </c>
      <c r="C21" s="7" t="s">
        <v>8</v>
      </c>
      <c r="D21" s="7" t="s">
        <v>13</v>
      </c>
      <c r="E21" s="7" t="str">
        <f>VLOOKUP(D21,Raiting!$B$5:$C$12,2,0)</f>
        <v>20.3% </v>
      </c>
      <c r="F21" s="7" t="s">
        <v>45</v>
      </c>
      <c r="G21" s="7" t="s">
        <v>52</v>
      </c>
      <c r="H21" s="4">
        <v>500</v>
      </c>
      <c r="I21" s="3">
        <v>10</v>
      </c>
      <c r="J21" s="4">
        <f t="shared" si="0"/>
        <v>5000</v>
      </c>
      <c r="K21" s="4">
        <f t="shared" si="1"/>
        <v>75</v>
      </c>
      <c r="L21" s="107">
        <f t="shared" si="2"/>
        <v>5075</v>
      </c>
    </row>
    <row r="22" spans="1:12" x14ac:dyDescent="0.3">
      <c r="A22" s="3">
        <v>18</v>
      </c>
      <c r="B22" s="6">
        <f>DATE(2019,1,5)</f>
        <v>43470</v>
      </c>
      <c r="C22" s="7" t="s">
        <v>9</v>
      </c>
      <c r="D22" s="7" t="s">
        <v>13</v>
      </c>
      <c r="E22" s="7" t="str">
        <f>VLOOKUP(D22,Raiting!$B$5:$C$12,2,0)</f>
        <v>20.3% </v>
      </c>
      <c r="F22" s="7" t="s">
        <v>46</v>
      </c>
      <c r="G22" s="7" t="s">
        <v>49</v>
      </c>
      <c r="H22" s="4">
        <v>250</v>
      </c>
      <c r="I22" s="3">
        <v>50</v>
      </c>
      <c r="J22" s="4">
        <f t="shared" si="0"/>
        <v>12500</v>
      </c>
      <c r="K22" s="4">
        <f t="shared" si="1"/>
        <v>0</v>
      </c>
      <c r="L22" s="107">
        <f t="shared" si="2"/>
        <v>12500</v>
      </c>
    </row>
    <row r="23" spans="1:12" x14ac:dyDescent="0.3">
      <c r="A23" s="3">
        <v>19</v>
      </c>
      <c r="B23" s="6">
        <f>DATE(2019,3,19)</f>
        <v>43543</v>
      </c>
      <c r="C23" s="7" t="s">
        <v>21</v>
      </c>
      <c r="D23" s="7" t="s">
        <v>13</v>
      </c>
      <c r="E23" s="7" t="str">
        <f>VLOOKUP(D23,Raiting!$B$5:$C$12,2,0)</f>
        <v>20.3% </v>
      </c>
      <c r="F23" s="7" t="s">
        <v>47</v>
      </c>
      <c r="G23" s="7" t="s">
        <v>70</v>
      </c>
      <c r="H23" s="4">
        <v>250</v>
      </c>
      <c r="I23" s="3">
        <v>12</v>
      </c>
      <c r="J23" s="4">
        <f t="shared" si="0"/>
        <v>3000</v>
      </c>
      <c r="K23" s="4">
        <f t="shared" si="1"/>
        <v>0</v>
      </c>
      <c r="L23" s="107">
        <f t="shared" si="2"/>
        <v>3000</v>
      </c>
    </row>
    <row r="24" spans="1:12" x14ac:dyDescent="0.3">
      <c r="A24" s="3">
        <v>20</v>
      </c>
      <c r="B24" s="6">
        <f>DATE(2019,11,13)</f>
        <v>43782</v>
      </c>
      <c r="C24" s="7" t="s">
        <v>25</v>
      </c>
      <c r="D24" s="7" t="s">
        <v>13</v>
      </c>
      <c r="E24" s="7" t="str">
        <f>VLOOKUP(D24,Raiting!$B$5:$C$12,2,0)</f>
        <v>20.3% </v>
      </c>
      <c r="F24" s="7" t="s">
        <v>48</v>
      </c>
      <c r="G24" s="7" t="s">
        <v>54</v>
      </c>
      <c r="H24" s="4">
        <v>550</v>
      </c>
      <c r="I24" s="3">
        <v>3</v>
      </c>
      <c r="J24" s="4">
        <f t="shared" si="0"/>
        <v>1650</v>
      </c>
      <c r="K24" s="4">
        <f t="shared" si="1"/>
        <v>0</v>
      </c>
      <c r="L24" s="107">
        <f t="shared" si="2"/>
        <v>1650</v>
      </c>
    </row>
    <row r="25" spans="1:12" x14ac:dyDescent="0.3">
      <c r="A25" s="3">
        <v>21</v>
      </c>
      <c r="B25" s="6">
        <f>DATE(2020,3,8)</f>
        <v>43898</v>
      </c>
      <c r="C25" s="7" t="s">
        <v>28</v>
      </c>
      <c r="D25" s="7" t="s">
        <v>13</v>
      </c>
      <c r="E25" s="7" t="str">
        <f>VLOOKUP(D25,Raiting!$B$5:$C$12,2,0)</f>
        <v>20.3% </v>
      </c>
      <c r="F25" s="7" t="s">
        <v>46</v>
      </c>
      <c r="G25" s="7" t="s">
        <v>63</v>
      </c>
      <c r="H25" s="4">
        <v>40</v>
      </c>
      <c r="I25" s="3">
        <v>30</v>
      </c>
      <c r="J25" s="4">
        <f t="shared" si="0"/>
        <v>1200</v>
      </c>
      <c r="K25" s="4">
        <f t="shared" si="1"/>
        <v>6</v>
      </c>
      <c r="L25" s="107">
        <f t="shared" si="2"/>
        <v>1206</v>
      </c>
    </row>
    <row r="26" spans="1:12" x14ac:dyDescent="0.3">
      <c r="A26" s="3">
        <v>22</v>
      </c>
      <c r="B26" s="6">
        <f>DATE(2018,5,19)</f>
        <v>43239</v>
      </c>
      <c r="C26" s="7" t="s">
        <v>31</v>
      </c>
      <c r="D26" s="7" t="s">
        <v>13</v>
      </c>
      <c r="E26" s="7" t="str">
        <f>VLOOKUP(D26,Raiting!$B$5:$C$12,2,0)</f>
        <v>20.3% </v>
      </c>
      <c r="F26" s="7" t="s">
        <v>48</v>
      </c>
      <c r="G26" s="7" t="s">
        <v>58</v>
      </c>
      <c r="H26" s="4">
        <v>100</v>
      </c>
      <c r="I26" s="3">
        <v>5</v>
      </c>
      <c r="J26" s="4">
        <f t="shared" si="0"/>
        <v>500</v>
      </c>
      <c r="K26" s="4">
        <f t="shared" si="1"/>
        <v>0</v>
      </c>
      <c r="L26" s="107">
        <f t="shared" si="2"/>
        <v>500</v>
      </c>
    </row>
    <row r="27" spans="1:12" x14ac:dyDescent="0.3">
      <c r="A27" s="3">
        <v>23</v>
      </c>
      <c r="B27" s="6">
        <f>DATE(2019,6,29)</f>
        <v>43645</v>
      </c>
      <c r="C27" s="7" t="s">
        <v>32</v>
      </c>
      <c r="D27" s="7" t="s">
        <v>13</v>
      </c>
      <c r="E27" s="7" t="str">
        <f>VLOOKUP(D27,Raiting!$B$5:$C$12,2,0)</f>
        <v>20.3% </v>
      </c>
      <c r="F27" s="7" t="s">
        <v>47</v>
      </c>
      <c r="G27" s="7" t="s">
        <v>74</v>
      </c>
      <c r="H27" s="4">
        <v>120</v>
      </c>
      <c r="I27" s="3">
        <v>50</v>
      </c>
      <c r="J27" s="4">
        <f t="shared" si="0"/>
        <v>6000</v>
      </c>
      <c r="K27" s="4">
        <f t="shared" si="1"/>
        <v>0</v>
      </c>
      <c r="L27" s="107">
        <f t="shared" si="2"/>
        <v>6000</v>
      </c>
    </row>
    <row r="28" spans="1:12" x14ac:dyDescent="0.3">
      <c r="A28" s="3">
        <v>24</v>
      </c>
      <c r="B28" s="6">
        <f>DATE(2020,2,24)</f>
        <v>43885</v>
      </c>
      <c r="C28" s="7" t="s">
        <v>33</v>
      </c>
      <c r="D28" s="7" t="s">
        <v>13</v>
      </c>
      <c r="E28" s="7" t="str">
        <f>VLOOKUP(D28,Raiting!$B$5:$C$12,2,0)</f>
        <v>20.3% </v>
      </c>
      <c r="F28" s="7" t="s">
        <v>45</v>
      </c>
      <c r="G28" s="7" t="s">
        <v>73</v>
      </c>
      <c r="H28" s="4">
        <v>800</v>
      </c>
      <c r="I28" s="3">
        <v>25</v>
      </c>
      <c r="J28" s="4">
        <f t="shared" si="0"/>
        <v>20000</v>
      </c>
      <c r="K28" s="4">
        <f t="shared" si="1"/>
        <v>120</v>
      </c>
      <c r="L28" s="107">
        <f t="shared" si="2"/>
        <v>20120</v>
      </c>
    </row>
    <row r="29" spans="1:12" x14ac:dyDescent="0.3">
      <c r="A29" s="3">
        <v>25</v>
      </c>
      <c r="B29" s="6">
        <f>DATE(2019,5,5)</f>
        <v>43590</v>
      </c>
      <c r="C29" s="7" t="s">
        <v>37</v>
      </c>
      <c r="D29" s="7" t="s">
        <v>13</v>
      </c>
      <c r="E29" s="7" t="str">
        <f>VLOOKUP(D29,Raiting!$B$5:$C$12,2,0)</f>
        <v>20.3% </v>
      </c>
      <c r="F29" s="7" t="s">
        <v>47</v>
      </c>
      <c r="G29" s="7" t="s">
        <v>71</v>
      </c>
      <c r="H29" s="4">
        <v>5000</v>
      </c>
      <c r="I29" s="3">
        <v>2</v>
      </c>
      <c r="J29" s="4">
        <f t="shared" si="0"/>
        <v>10000</v>
      </c>
      <c r="K29" s="4">
        <f t="shared" si="1"/>
        <v>0</v>
      </c>
      <c r="L29" s="107">
        <f t="shared" si="2"/>
        <v>10000</v>
      </c>
    </row>
    <row r="30" spans="1:12" x14ac:dyDescent="0.3">
      <c r="A30" s="3">
        <v>26</v>
      </c>
      <c r="B30" s="6">
        <f>DATE(2020,1,21)</f>
        <v>43851</v>
      </c>
      <c r="C30" s="7" t="s">
        <v>40</v>
      </c>
      <c r="D30" s="7" t="s">
        <v>13</v>
      </c>
      <c r="E30" s="7" t="str">
        <f>VLOOKUP(D30,Raiting!$B$5:$C$12,2,0)</f>
        <v>20.3% </v>
      </c>
      <c r="F30" s="7" t="s">
        <v>45</v>
      </c>
      <c r="G30" s="7" t="s">
        <v>50</v>
      </c>
      <c r="H30" s="4">
        <v>150</v>
      </c>
      <c r="I30" s="3">
        <v>50</v>
      </c>
      <c r="J30" s="4">
        <f t="shared" si="0"/>
        <v>7500</v>
      </c>
      <c r="K30" s="4">
        <f t="shared" si="1"/>
        <v>22.5</v>
      </c>
      <c r="L30" s="107">
        <f t="shared" si="2"/>
        <v>7522.5</v>
      </c>
    </row>
    <row r="31" spans="1:12" x14ac:dyDescent="0.3">
      <c r="A31" s="3">
        <v>27</v>
      </c>
      <c r="B31" s="6">
        <f>DATE(2020,11,3)</f>
        <v>44138</v>
      </c>
      <c r="C31" s="7" t="s">
        <v>41</v>
      </c>
      <c r="D31" s="7" t="s">
        <v>13</v>
      </c>
      <c r="E31" s="7" t="str">
        <f>VLOOKUP(D31,Raiting!$B$5:$C$12,2,0)</f>
        <v>20.3% </v>
      </c>
      <c r="F31" s="7" t="s">
        <v>45</v>
      </c>
      <c r="G31" s="7" t="s">
        <v>67</v>
      </c>
      <c r="H31" s="4">
        <v>36</v>
      </c>
      <c r="I31" s="3">
        <v>5</v>
      </c>
      <c r="J31" s="4">
        <f t="shared" si="0"/>
        <v>180</v>
      </c>
      <c r="K31" s="4">
        <f t="shared" si="1"/>
        <v>5.3999999999999995</v>
      </c>
      <c r="L31" s="107">
        <f t="shared" si="2"/>
        <v>185.4</v>
      </c>
    </row>
    <row r="32" spans="1:12" x14ac:dyDescent="0.3">
      <c r="A32" s="3">
        <v>28</v>
      </c>
      <c r="B32" s="6">
        <f>DATE(2019,3,2)</f>
        <v>43526</v>
      </c>
      <c r="C32" s="7" t="s">
        <v>43</v>
      </c>
      <c r="D32" s="7" t="s">
        <v>13</v>
      </c>
      <c r="E32" s="7" t="str">
        <f>VLOOKUP(D32,Raiting!$B$5:$C$12,2,0)</f>
        <v>20.3% </v>
      </c>
      <c r="F32" s="7" t="s">
        <v>46</v>
      </c>
      <c r="G32" s="7" t="s">
        <v>51</v>
      </c>
      <c r="H32" s="4">
        <v>15</v>
      </c>
      <c r="I32" s="3">
        <v>250</v>
      </c>
      <c r="J32" s="4">
        <f t="shared" si="0"/>
        <v>3750</v>
      </c>
      <c r="K32" s="4">
        <f t="shared" si="1"/>
        <v>0</v>
      </c>
      <c r="L32" s="107">
        <f t="shared" si="2"/>
        <v>3750</v>
      </c>
    </row>
    <row r="33" spans="1:12" x14ac:dyDescent="0.3">
      <c r="A33" s="3">
        <v>29</v>
      </c>
      <c r="B33" s="6">
        <f>DATE(2019,10,7)</f>
        <v>43745</v>
      </c>
      <c r="C33" s="7" t="s">
        <v>44</v>
      </c>
      <c r="D33" s="7" t="s">
        <v>13</v>
      </c>
      <c r="E33" s="7" t="str">
        <f>VLOOKUP(D33,Raiting!$B$5:$C$12,2,0)</f>
        <v>20.3% </v>
      </c>
      <c r="F33" s="7" t="s">
        <v>48</v>
      </c>
      <c r="G33" s="7" t="s">
        <v>65</v>
      </c>
      <c r="H33" s="4">
        <v>250</v>
      </c>
      <c r="I33" s="3">
        <v>8</v>
      </c>
      <c r="J33" s="4">
        <f t="shared" si="0"/>
        <v>2000</v>
      </c>
      <c r="K33" s="4">
        <f t="shared" si="1"/>
        <v>0</v>
      </c>
      <c r="L33" s="107">
        <f t="shared" si="2"/>
        <v>2000</v>
      </c>
    </row>
    <row r="34" spans="1:12" x14ac:dyDescent="0.3">
      <c r="A34" s="3">
        <v>30</v>
      </c>
      <c r="B34" s="6">
        <f>DATE(2019,5,3)</f>
        <v>43588</v>
      </c>
      <c r="C34" s="7" t="s">
        <v>38</v>
      </c>
      <c r="D34" s="7" t="s">
        <v>39</v>
      </c>
      <c r="E34" s="106">
        <f>VLOOKUP(D34,Raiting!$B$5:$C$12,2,0)</f>
        <v>0.112</v>
      </c>
      <c r="F34" s="7" t="s">
        <v>45</v>
      </c>
      <c r="G34" s="7" t="s">
        <v>78</v>
      </c>
      <c r="H34" s="4">
        <v>35</v>
      </c>
      <c r="I34" s="3">
        <v>7</v>
      </c>
      <c r="J34" s="4">
        <f t="shared" si="0"/>
        <v>245</v>
      </c>
      <c r="K34" s="4">
        <f t="shared" si="1"/>
        <v>0</v>
      </c>
      <c r="L34" s="107">
        <f t="shared" si="2"/>
        <v>245</v>
      </c>
    </row>
    <row r="35" spans="1:12" x14ac:dyDescent="0.3">
      <c r="A35" s="5" t="s">
        <v>81</v>
      </c>
      <c r="H35" s="8">
        <f>SUM(H5:H34)</f>
        <v>29236</v>
      </c>
      <c r="I35" s="2">
        <f>SUM(I5:I34)</f>
        <v>841</v>
      </c>
      <c r="J35" s="8">
        <f>SUM(J5:J34)</f>
        <v>160365</v>
      </c>
      <c r="K35" s="8">
        <f>SUM(K5:K34)</f>
        <v>494.4</v>
      </c>
      <c r="L35" s="108">
        <f t="shared" si="2"/>
        <v>160859.4</v>
      </c>
    </row>
    <row r="36" spans="1:12" x14ac:dyDescent="0.3">
      <c r="J36" s="122">
        <f>SUM(J35,K35)</f>
        <v>160859.4</v>
      </c>
      <c r="K36" s="123"/>
    </row>
  </sheetData>
  <sortState ref="A3:L42">
    <sortCondition ref="D4:D33"/>
  </sortState>
  <mergeCells count="2">
    <mergeCell ref="J36:K36"/>
    <mergeCell ref="A1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43"/>
  <sheetViews>
    <sheetView zoomScale="85" zoomScaleNormal="85" workbookViewId="0">
      <selection sqref="A1:L2"/>
    </sheetView>
  </sheetViews>
  <sheetFormatPr defaultRowHeight="14.4" outlineLevelRow="2" x14ac:dyDescent="0.3"/>
  <cols>
    <col min="1" max="1" width="7.77734375" style="1" bestFit="1" customWidth="1"/>
    <col min="2" max="2" width="13.21875" bestFit="1" customWidth="1"/>
    <col min="3" max="3" width="48.109375" bestFit="1" customWidth="1"/>
    <col min="4" max="4" width="13" bestFit="1" customWidth="1"/>
    <col min="5" max="5" width="7.21875" bestFit="1" customWidth="1"/>
    <col min="6" max="6" width="18.109375" customWidth="1"/>
    <col min="7" max="7" width="37.88671875" bestFit="1" customWidth="1"/>
    <col min="8" max="8" width="10.77734375" bestFit="1" customWidth="1"/>
    <col min="9" max="9" width="8" bestFit="1" customWidth="1"/>
    <col min="10" max="10" width="11.33203125" customWidth="1"/>
    <col min="11" max="11" width="10.21875" bestFit="1" customWidth="1"/>
    <col min="12" max="12" width="14.6640625" bestFit="1" customWidth="1"/>
    <col min="14" max="14" width="23" bestFit="1" customWidth="1"/>
    <col min="15" max="15" width="10.33203125" bestFit="1" customWidth="1"/>
    <col min="16" max="16" width="21.109375" bestFit="1" customWidth="1"/>
    <col min="17" max="17" width="10.21875" bestFit="1" customWidth="1"/>
  </cols>
  <sheetData>
    <row r="1" spans="1:15" ht="14.4" customHeight="1" x14ac:dyDescent="0.3">
      <c r="A1" s="124" t="s">
        <v>68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2" spans="1:15" ht="14.4" customHeigh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</row>
    <row r="3" spans="1:15" x14ac:dyDescent="0.3">
      <c r="A3" s="2" t="s">
        <v>0</v>
      </c>
      <c r="B3" s="2" t="s">
        <v>7</v>
      </c>
      <c r="C3" s="2" t="s">
        <v>2</v>
      </c>
      <c r="D3" s="2" t="s">
        <v>3</v>
      </c>
      <c r="E3" s="2" t="s">
        <v>124</v>
      </c>
      <c r="F3" s="2" t="s">
        <v>1</v>
      </c>
      <c r="G3" s="2" t="s">
        <v>4</v>
      </c>
      <c r="H3" s="2" t="s">
        <v>5</v>
      </c>
      <c r="I3" s="2" t="s">
        <v>6</v>
      </c>
      <c r="J3" s="2" t="s">
        <v>84</v>
      </c>
      <c r="K3" s="2" t="s">
        <v>80</v>
      </c>
      <c r="L3" s="2" t="s">
        <v>166</v>
      </c>
      <c r="N3" s="9" t="s">
        <v>83</v>
      </c>
      <c r="O3" s="10">
        <f>DATE(2020,1,1)</f>
        <v>43831</v>
      </c>
    </row>
    <row r="4" spans="1:15" outlineLevel="2" x14ac:dyDescent="0.3">
      <c r="A4" s="3">
        <v>1</v>
      </c>
      <c r="B4" s="6">
        <f>DATE(2020,3,2)</f>
        <v>43892</v>
      </c>
      <c r="C4" s="7" t="s">
        <v>29</v>
      </c>
      <c r="D4" s="7" t="s">
        <v>26</v>
      </c>
      <c r="E4" s="7" t="str">
        <f>VLOOKUP(D4,Raiting!$B$5:$C$12,2,0)</f>
        <v>20.3% </v>
      </c>
      <c r="F4" s="7" t="s">
        <v>47</v>
      </c>
      <c r="G4" s="7" t="s">
        <v>56</v>
      </c>
      <c r="H4" s="4">
        <v>1500</v>
      </c>
      <c r="I4" s="3">
        <v>1</v>
      </c>
      <c r="J4" s="4">
        <f>H4*I4</f>
        <v>1500</v>
      </c>
      <c r="K4" s="4">
        <f>IF(B4&gt;$O$3,H4*$O$4,0)</f>
        <v>225</v>
      </c>
      <c r="L4" s="107">
        <f>J4+K4</f>
        <v>1725</v>
      </c>
      <c r="N4" s="9" t="s">
        <v>82</v>
      </c>
      <c r="O4" s="9">
        <v>0.15</v>
      </c>
    </row>
    <row r="5" spans="1:15" outlineLevel="2" x14ac:dyDescent="0.3">
      <c r="A5" s="3">
        <v>2</v>
      </c>
      <c r="B5" s="6">
        <f>DATE(2018,2,9)</f>
        <v>43140</v>
      </c>
      <c r="C5" s="7" t="s">
        <v>30</v>
      </c>
      <c r="D5" s="7" t="s">
        <v>26</v>
      </c>
      <c r="E5" s="7" t="str">
        <f>VLOOKUP(D5,Raiting!$B$5:$C$12,2,0)</f>
        <v>20.3% </v>
      </c>
      <c r="F5" s="7" t="s">
        <v>47</v>
      </c>
      <c r="G5" s="7" t="s">
        <v>72</v>
      </c>
      <c r="H5" s="4">
        <v>450</v>
      </c>
      <c r="I5" s="3">
        <v>2</v>
      </c>
      <c r="J5" s="4">
        <f>H5*I5</f>
        <v>900</v>
      </c>
      <c r="K5" s="4">
        <f>IF(B5&gt;$O$3,H5*$O$4,0)</f>
        <v>0</v>
      </c>
      <c r="L5" s="107">
        <f t="shared" ref="L5:L42" si="0">J5+K5</f>
        <v>900</v>
      </c>
    </row>
    <row r="6" spans="1:15" outlineLevel="1" x14ac:dyDescent="0.3">
      <c r="A6" s="2"/>
      <c r="B6" s="114"/>
      <c r="C6" s="115"/>
      <c r="D6" s="115" t="s">
        <v>158</v>
      </c>
      <c r="E6" s="115"/>
      <c r="F6" s="115"/>
      <c r="G6" s="115"/>
      <c r="H6" s="8"/>
      <c r="I6" s="2"/>
      <c r="J6" s="8"/>
      <c r="K6" s="8"/>
      <c r="L6" s="108">
        <f>SUBTOTAL(9,L4:L5)</f>
        <v>2625</v>
      </c>
    </row>
    <row r="7" spans="1:15" outlineLevel="2" x14ac:dyDescent="0.3">
      <c r="A7" s="3">
        <v>3</v>
      </c>
      <c r="B7" s="6">
        <f>DATE(2019,12,12)</f>
        <v>43811</v>
      </c>
      <c r="C7" s="7" t="s">
        <v>10</v>
      </c>
      <c r="D7" s="7" t="s">
        <v>12</v>
      </c>
      <c r="E7" s="7" t="str">
        <f>VLOOKUP(D7,Raiting!$B$5:$C$12,2,0)</f>
        <v>7.2% </v>
      </c>
      <c r="F7" s="7" t="s">
        <v>47</v>
      </c>
      <c r="G7" s="7" t="s">
        <v>61</v>
      </c>
      <c r="H7" s="4">
        <v>50</v>
      </c>
      <c r="I7" s="3">
        <v>25</v>
      </c>
      <c r="J7" s="4">
        <f>H7*I7</f>
        <v>1250</v>
      </c>
      <c r="K7" s="4">
        <f>IF(B7&gt;$O$3,H7*$O$4,0)</f>
        <v>0</v>
      </c>
      <c r="L7" s="107">
        <f t="shared" si="0"/>
        <v>1250</v>
      </c>
    </row>
    <row r="8" spans="1:15" outlineLevel="2" x14ac:dyDescent="0.3">
      <c r="A8" s="3">
        <v>4</v>
      </c>
      <c r="B8" s="6">
        <f>DATE(2019,12,13)</f>
        <v>43812</v>
      </c>
      <c r="C8" s="7" t="s">
        <v>11</v>
      </c>
      <c r="D8" s="7" t="s">
        <v>12</v>
      </c>
      <c r="E8" s="7" t="str">
        <f>VLOOKUP(D8,Raiting!$B$5:$C$12,2,0)</f>
        <v>7.2% </v>
      </c>
      <c r="F8" s="7" t="s">
        <v>48</v>
      </c>
      <c r="G8" s="7" t="s">
        <v>60</v>
      </c>
      <c r="H8" s="4">
        <v>10</v>
      </c>
      <c r="I8" s="3">
        <v>50</v>
      </c>
      <c r="J8" s="4">
        <f>H8*I8</f>
        <v>500</v>
      </c>
      <c r="K8" s="4">
        <f>IF(B8&gt;$O$3,H8*$O$4,0)</f>
        <v>0</v>
      </c>
      <c r="L8" s="107">
        <f t="shared" si="0"/>
        <v>500</v>
      </c>
    </row>
    <row r="9" spans="1:15" outlineLevel="2" x14ac:dyDescent="0.3">
      <c r="A9" s="3">
        <v>5</v>
      </c>
      <c r="B9" s="6">
        <f>DATE(2019,12,12)</f>
        <v>43811</v>
      </c>
      <c r="C9" s="7" t="s">
        <v>17</v>
      </c>
      <c r="D9" s="7" t="s">
        <v>12</v>
      </c>
      <c r="E9" s="7" t="str">
        <f>VLOOKUP(D9,Raiting!$B$5:$C$12,2,0)</f>
        <v>7.2% </v>
      </c>
      <c r="F9" s="7" t="s">
        <v>46</v>
      </c>
      <c r="G9" s="7" t="s">
        <v>62</v>
      </c>
      <c r="H9" s="4">
        <v>500</v>
      </c>
      <c r="I9" s="3">
        <v>15</v>
      </c>
      <c r="J9" s="4">
        <f>H9*I9</f>
        <v>7500</v>
      </c>
      <c r="K9" s="4">
        <f>IF(B9&gt;$O$3,H9*$O$4,0)</f>
        <v>0</v>
      </c>
      <c r="L9" s="107">
        <f t="shared" si="0"/>
        <v>7500</v>
      </c>
    </row>
    <row r="10" spans="1:15" outlineLevel="2" x14ac:dyDescent="0.3">
      <c r="A10" s="3">
        <v>6</v>
      </c>
      <c r="B10" s="6">
        <f>DATE(2019,5,5)</f>
        <v>43590</v>
      </c>
      <c r="C10" s="7" t="s">
        <v>20</v>
      </c>
      <c r="D10" s="7" t="s">
        <v>12</v>
      </c>
      <c r="E10" s="7" t="str">
        <f>VLOOKUP(D10,Raiting!$B$5:$C$12,2,0)</f>
        <v>7.2% </v>
      </c>
      <c r="F10" s="7" t="s">
        <v>47</v>
      </c>
      <c r="G10" s="7" t="s">
        <v>75</v>
      </c>
      <c r="H10" s="4">
        <v>350</v>
      </c>
      <c r="I10" s="3">
        <v>10</v>
      </c>
      <c r="J10" s="4">
        <f>H10*I10</f>
        <v>3500</v>
      </c>
      <c r="K10" s="4">
        <f>IF(B10&gt;$O$3,H10*$O$4,0)</f>
        <v>0</v>
      </c>
      <c r="L10" s="107">
        <f t="shared" si="0"/>
        <v>3500</v>
      </c>
    </row>
    <row r="11" spans="1:15" outlineLevel="1" x14ac:dyDescent="0.3">
      <c r="A11" s="2"/>
      <c r="B11" s="114"/>
      <c r="C11" s="115"/>
      <c r="D11" s="115" t="s">
        <v>159</v>
      </c>
      <c r="E11" s="115"/>
      <c r="F11" s="115"/>
      <c r="G11" s="115"/>
      <c r="H11" s="8"/>
      <c r="I11" s="2"/>
      <c r="J11" s="8"/>
      <c r="K11" s="8"/>
      <c r="L11" s="108">
        <f>SUBTOTAL(9,L7:L10)</f>
        <v>12750</v>
      </c>
    </row>
    <row r="12" spans="1:15" outlineLevel="2" x14ac:dyDescent="0.3">
      <c r="A12" s="3">
        <v>7</v>
      </c>
      <c r="B12" s="6">
        <f>DATE(2019,1,19)</f>
        <v>43484</v>
      </c>
      <c r="C12" s="7" t="s">
        <v>22</v>
      </c>
      <c r="D12" s="7" t="s">
        <v>23</v>
      </c>
      <c r="E12" s="7" t="str">
        <f>VLOOKUP(D12,Raiting!$B$5:$C$12,2,0)</f>
        <v>6.6% </v>
      </c>
      <c r="F12" s="7" t="s">
        <v>46</v>
      </c>
      <c r="G12" s="7" t="s">
        <v>77</v>
      </c>
      <c r="H12" s="4">
        <v>17000</v>
      </c>
      <c r="I12" s="3">
        <v>2</v>
      </c>
      <c r="J12" s="4">
        <f>H12*I12</f>
        <v>34000</v>
      </c>
      <c r="K12" s="4">
        <f>IF(B12&gt;$O$3,H12*$O$4,0)</f>
        <v>0</v>
      </c>
      <c r="L12" s="107">
        <f t="shared" si="0"/>
        <v>34000</v>
      </c>
    </row>
    <row r="13" spans="1:15" outlineLevel="2" x14ac:dyDescent="0.3">
      <c r="A13" s="3">
        <v>8</v>
      </c>
      <c r="B13" s="6">
        <f>DATE(2020,1,27)</f>
        <v>43857</v>
      </c>
      <c r="C13" s="7" t="s">
        <v>24</v>
      </c>
      <c r="D13" s="7" t="s">
        <v>23</v>
      </c>
      <c r="E13" s="7" t="str">
        <f>VLOOKUP(D13,Raiting!$B$5:$C$12,2,0)</f>
        <v>6.6% </v>
      </c>
      <c r="F13" s="7" t="s">
        <v>46</v>
      </c>
      <c r="G13" s="7" t="s">
        <v>55</v>
      </c>
      <c r="H13" s="4">
        <v>250</v>
      </c>
      <c r="I13" s="3">
        <v>6</v>
      </c>
      <c r="J13" s="4">
        <f>H13*I13</f>
        <v>1500</v>
      </c>
      <c r="K13" s="4">
        <f>IF(B13&gt;$O$3,H13*$O$4,0)</f>
        <v>37.5</v>
      </c>
      <c r="L13" s="107">
        <f t="shared" si="0"/>
        <v>1537.5</v>
      </c>
    </row>
    <row r="14" spans="1:15" outlineLevel="2" x14ac:dyDescent="0.3">
      <c r="A14" s="3">
        <v>9</v>
      </c>
      <c r="B14" s="6">
        <f>DATE(2019,10,7)</f>
        <v>43745</v>
      </c>
      <c r="C14" s="7" t="s">
        <v>35</v>
      </c>
      <c r="D14" s="7" t="s">
        <v>23</v>
      </c>
      <c r="E14" s="7" t="str">
        <f>VLOOKUP(D14,Raiting!$B$5:$C$12,2,0)</f>
        <v>6.6% </v>
      </c>
      <c r="F14" s="7" t="s">
        <v>46</v>
      </c>
      <c r="G14" s="7" t="s">
        <v>79</v>
      </c>
      <c r="H14" s="4">
        <v>10</v>
      </c>
      <c r="I14" s="3">
        <v>1</v>
      </c>
      <c r="J14" s="4">
        <f>H14*I14</f>
        <v>10</v>
      </c>
      <c r="K14" s="4">
        <f>IF(B14&gt;$O$3,H14*$O$4,0)</f>
        <v>0</v>
      </c>
      <c r="L14" s="107">
        <f t="shared" si="0"/>
        <v>10</v>
      </c>
    </row>
    <row r="15" spans="1:15" outlineLevel="2" x14ac:dyDescent="0.3">
      <c r="A15" s="3">
        <v>10</v>
      </c>
      <c r="B15" s="6">
        <f>DATE(2019,10,7)</f>
        <v>43745</v>
      </c>
      <c r="C15" s="7" t="s">
        <v>36</v>
      </c>
      <c r="D15" s="7" t="s">
        <v>23</v>
      </c>
      <c r="E15" s="7" t="str">
        <f>VLOOKUP(D15,Raiting!$B$5:$C$12,2,0)</f>
        <v>6.6% </v>
      </c>
      <c r="F15" s="7" t="s">
        <v>46</v>
      </c>
      <c r="G15" s="7" t="s">
        <v>59</v>
      </c>
      <c r="H15" s="4">
        <v>25</v>
      </c>
      <c r="I15" s="3">
        <v>100</v>
      </c>
      <c r="J15" s="4">
        <f>H15*I15</f>
        <v>2500</v>
      </c>
      <c r="K15" s="4">
        <f>IF(B15&gt;$O$3,H15*$O$4,0)</f>
        <v>0</v>
      </c>
      <c r="L15" s="107">
        <f t="shared" si="0"/>
        <v>2500</v>
      </c>
    </row>
    <row r="16" spans="1:15" outlineLevel="1" x14ac:dyDescent="0.3">
      <c r="A16" s="2"/>
      <c r="B16" s="114"/>
      <c r="C16" s="115"/>
      <c r="D16" s="115" t="s">
        <v>160</v>
      </c>
      <c r="E16" s="115"/>
      <c r="F16" s="115"/>
      <c r="G16" s="115"/>
      <c r="H16" s="8"/>
      <c r="I16" s="2"/>
      <c r="J16" s="8"/>
      <c r="K16" s="8"/>
      <c r="L16" s="108">
        <f>SUBTOTAL(9,L12:L15)</f>
        <v>38047.5</v>
      </c>
    </row>
    <row r="17" spans="1:12" outlineLevel="2" x14ac:dyDescent="0.3">
      <c r="A17" s="3">
        <v>11</v>
      </c>
      <c r="B17" s="6">
        <f>DATE(2020,2,7)</f>
        <v>43868</v>
      </c>
      <c r="C17" s="7" t="s">
        <v>14</v>
      </c>
      <c r="D17" s="7" t="s">
        <v>15</v>
      </c>
      <c r="E17" s="7" t="str">
        <f>VLOOKUP(D17,Raiting!$B$5:$C$12,2,0)</f>
        <v>20.1% </v>
      </c>
      <c r="F17" s="7" t="s">
        <v>48</v>
      </c>
      <c r="G17" s="7" t="s">
        <v>76</v>
      </c>
      <c r="H17" s="4">
        <v>20</v>
      </c>
      <c r="I17" s="3">
        <v>20</v>
      </c>
      <c r="J17" s="4">
        <f>H17*I17</f>
        <v>400</v>
      </c>
      <c r="K17" s="4">
        <f>IF(B17&gt;$O$3,H17*$O$4,0)</f>
        <v>3</v>
      </c>
      <c r="L17" s="107">
        <f t="shared" si="0"/>
        <v>403</v>
      </c>
    </row>
    <row r="18" spans="1:12" outlineLevel="2" x14ac:dyDescent="0.3">
      <c r="A18" s="3">
        <v>12</v>
      </c>
      <c r="B18" s="6">
        <f>DATE(2019,2,21)</f>
        <v>43517</v>
      </c>
      <c r="C18" s="7" t="s">
        <v>16</v>
      </c>
      <c r="D18" s="7" t="s">
        <v>15</v>
      </c>
      <c r="E18" s="7" t="str">
        <f>VLOOKUP(D18,Raiting!$B$5:$C$12,2,0)</f>
        <v>20.1% </v>
      </c>
      <c r="F18" s="7" t="s">
        <v>45</v>
      </c>
      <c r="G18" s="7" t="s">
        <v>69</v>
      </c>
      <c r="H18" s="4">
        <v>60</v>
      </c>
      <c r="I18" s="3">
        <v>10</v>
      </c>
      <c r="J18" s="4">
        <f>H18*I18</f>
        <v>600</v>
      </c>
      <c r="K18" s="4">
        <f>IF(B18&gt;$O$3,H18*$O$4,0)</f>
        <v>0</v>
      </c>
      <c r="L18" s="107">
        <f t="shared" si="0"/>
        <v>600</v>
      </c>
    </row>
    <row r="19" spans="1:12" outlineLevel="2" x14ac:dyDescent="0.3">
      <c r="A19" s="3">
        <v>13</v>
      </c>
      <c r="B19" s="6">
        <f>DATE(2019,2,2)</f>
        <v>43498</v>
      </c>
      <c r="C19" s="7" t="s">
        <v>27</v>
      </c>
      <c r="D19" s="7" t="s">
        <v>15</v>
      </c>
      <c r="E19" s="7" t="str">
        <f>VLOOKUP(D19,Raiting!$B$5:$C$12,2,0)</f>
        <v>20.1% </v>
      </c>
      <c r="F19" s="7" t="s">
        <v>45</v>
      </c>
      <c r="G19" s="7" t="s">
        <v>64</v>
      </c>
      <c r="H19" s="4">
        <v>700</v>
      </c>
      <c r="I19" s="3">
        <v>40</v>
      </c>
      <c r="J19" s="4">
        <f>H19*I19</f>
        <v>28000</v>
      </c>
      <c r="K19" s="4">
        <f>IF(B19&gt;$O$3,H19*$O$4,0)</f>
        <v>0</v>
      </c>
      <c r="L19" s="107">
        <f t="shared" si="0"/>
        <v>28000</v>
      </c>
    </row>
    <row r="20" spans="1:12" outlineLevel="2" x14ac:dyDescent="0.3">
      <c r="A20" s="3">
        <v>14</v>
      </c>
      <c r="B20" s="6">
        <f>DATE(2019,4,23)</f>
        <v>43578</v>
      </c>
      <c r="C20" s="7" t="s">
        <v>34</v>
      </c>
      <c r="D20" s="7" t="s">
        <v>15</v>
      </c>
      <c r="E20" s="7" t="str">
        <f>VLOOKUP(D20,Raiting!$B$5:$C$12,2,0)</f>
        <v>20.1% </v>
      </c>
      <c r="F20" s="7" t="s">
        <v>48</v>
      </c>
      <c r="G20" s="7" t="s">
        <v>57</v>
      </c>
      <c r="H20" s="4">
        <v>150</v>
      </c>
      <c r="I20" s="3">
        <v>25</v>
      </c>
      <c r="J20" s="4">
        <f>H20*I20</f>
        <v>3750</v>
      </c>
      <c r="K20" s="4">
        <f>IF(B20&gt;$O$3,H20*$O$4,0)</f>
        <v>0</v>
      </c>
      <c r="L20" s="107">
        <f t="shared" si="0"/>
        <v>3750</v>
      </c>
    </row>
    <row r="21" spans="1:12" outlineLevel="2" x14ac:dyDescent="0.3">
      <c r="A21" s="3">
        <v>15</v>
      </c>
      <c r="B21" s="6">
        <f>DATE(2019,4,12)</f>
        <v>43567</v>
      </c>
      <c r="C21" s="7" t="s">
        <v>42</v>
      </c>
      <c r="D21" s="7" t="s">
        <v>15</v>
      </c>
      <c r="E21" s="7" t="str">
        <f>VLOOKUP(D21,Raiting!$B$5:$C$12,2,0)</f>
        <v>20.1% </v>
      </c>
      <c r="F21" s="7" t="s">
        <v>47</v>
      </c>
      <c r="G21" s="7" t="s">
        <v>66</v>
      </c>
      <c r="H21" s="4">
        <v>15</v>
      </c>
      <c r="I21" s="3">
        <v>12</v>
      </c>
      <c r="J21" s="4">
        <f>H21*I21</f>
        <v>180</v>
      </c>
      <c r="K21" s="4">
        <f>IF(B21&gt;$O$3,H21*$O$4,0)</f>
        <v>0</v>
      </c>
      <c r="L21" s="107">
        <f t="shared" si="0"/>
        <v>180</v>
      </c>
    </row>
    <row r="22" spans="1:12" outlineLevel="1" x14ac:dyDescent="0.3">
      <c r="A22" s="2"/>
      <c r="B22" s="114"/>
      <c r="C22" s="115"/>
      <c r="D22" s="115" t="s">
        <v>161</v>
      </c>
      <c r="E22" s="115"/>
      <c r="F22" s="115"/>
      <c r="G22" s="115"/>
      <c r="H22" s="8"/>
      <c r="I22" s="2"/>
      <c r="J22" s="8"/>
      <c r="K22" s="8"/>
      <c r="L22" s="108">
        <f>SUBTOTAL(9,L17:L21)</f>
        <v>32933</v>
      </c>
    </row>
    <row r="23" spans="1:12" outlineLevel="2" x14ac:dyDescent="0.3">
      <c r="A23" s="3">
        <v>16</v>
      </c>
      <c r="B23" s="6">
        <f>DATE(2019,12,21)</f>
        <v>43820</v>
      </c>
      <c r="C23" s="7" t="s">
        <v>18</v>
      </c>
      <c r="D23" s="7" t="s">
        <v>19</v>
      </c>
      <c r="E23" s="7" t="str">
        <f>VLOOKUP(D23,Raiting!$B$5:$C$12,2,0)</f>
        <v>22.6% </v>
      </c>
      <c r="F23" s="7" t="s">
        <v>47</v>
      </c>
      <c r="G23" s="7" t="s">
        <v>53</v>
      </c>
      <c r="H23" s="4">
        <v>50</v>
      </c>
      <c r="I23" s="3">
        <v>15</v>
      </c>
      <c r="J23" s="4">
        <f>H23*I23</f>
        <v>750</v>
      </c>
      <c r="K23" s="4">
        <f>IF(B23&gt;$O$3,H23*$O$4,0)</f>
        <v>0</v>
      </c>
      <c r="L23" s="107">
        <f t="shared" si="0"/>
        <v>750</v>
      </c>
    </row>
    <row r="24" spans="1:12" outlineLevel="1" x14ac:dyDescent="0.3">
      <c r="A24" s="2"/>
      <c r="B24" s="114"/>
      <c r="C24" s="115"/>
      <c r="D24" s="115" t="s">
        <v>162</v>
      </c>
      <c r="E24" s="115"/>
      <c r="F24" s="115"/>
      <c r="G24" s="115"/>
      <c r="H24" s="8"/>
      <c r="I24" s="2"/>
      <c r="J24" s="8"/>
      <c r="K24" s="8"/>
      <c r="L24" s="108">
        <f>SUBTOTAL(9,L23:L23)</f>
        <v>750</v>
      </c>
    </row>
    <row r="25" spans="1:12" outlineLevel="2" x14ac:dyDescent="0.3">
      <c r="A25" s="3">
        <v>17</v>
      </c>
      <c r="B25" s="6">
        <f>DATE(2020,5,1)</f>
        <v>43952</v>
      </c>
      <c r="C25" s="7" t="s">
        <v>8</v>
      </c>
      <c r="D25" s="7" t="s">
        <v>13</v>
      </c>
      <c r="E25" s="7" t="str">
        <f>VLOOKUP(D25,Raiting!$B$5:$C$12,2,0)</f>
        <v>20.3% </v>
      </c>
      <c r="F25" s="7" t="s">
        <v>45</v>
      </c>
      <c r="G25" s="7" t="s">
        <v>52</v>
      </c>
      <c r="H25" s="4">
        <v>500</v>
      </c>
      <c r="I25" s="3">
        <v>10</v>
      </c>
      <c r="J25" s="4">
        <f t="shared" ref="J25:J37" si="1">H25*I25</f>
        <v>5000</v>
      </c>
      <c r="K25" s="4">
        <f t="shared" ref="K25:K37" si="2">IF(B25&gt;$O$3,H25*$O$4,0)</f>
        <v>75</v>
      </c>
      <c r="L25" s="107">
        <f t="shared" si="0"/>
        <v>5075</v>
      </c>
    </row>
    <row r="26" spans="1:12" outlineLevel="2" x14ac:dyDescent="0.3">
      <c r="A26" s="3">
        <v>18</v>
      </c>
      <c r="B26" s="6">
        <f>DATE(2019,1,5)</f>
        <v>43470</v>
      </c>
      <c r="C26" s="7" t="s">
        <v>9</v>
      </c>
      <c r="D26" s="7" t="s">
        <v>13</v>
      </c>
      <c r="E26" s="7" t="str">
        <f>VLOOKUP(D26,Raiting!$B$5:$C$12,2,0)</f>
        <v>20.3% </v>
      </c>
      <c r="F26" s="7" t="s">
        <v>46</v>
      </c>
      <c r="G26" s="7" t="s">
        <v>49</v>
      </c>
      <c r="H26" s="4">
        <v>250</v>
      </c>
      <c r="I26" s="3">
        <v>50</v>
      </c>
      <c r="J26" s="4">
        <f t="shared" si="1"/>
        <v>12500</v>
      </c>
      <c r="K26" s="4">
        <f t="shared" si="2"/>
        <v>0</v>
      </c>
      <c r="L26" s="107">
        <f t="shared" si="0"/>
        <v>12500</v>
      </c>
    </row>
    <row r="27" spans="1:12" outlineLevel="2" x14ac:dyDescent="0.3">
      <c r="A27" s="3">
        <v>19</v>
      </c>
      <c r="B27" s="6">
        <f>DATE(2019,3,19)</f>
        <v>43543</v>
      </c>
      <c r="C27" s="7" t="s">
        <v>21</v>
      </c>
      <c r="D27" s="7" t="s">
        <v>13</v>
      </c>
      <c r="E27" s="7" t="str">
        <f>VLOOKUP(D27,Raiting!$B$5:$C$12,2,0)</f>
        <v>20.3% </v>
      </c>
      <c r="F27" s="7" t="s">
        <v>47</v>
      </c>
      <c r="G27" s="7" t="s">
        <v>70</v>
      </c>
      <c r="H27" s="4">
        <v>250</v>
      </c>
      <c r="I27" s="3">
        <v>12</v>
      </c>
      <c r="J27" s="4">
        <f t="shared" si="1"/>
        <v>3000</v>
      </c>
      <c r="K27" s="4">
        <f t="shared" si="2"/>
        <v>0</v>
      </c>
      <c r="L27" s="107">
        <f t="shared" si="0"/>
        <v>3000</v>
      </c>
    </row>
    <row r="28" spans="1:12" outlineLevel="2" x14ac:dyDescent="0.3">
      <c r="A28" s="3">
        <v>20</v>
      </c>
      <c r="B28" s="6">
        <f>DATE(2019,11,13)</f>
        <v>43782</v>
      </c>
      <c r="C28" s="7" t="s">
        <v>25</v>
      </c>
      <c r="D28" s="7" t="s">
        <v>13</v>
      </c>
      <c r="E28" s="7" t="str">
        <f>VLOOKUP(D28,Raiting!$B$5:$C$12,2,0)</f>
        <v>20.3% </v>
      </c>
      <c r="F28" s="7" t="s">
        <v>48</v>
      </c>
      <c r="G28" s="7" t="s">
        <v>54</v>
      </c>
      <c r="H28" s="4">
        <v>550</v>
      </c>
      <c r="I28" s="3">
        <v>3</v>
      </c>
      <c r="J28" s="4">
        <f t="shared" si="1"/>
        <v>1650</v>
      </c>
      <c r="K28" s="4">
        <f t="shared" si="2"/>
        <v>0</v>
      </c>
      <c r="L28" s="107">
        <f t="shared" si="0"/>
        <v>1650</v>
      </c>
    </row>
    <row r="29" spans="1:12" outlineLevel="2" x14ac:dyDescent="0.3">
      <c r="A29" s="3">
        <v>21</v>
      </c>
      <c r="B29" s="6">
        <f>DATE(2020,3,8)</f>
        <v>43898</v>
      </c>
      <c r="C29" s="7" t="s">
        <v>28</v>
      </c>
      <c r="D29" s="7" t="s">
        <v>13</v>
      </c>
      <c r="E29" s="7" t="str">
        <f>VLOOKUP(D29,Raiting!$B$5:$C$12,2,0)</f>
        <v>20.3% </v>
      </c>
      <c r="F29" s="7" t="s">
        <v>46</v>
      </c>
      <c r="G29" s="7" t="s">
        <v>63</v>
      </c>
      <c r="H29" s="4">
        <v>40</v>
      </c>
      <c r="I29" s="3">
        <v>30</v>
      </c>
      <c r="J29" s="4">
        <f t="shared" si="1"/>
        <v>1200</v>
      </c>
      <c r="K29" s="4">
        <f t="shared" si="2"/>
        <v>6</v>
      </c>
      <c r="L29" s="107">
        <f t="shared" si="0"/>
        <v>1206</v>
      </c>
    </row>
    <row r="30" spans="1:12" outlineLevel="2" x14ac:dyDescent="0.3">
      <c r="A30" s="3">
        <v>22</v>
      </c>
      <c r="B30" s="6">
        <f>DATE(2018,5,19)</f>
        <v>43239</v>
      </c>
      <c r="C30" s="7" t="s">
        <v>31</v>
      </c>
      <c r="D30" s="7" t="s">
        <v>13</v>
      </c>
      <c r="E30" s="7" t="str">
        <f>VLOOKUP(D30,Raiting!$B$5:$C$12,2,0)</f>
        <v>20.3% </v>
      </c>
      <c r="F30" s="7" t="s">
        <v>48</v>
      </c>
      <c r="G30" s="7" t="s">
        <v>58</v>
      </c>
      <c r="H30" s="4">
        <v>100</v>
      </c>
      <c r="I30" s="3">
        <v>5</v>
      </c>
      <c r="J30" s="4">
        <f t="shared" si="1"/>
        <v>500</v>
      </c>
      <c r="K30" s="4">
        <f t="shared" si="2"/>
        <v>0</v>
      </c>
      <c r="L30" s="107">
        <f t="shared" si="0"/>
        <v>500</v>
      </c>
    </row>
    <row r="31" spans="1:12" outlineLevel="2" x14ac:dyDescent="0.3">
      <c r="A31" s="3">
        <v>23</v>
      </c>
      <c r="B31" s="6">
        <f>DATE(2019,6,29)</f>
        <v>43645</v>
      </c>
      <c r="C31" s="7" t="s">
        <v>32</v>
      </c>
      <c r="D31" s="7" t="s">
        <v>13</v>
      </c>
      <c r="E31" s="7" t="str">
        <f>VLOOKUP(D31,Raiting!$B$5:$C$12,2,0)</f>
        <v>20.3% </v>
      </c>
      <c r="F31" s="7" t="s">
        <v>47</v>
      </c>
      <c r="G31" s="7" t="s">
        <v>74</v>
      </c>
      <c r="H31" s="4">
        <v>120</v>
      </c>
      <c r="I31" s="3">
        <v>50</v>
      </c>
      <c r="J31" s="4">
        <f t="shared" si="1"/>
        <v>6000</v>
      </c>
      <c r="K31" s="4">
        <f t="shared" si="2"/>
        <v>0</v>
      </c>
      <c r="L31" s="107">
        <f t="shared" si="0"/>
        <v>6000</v>
      </c>
    </row>
    <row r="32" spans="1:12" outlineLevel="2" x14ac:dyDescent="0.3">
      <c r="A32" s="3">
        <v>24</v>
      </c>
      <c r="B32" s="6">
        <f>DATE(2020,2,24)</f>
        <v>43885</v>
      </c>
      <c r="C32" s="7" t="s">
        <v>33</v>
      </c>
      <c r="D32" s="7" t="s">
        <v>13</v>
      </c>
      <c r="E32" s="7" t="str">
        <f>VLOOKUP(D32,Raiting!$B$5:$C$12,2,0)</f>
        <v>20.3% </v>
      </c>
      <c r="F32" s="7" t="s">
        <v>45</v>
      </c>
      <c r="G32" s="7" t="s">
        <v>73</v>
      </c>
      <c r="H32" s="4">
        <v>800</v>
      </c>
      <c r="I32" s="3">
        <v>25</v>
      </c>
      <c r="J32" s="4">
        <f t="shared" si="1"/>
        <v>20000</v>
      </c>
      <c r="K32" s="4">
        <f t="shared" si="2"/>
        <v>120</v>
      </c>
      <c r="L32" s="107">
        <f t="shared" si="0"/>
        <v>20120</v>
      </c>
    </row>
    <row r="33" spans="1:12" outlineLevel="2" x14ac:dyDescent="0.3">
      <c r="A33" s="3">
        <v>25</v>
      </c>
      <c r="B33" s="6">
        <f>DATE(2019,5,5)</f>
        <v>43590</v>
      </c>
      <c r="C33" s="7" t="s">
        <v>37</v>
      </c>
      <c r="D33" s="7" t="s">
        <v>13</v>
      </c>
      <c r="E33" s="7" t="str">
        <f>VLOOKUP(D33,Raiting!$B$5:$C$12,2,0)</f>
        <v>20.3% </v>
      </c>
      <c r="F33" s="7" t="s">
        <v>47</v>
      </c>
      <c r="G33" s="7" t="s">
        <v>71</v>
      </c>
      <c r="H33" s="4">
        <v>5000</v>
      </c>
      <c r="I33" s="3">
        <v>2</v>
      </c>
      <c r="J33" s="4">
        <f t="shared" si="1"/>
        <v>10000</v>
      </c>
      <c r="K33" s="4">
        <f t="shared" si="2"/>
        <v>0</v>
      </c>
      <c r="L33" s="107">
        <f t="shared" si="0"/>
        <v>10000</v>
      </c>
    </row>
    <row r="34" spans="1:12" outlineLevel="2" x14ac:dyDescent="0.3">
      <c r="A34" s="3">
        <v>26</v>
      </c>
      <c r="B34" s="6">
        <f>DATE(2020,1,21)</f>
        <v>43851</v>
      </c>
      <c r="C34" s="7" t="s">
        <v>40</v>
      </c>
      <c r="D34" s="7" t="s">
        <v>13</v>
      </c>
      <c r="E34" s="7" t="str">
        <f>VLOOKUP(D34,Raiting!$B$5:$C$12,2,0)</f>
        <v>20.3% </v>
      </c>
      <c r="F34" s="7" t="s">
        <v>45</v>
      </c>
      <c r="G34" s="7" t="s">
        <v>50</v>
      </c>
      <c r="H34" s="4">
        <v>150</v>
      </c>
      <c r="I34" s="3">
        <v>50</v>
      </c>
      <c r="J34" s="4">
        <f t="shared" si="1"/>
        <v>7500</v>
      </c>
      <c r="K34" s="4">
        <f t="shared" si="2"/>
        <v>22.5</v>
      </c>
      <c r="L34" s="107">
        <f t="shared" si="0"/>
        <v>7522.5</v>
      </c>
    </row>
    <row r="35" spans="1:12" outlineLevel="2" x14ac:dyDescent="0.3">
      <c r="A35" s="3">
        <v>27</v>
      </c>
      <c r="B35" s="6">
        <f>DATE(2020,11,3)</f>
        <v>44138</v>
      </c>
      <c r="C35" s="7" t="s">
        <v>41</v>
      </c>
      <c r="D35" s="7" t="s">
        <v>13</v>
      </c>
      <c r="E35" s="7" t="str">
        <f>VLOOKUP(D35,Raiting!$B$5:$C$12,2,0)</f>
        <v>20.3% </v>
      </c>
      <c r="F35" s="7" t="s">
        <v>45</v>
      </c>
      <c r="G35" s="7" t="s">
        <v>67</v>
      </c>
      <c r="H35" s="4">
        <v>36</v>
      </c>
      <c r="I35" s="3">
        <v>5</v>
      </c>
      <c r="J35" s="4">
        <f t="shared" si="1"/>
        <v>180</v>
      </c>
      <c r="K35" s="4">
        <f t="shared" si="2"/>
        <v>5.3999999999999995</v>
      </c>
      <c r="L35" s="107">
        <f t="shared" si="0"/>
        <v>185.4</v>
      </c>
    </row>
    <row r="36" spans="1:12" outlineLevel="2" x14ac:dyDescent="0.3">
      <c r="A36" s="3">
        <v>28</v>
      </c>
      <c r="B36" s="6">
        <f>DATE(2019,3,2)</f>
        <v>43526</v>
      </c>
      <c r="C36" s="7" t="s">
        <v>43</v>
      </c>
      <c r="D36" s="7" t="s">
        <v>13</v>
      </c>
      <c r="E36" s="7" t="str">
        <f>VLOOKUP(D36,Raiting!$B$5:$C$12,2,0)</f>
        <v>20.3% </v>
      </c>
      <c r="F36" s="7" t="s">
        <v>46</v>
      </c>
      <c r="G36" s="7" t="s">
        <v>51</v>
      </c>
      <c r="H36" s="4">
        <v>15</v>
      </c>
      <c r="I36" s="3">
        <v>250</v>
      </c>
      <c r="J36" s="4">
        <f t="shared" si="1"/>
        <v>3750</v>
      </c>
      <c r="K36" s="4">
        <f t="shared" si="2"/>
        <v>0</v>
      </c>
      <c r="L36" s="107">
        <f t="shared" si="0"/>
        <v>3750</v>
      </c>
    </row>
    <row r="37" spans="1:12" outlineLevel="2" x14ac:dyDescent="0.3">
      <c r="A37" s="3">
        <v>29</v>
      </c>
      <c r="B37" s="6">
        <f>DATE(2019,10,7)</f>
        <v>43745</v>
      </c>
      <c r="C37" s="7" t="s">
        <v>44</v>
      </c>
      <c r="D37" s="7" t="s">
        <v>13</v>
      </c>
      <c r="E37" s="7" t="str">
        <f>VLOOKUP(D37,Raiting!$B$5:$C$12,2,0)</f>
        <v>20.3% </v>
      </c>
      <c r="F37" s="7" t="s">
        <v>48</v>
      </c>
      <c r="G37" s="7" t="s">
        <v>65</v>
      </c>
      <c r="H37" s="4">
        <v>250</v>
      </c>
      <c r="I37" s="3">
        <v>8</v>
      </c>
      <c r="J37" s="4">
        <f t="shared" si="1"/>
        <v>2000</v>
      </c>
      <c r="K37" s="4">
        <f t="shared" si="2"/>
        <v>0</v>
      </c>
      <c r="L37" s="107">
        <f t="shared" si="0"/>
        <v>2000</v>
      </c>
    </row>
    <row r="38" spans="1:12" outlineLevel="1" x14ac:dyDescent="0.3">
      <c r="A38" s="2"/>
      <c r="B38" s="114"/>
      <c r="C38" s="115"/>
      <c r="D38" s="115" t="s">
        <v>163</v>
      </c>
      <c r="E38" s="115"/>
      <c r="F38" s="115"/>
      <c r="G38" s="115"/>
      <c r="H38" s="8"/>
      <c r="I38" s="2"/>
      <c r="J38" s="8"/>
      <c r="K38" s="8"/>
      <c r="L38" s="108">
        <f>SUBTOTAL(9,L25:L37)</f>
        <v>73508.899999999994</v>
      </c>
    </row>
    <row r="39" spans="1:12" outlineLevel="2" x14ac:dyDescent="0.3">
      <c r="A39" s="3">
        <v>30</v>
      </c>
      <c r="B39" s="6">
        <f>DATE(2019,5,3)</f>
        <v>43588</v>
      </c>
      <c r="C39" s="7" t="s">
        <v>38</v>
      </c>
      <c r="D39" s="7" t="s">
        <v>39</v>
      </c>
      <c r="E39" s="106">
        <f>VLOOKUP(D39,Raiting!$B$5:$C$12,2,0)</f>
        <v>0.112</v>
      </c>
      <c r="F39" s="7" t="s">
        <v>45</v>
      </c>
      <c r="G39" s="7" t="s">
        <v>78</v>
      </c>
      <c r="H39" s="4">
        <v>35</v>
      </c>
      <c r="I39" s="3">
        <v>7</v>
      </c>
      <c r="J39" s="4">
        <f>H39*I39</f>
        <v>245</v>
      </c>
      <c r="K39" s="4">
        <f>IF(B39&gt;$O$3,H39*$O$4,0)</f>
        <v>0</v>
      </c>
      <c r="L39" s="107">
        <f t="shared" si="0"/>
        <v>245</v>
      </c>
    </row>
    <row r="40" spans="1:12" outlineLevel="1" x14ac:dyDescent="0.3">
      <c r="A40" s="2"/>
      <c r="B40" s="114"/>
      <c r="C40" s="115"/>
      <c r="D40" s="115" t="s">
        <v>164</v>
      </c>
      <c r="E40" s="116"/>
      <c r="F40" s="115"/>
      <c r="G40" s="115"/>
      <c r="H40" s="8"/>
      <c r="I40" s="2"/>
      <c r="J40" s="8"/>
      <c r="K40" s="8"/>
      <c r="L40" s="108">
        <f>SUBTOTAL(9,L39:L39)</f>
        <v>245</v>
      </c>
    </row>
    <row r="41" spans="1:12" x14ac:dyDescent="0.3">
      <c r="A41" s="3"/>
      <c r="B41" s="6"/>
      <c r="C41" s="7"/>
      <c r="D41" s="7" t="s">
        <v>165</v>
      </c>
      <c r="E41" s="106"/>
      <c r="F41" s="7"/>
      <c r="G41" s="7"/>
      <c r="H41" s="4"/>
      <c r="I41" s="3"/>
      <c r="J41" s="4"/>
      <c r="K41" s="4"/>
      <c r="L41" s="107">
        <f>SUBTOTAL(9,L4:L39)</f>
        <v>160859.4</v>
      </c>
    </row>
    <row r="42" spans="1:12" x14ac:dyDescent="0.3">
      <c r="A42" s="13" t="s">
        <v>81</v>
      </c>
      <c r="H42" s="8">
        <f>SUM(H4:H39)</f>
        <v>29236</v>
      </c>
      <c r="I42" s="2">
        <f>SUM(I4:I39)</f>
        <v>841</v>
      </c>
      <c r="J42" s="8">
        <f>SUM(J4:J39)</f>
        <v>160365</v>
      </c>
      <c r="K42" s="8">
        <f>SUM(K4:K39)</f>
        <v>494.4</v>
      </c>
      <c r="L42" s="108">
        <f t="shared" si="0"/>
        <v>160859.4</v>
      </c>
    </row>
    <row r="43" spans="1:12" x14ac:dyDescent="0.3">
      <c r="J43" s="122">
        <f>SUM(J42,K42)</f>
        <v>160859.4</v>
      </c>
      <c r="K43" s="123"/>
    </row>
  </sheetData>
  <mergeCells count="2">
    <mergeCell ref="J43:K43"/>
    <mergeCell ref="A1:L2"/>
  </mergeCells>
  <pageMargins left="0.7" right="0.7" top="0.75" bottom="0.75" header="0.3" footer="0.3"/>
  <pageSetup orientation="portrait" r:id="rId1"/>
  <rowBreaks count="7" manualBreakCount="7">
    <brk id="6" max="16383" man="1"/>
    <brk id="11" max="16383" man="1"/>
    <brk id="16" max="16383" man="1"/>
    <brk id="22" max="16383" man="1"/>
    <brk id="24" max="16383" man="1"/>
    <brk id="38" max="16383" man="1"/>
    <brk id="4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"/>
  <sheetViews>
    <sheetView workbookViewId="0">
      <selection activeCell="A2" sqref="A2"/>
    </sheetView>
  </sheetViews>
  <sheetFormatPr defaultRowHeight="14.4" x14ac:dyDescent="0.3"/>
  <cols>
    <col min="1" max="1" width="17.5546875" bestFit="1" customWidth="1"/>
    <col min="2" max="2" width="9.6640625" bestFit="1" customWidth="1"/>
    <col min="3" max="3" width="16.109375" bestFit="1" customWidth="1"/>
    <col min="4" max="4" width="13.77734375" bestFit="1" customWidth="1"/>
  </cols>
  <sheetData>
    <row r="1" spans="1:6" ht="25.8" x14ac:dyDescent="0.5">
      <c r="A1" s="127" t="s">
        <v>118</v>
      </c>
      <c r="B1" s="128"/>
      <c r="C1" s="128"/>
      <c r="D1" s="128"/>
      <c r="E1" s="128"/>
      <c r="F1" s="128"/>
    </row>
    <row r="2" spans="1:6" x14ac:dyDescent="0.3">
      <c r="A2" s="121"/>
      <c r="B2" s="11" t="s">
        <v>113</v>
      </c>
      <c r="C2" s="11" t="s">
        <v>115</v>
      </c>
      <c r="D2" s="11" t="s">
        <v>114</v>
      </c>
      <c r="E2" s="11" t="s">
        <v>115</v>
      </c>
      <c r="F2" s="11"/>
    </row>
    <row r="3" spans="1:6" x14ac:dyDescent="0.3">
      <c r="A3" s="11" t="s">
        <v>112</v>
      </c>
      <c r="B3" s="3">
        <v>35000</v>
      </c>
      <c r="C3" s="3" t="s">
        <v>110</v>
      </c>
      <c r="D3" s="3">
        <v>35000</v>
      </c>
      <c r="E3" s="3" t="s">
        <v>110</v>
      </c>
      <c r="F3" s="3"/>
    </row>
    <row r="4" spans="1:6" x14ac:dyDescent="0.3">
      <c r="A4" s="11" t="s">
        <v>106</v>
      </c>
      <c r="B4" s="3">
        <v>3</v>
      </c>
      <c r="C4" s="3" t="s">
        <v>111</v>
      </c>
      <c r="D4" s="3">
        <v>36</v>
      </c>
      <c r="E4" s="3" t="s">
        <v>117</v>
      </c>
      <c r="F4" s="3"/>
    </row>
    <row r="5" spans="1:6" x14ac:dyDescent="0.3">
      <c r="A5" s="11" t="s">
        <v>107</v>
      </c>
      <c r="B5" s="3">
        <v>4</v>
      </c>
      <c r="C5" s="3" t="s">
        <v>116</v>
      </c>
      <c r="D5" s="3">
        <v>0.4</v>
      </c>
      <c r="E5" s="3"/>
      <c r="F5" s="3"/>
    </row>
    <row r="6" spans="1:6" x14ac:dyDescent="0.3">
      <c r="A6" s="11" t="s">
        <v>108</v>
      </c>
      <c r="B6" s="3">
        <v>6000</v>
      </c>
      <c r="C6" s="3" t="s">
        <v>110</v>
      </c>
      <c r="D6" s="3">
        <v>6000</v>
      </c>
      <c r="E6" s="3" t="s">
        <v>110</v>
      </c>
      <c r="F6" s="3"/>
    </row>
    <row r="7" spans="1:6" x14ac:dyDescent="0.3">
      <c r="A7" s="12" t="s">
        <v>109</v>
      </c>
      <c r="B7" s="125">
        <f>FV(D5/12,D4,-D6,-D3,1)</f>
        <v>533528.63438032963</v>
      </c>
      <c r="C7" s="126"/>
      <c r="D7" s="126"/>
      <c r="E7" s="126"/>
      <c r="F7" s="126"/>
    </row>
  </sheetData>
  <mergeCells count="2">
    <mergeCell ref="B7:F7"/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2"/>
  <sheetViews>
    <sheetView workbookViewId="0">
      <selection activeCell="C13" sqref="C13"/>
    </sheetView>
  </sheetViews>
  <sheetFormatPr defaultRowHeight="14.4" x14ac:dyDescent="0.3"/>
  <cols>
    <col min="2" max="2" width="12.44140625" bestFit="1" customWidth="1"/>
    <col min="3" max="3" width="7" bestFit="1" customWidth="1"/>
    <col min="8" max="8" width="12.44140625" bestFit="1" customWidth="1"/>
  </cols>
  <sheetData>
    <row r="1" spans="1:9" ht="19.8" customHeight="1" x14ac:dyDescent="0.3">
      <c r="A1" s="129" t="s">
        <v>125</v>
      </c>
      <c r="B1" s="130"/>
      <c r="C1" s="130"/>
      <c r="D1" s="16"/>
      <c r="E1" s="16"/>
      <c r="F1" s="16"/>
      <c r="G1" s="16"/>
      <c r="H1" s="16"/>
      <c r="I1" s="16"/>
    </row>
    <row r="2" spans="1:9" ht="14.4" customHeight="1" x14ac:dyDescent="0.3">
      <c r="A2" s="130"/>
      <c r="B2" s="130"/>
      <c r="C2" s="130"/>
      <c r="D2" s="16"/>
      <c r="E2" s="16"/>
      <c r="F2" s="16"/>
      <c r="G2" s="16"/>
      <c r="H2" s="16"/>
      <c r="I2" s="16"/>
    </row>
    <row r="3" spans="1:9" x14ac:dyDescent="0.3">
      <c r="A3" s="130"/>
      <c r="B3" s="130"/>
      <c r="C3" s="130"/>
    </row>
    <row r="4" spans="1:9" x14ac:dyDescent="0.3">
      <c r="A4" s="130"/>
      <c r="B4" s="130"/>
      <c r="C4" s="130"/>
    </row>
    <row r="5" spans="1:9" ht="15" thickBot="1" x14ac:dyDescent="0.35">
      <c r="A5" s="2" t="s">
        <v>0</v>
      </c>
      <c r="B5" s="2" t="s">
        <v>3</v>
      </c>
      <c r="C5" s="11" t="s">
        <v>124</v>
      </c>
    </row>
    <row r="6" spans="1:9" ht="15" thickBot="1" x14ac:dyDescent="0.35">
      <c r="A6" s="3">
        <v>1</v>
      </c>
      <c r="B6" s="3" t="s">
        <v>13</v>
      </c>
      <c r="C6" s="14" t="s">
        <v>119</v>
      </c>
    </row>
    <row r="7" spans="1:9" ht="15" thickBot="1" x14ac:dyDescent="0.35">
      <c r="A7" s="3">
        <v>2</v>
      </c>
      <c r="B7" s="3" t="s">
        <v>12</v>
      </c>
      <c r="C7" s="14" t="s">
        <v>120</v>
      </c>
    </row>
    <row r="8" spans="1:9" ht="15" thickBot="1" x14ac:dyDescent="0.35">
      <c r="A8" s="3">
        <v>3</v>
      </c>
      <c r="B8" s="3" t="s">
        <v>15</v>
      </c>
      <c r="C8" s="14" t="s">
        <v>121</v>
      </c>
    </row>
    <row r="9" spans="1:9" ht="15" thickBot="1" x14ac:dyDescent="0.35">
      <c r="A9" s="3">
        <v>4</v>
      </c>
      <c r="B9" s="3" t="s">
        <v>19</v>
      </c>
      <c r="C9" s="14" t="s">
        <v>122</v>
      </c>
    </row>
    <row r="10" spans="1:9" ht="15" thickBot="1" x14ac:dyDescent="0.35">
      <c r="A10" s="3">
        <v>5</v>
      </c>
      <c r="B10" s="3" t="s">
        <v>23</v>
      </c>
      <c r="C10" s="14" t="s">
        <v>123</v>
      </c>
    </row>
    <row r="11" spans="1:9" ht="15" thickBot="1" x14ac:dyDescent="0.35">
      <c r="A11" s="3">
        <v>6</v>
      </c>
      <c r="B11" s="3" t="s">
        <v>26</v>
      </c>
      <c r="C11" s="14" t="s">
        <v>119</v>
      </c>
    </row>
    <row r="12" spans="1:9" ht="15" thickBot="1" x14ac:dyDescent="0.35">
      <c r="A12" s="3">
        <v>7</v>
      </c>
      <c r="B12" s="3" t="s">
        <v>39</v>
      </c>
      <c r="C12" s="15">
        <v>0.112</v>
      </c>
    </row>
  </sheetData>
  <mergeCells count="1">
    <mergeCell ref="A1: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32"/>
  <sheetViews>
    <sheetView topLeftCell="A25" zoomScaleNormal="100" workbookViewId="0">
      <selection activeCell="J20" sqref="J20"/>
    </sheetView>
  </sheetViews>
  <sheetFormatPr defaultRowHeight="14.4" x14ac:dyDescent="0.3"/>
  <cols>
    <col min="1" max="1" width="4.109375" customWidth="1"/>
    <col min="2" max="3" width="25.44140625" bestFit="1" customWidth="1"/>
    <col min="4" max="4" width="16.109375" bestFit="1" customWidth="1"/>
    <col min="5" max="7" width="15.21875" bestFit="1" customWidth="1"/>
    <col min="8" max="8" width="13.77734375" bestFit="1" customWidth="1"/>
    <col min="9" max="9" width="13.21875" bestFit="1" customWidth="1"/>
    <col min="10" max="10" width="27.33203125" bestFit="1" customWidth="1"/>
    <col min="11" max="11" width="13.44140625" bestFit="1" customWidth="1"/>
    <col min="12" max="12" width="14.5546875" bestFit="1" customWidth="1"/>
  </cols>
  <sheetData>
    <row r="1" spans="1:16" x14ac:dyDescent="0.3">
      <c r="B1" s="124" t="s">
        <v>136</v>
      </c>
      <c r="C1" s="124"/>
      <c r="D1" s="124"/>
      <c r="E1" s="124"/>
      <c r="F1" s="124"/>
      <c r="G1" s="124"/>
      <c r="H1" s="124"/>
      <c r="I1" s="124"/>
      <c r="J1" s="50"/>
    </row>
    <row r="2" spans="1:16" x14ac:dyDescent="0.3">
      <c r="B2" s="124"/>
      <c r="C2" s="124"/>
      <c r="D2" s="124"/>
      <c r="E2" s="124"/>
      <c r="F2" s="124"/>
      <c r="G2" s="124"/>
      <c r="H2" s="124"/>
      <c r="I2" s="124"/>
    </row>
    <row r="3" spans="1:16" x14ac:dyDescent="0.3">
      <c r="B3" s="18"/>
      <c r="C3" s="18"/>
      <c r="D3" s="31" t="s">
        <v>100</v>
      </c>
      <c r="E3" s="29" t="s">
        <v>99</v>
      </c>
      <c r="F3" s="29" t="s">
        <v>98</v>
      </c>
      <c r="G3" s="29" t="s">
        <v>97</v>
      </c>
      <c r="H3" s="29" t="s">
        <v>96</v>
      </c>
      <c r="I3" s="30" t="s">
        <v>95</v>
      </c>
      <c r="N3" s="86" t="s">
        <v>137</v>
      </c>
    </row>
    <row r="4" spans="1:16" x14ac:dyDescent="0.3">
      <c r="B4" s="23" t="s">
        <v>85</v>
      </c>
      <c r="C4" s="24"/>
      <c r="D4" s="40"/>
      <c r="E4" s="40"/>
      <c r="F4" s="40"/>
      <c r="G4" s="40"/>
      <c r="H4" s="40"/>
      <c r="I4" s="41"/>
      <c r="K4" s="62" t="s">
        <v>126</v>
      </c>
      <c r="L4" s="63">
        <v>5000000</v>
      </c>
    </row>
    <row r="5" spans="1:16" x14ac:dyDescent="0.3">
      <c r="B5" s="25"/>
      <c r="C5" s="26" t="s">
        <v>86</v>
      </c>
      <c r="D5" s="59">
        <v>420000</v>
      </c>
      <c r="E5" s="59">
        <v>760000</v>
      </c>
      <c r="F5" s="59">
        <v>450000</v>
      </c>
      <c r="G5" s="59">
        <v>630000</v>
      </c>
      <c r="H5" s="59">
        <v>710000</v>
      </c>
      <c r="I5" s="60">
        <v>720000</v>
      </c>
      <c r="K5" s="64" t="s">
        <v>127</v>
      </c>
      <c r="L5" s="65">
        <v>0.1</v>
      </c>
      <c r="M5" s="70">
        <v>0.1</v>
      </c>
      <c r="N5" s="87">
        <v>0.2</v>
      </c>
    </row>
    <row r="6" spans="1:16" x14ac:dyDescent="0.3">
      <c r="B6" s="25"/>
      <c r="C6" s="26" t="s">
        <v>87</v>
      </c>
      <c r="D6" s="59">
        <v>500000</v>
      </c>
      <c r="E6" s="59">
        <v>530000</v>
      </c>
      <c r="F6" s="59">
        <v>290000</v>
      </c>
      <c r="G6" s="59">
        <v>310000</v>
      </c>
      <c r="H6" s="59">
        <v>470000</v>
      </c>
      <c r="I6" s="60">
        <v>500000</v>
      </c>
      <c r="K6" s="64" t="s">
        <v>130</v>
      </c>
      <c r="L6" s="65">
        <v>0.3</v>
      </c>
      <c r="M6" s="68">
        <v>0.3</v>
      </c>
    </row>
    <row r="7" spans="1:16" x14ac:dyDescent="0.3">
      <c r="B7" s="25"/>
      <c r="C7" s="26" t="s">
        <v>88</v>
      </c>
      <c r="D7" s="59">
        <v>550000</v>
      </c>
      <c r="E7" s="59">
        <v>610000</v>
      </c>
      <c r="F7" s="59">
        <v>590000</v>
      </c>
      <c r="G7" s="59">
        <v>760000</v>
      </c>
      <c r="H7" s="59">
        <v>470000</v>
      </c>
      <c r="I7" s="60">
        <v>480000</v>
      </c>
      <c r="K7" s="64" t="s">
        <v>128</v>
      </c>
      <c r="L7" s="65">
        <v>0.03</v>
      </c>
      <c r="M7" s="68">
        <v>0.03</v>
      </c>
    </row>
    <row r="8" spans="1:16" x14ac:dyDescent="0.3">
      <c r="B8" s="25"/>
      <c r="C8" s="26" t="s">
        <v>89</v>
      </c>
      <c r="D8" s="59">
        <v>770000</v>
      </c>
      <c r="E8" s="59">
        <v>790000</v>
      </c>
      <c r="F8" s="59">
        <v>350000</v>
      </c>
      <c r="G8" s="59">
        <v>400000</v>
      </c>
      <c r="H8" s="59">
        <v>670000</v>
      </c>
      <c r="I8" s="60">
        <v>450000</v>
      </c>
      <c r="K8" s="66" t="s">
        <v>129</v>
      </c>
      <c r="L8" s="67">
        <v>0.25</v>
      </c>
      <c r="M8" s="69">
        <v>0.25</v>
      </c>
    </row>
    <row r="9" spans="1:16" x14ac:dyDescent="0.3">
      <c r="A9" t="s">
        <v>132</v>
      </c>
      <c r="B9" s="25"/>
      <c r="C9" s="26" t="s">
        <v>90</v>
      </c>
      <c r="D9" s="42">
        <f t="shared" ref="D9:I9" si="0">IF(D17&gt;$L$4,(D17-$L$4)*$M$5,0)</f>
        <v>0</v>
      </c>
      <c r="E9" s="42">
        <f t="shared" si="0"/>
        <v>200000</v>
      </c>
      <c r="F9" s="42">
        <f t="shared" si="0"/>
        <v>110000</v>
      </c>
      <c r="G9" s="42">
        <f t="shared" si="0"/>
        <v>330000</v>
      </c>
      <c r="H9" s="42">
        <f t="shared" si="0"/>
        <v>370000</v>
      </c>
      <c r="I9" s="43">
        <f t="shared" si="0"/>
        <v>0</v>
      </c>
      <c r="K9" s="71" t="s">
        <v>131</v>
      </c>
    </row>
    <row r="10" spans="1:16" x14ac:dyDescent="0.3">
      <c r="B10" s="27"/>
      <c r="C10" s="28" t="s">
        <v>91</v>
      </c>
      <c r="D10" s="44">
        <f t="shared" ref="D10:I10" si="1">(D5+D6+D7+D8)*($L$6+$L$7)</f>
        <v>739199.99999999988</v>
      </c>
      <c r="E10" s="44">
        <f t="shared" si="1"/>
        <v>887699.99999999988</v>
      </c>
      <c r="F10" s="44">
        <f t="shared" si="1"/>
        <v>554399.99999999988</v>
      </c>
      <c r="G10" s="44">
        <f t="shared" si="1"/>
        <v>692999.99999999988</v>
      </c>
      <c r="H10" s="44">
        <f t="shared" si="1"/>
        <v>765599.99999999988</v>
      </c>
      <c r="I10" s="45">
        <f t="shared" si="1"/>
        <v>709499.99999999988</v>
      </c>
      <c r="K10" s="72" t="s">
        <v>134</v>
      </c>
      <c r="L10" s="73"/>
      <c r="M10" s="73"/>
      <c r="N10" s="73"/>
      <c r="O10" s="73"/>
      <c r="P10" s="74"/>
    </row>
    <row r="11" spans="1:16" x14ac:dyDescent="0.3">
      <c r="B11" s="21" t="s">
        <v>92</v>
      </c>
      <c r="C11" s="20"/>
      <c r="D11" s="46">
        <f>SUM(D5,D6,D7,D8,D9,D10)</f>
        <v>2979200</v>
      </c>
      <c r="E11" s="46">
        <f t="shared" ref="E11:I11" si="2">SUM(E5,E6,E7,E8,E9,E10)</f>
        <v>3777700</v>
      </c>
      <c r="F11" s="46">
        <f t="shared" si="2"/>
        <v>2344400</v>
      </c>
      <c r="G11" s="46">
        <f t="shared" si="2"/>
        <v>3123000</v>
      </c>
      <c r="H11" s="46">
        <f t="shared" si="2"/>
        <v>3455600</v>
      </c>
      <c r="I11" s="47">
        <f t="shared" si="2"/>
        <v>2859500</v>
      </c>
    </row>
    <row r="12" spans="1:16" x14ac:dyDescent="0.3">
      <c r="B12" s="21" t="s">
        <v>93</v>
      </c>
      <c r="C12" s="20"/>
      <c r="D12" s="61">
        <v>570000</v>
      </c>
      <c r="E12" s="61">
        <v>570000</v>
      </c>
      <c r="F12" s="61">
        <v>570000</v>
      </c>
      <c r="G12" s="61">
        <v>570000</v>
      </c>
      <c r="H12" s="61">
        <v>570000</v>
      </c>
      <c r="I12" s="75">
        <v>570000</v>
      </c>
    </row>
    <row r="13" spans="1:16" x14ac:dyDescent="0.3">
      <c r="B13" s="22" t="s">
        <v>94</v>
      </c>
      <c r="C13" s="19"/>
      <c r="D13" s="48">
        <f>SUM(D11,D12)</f>
        <v>3549200</v>
      </c>
      <c r="E13" s="48">
        <f t="shared" ref="E13:I13" si="3">SUM(E11,E12)</f>
        <v>4347700</v>
      </c>
      <c r="F13" s="48">
        <f t="shared" si="3"/>
        <v>2914400</v>
      </c>
      <c r="G13" s="48">
        <f t="shared" si="3"/>
        <v>3693000</v>
      </c>
      <c r="H13" s="48">
        <f t="shared" si="3"/>
        <v>4025600</v>
      </c>
      <c r="I13" s="49">
        <f t="shared" si="3"/>
        <v>3429500</v>
      </c>
    </row>
    <row r="14" spans="1:16" x14ac:dyDescent="0.3">
      <c r="D14" s="50"/>
      <c r="E14" s="50"/>
      <c r="F14" s="50"/>
      <c r="G14" s="50"/>
      <c r="H14" s="50"/>
      <c r="I14" s="50"/>
    </row>
    <row r="15" spans="1:16" x14ac:dyDescent="0.3">
      <c r="B15" s="34" t="s">
        <v>101</v>
      </c>
      <c r="C15" s="35"/>
      <c r="D15" s="51">
        <v>3000000</v>
      </c>
      <c r="E15" s="51">
        <v>4500000</v>
      </c>
      <c r="F15" s="51">
        <v>2100000</v>
      </c>
      <c r="G15" s="51">
        <v>3800000</v>
      </c>
      <c r="H15" s="51">
        <v>5000000</v>
      </c>
      <c r="I15" s="52">
        <v>3500000</v>
      </c>
    </row>
    <row r="16" spans="1:16" x14ac:dyDescent="0.3">
      <c r="B16" s="34" t="s">
        <v>102</v>
      </c>
      <c r="C16" s="35"/>
      <c r="D16" s="51">
        <v>1000000</v>
      </c>
      <c r="E16" s="51">
        <v>2500000</v>
      </c>
      <c r="F16" s="51">
        <v>4000000</v>
      </c>
      <c r="G16" s="51">
        <v>4500000</v>
      </c>
      <c r="H16" s="51">
        <v>3700000</v>
      </c>
      <c r="I16" s="52">
        <v>900000</v>
      </c>
    </row>
    <row r="17" spans="1:17" x14ac:dyDescent="0.3">
      <c r="A17" t="s">
        <v>133</v>
      </c>
      <c r="B17" s="32" t="s">
        <v>103</v>
      </c>
      <c r="C17" s="33"/>
      <c r="D17" s="53">
        <f>SUM(D15,D16)</f>
        <v>4000000</v>
      </c>
      <c r="E17" s="53">
        <f t="shared" ref="E17:I17" si="4">SUM(E15,E16)</f>
        <v>7000000</v>
      </c>
      <c r="F17" s="53">
        <f t="shared" si="4"/>
        <v>6100000</v>
      </c>
      <c r="G17" s="53">
        <f t="shared" si="4"/>
        <v>8300000</v>
      </c>
      <c r="H17" s="53">
        <f t="shared" si="4"/>
        <v>8700000</v>
      </c>
      <c r="I17" s="54">
        <f t="shared" si="4"/>
        <v>4400000</v>
      </c>
    </row>
    <row r="18" spans="1:17" x14ac:dyDescent="0.3">
      <c r="D18" s="50"/>
      <c r="E18" s="50"/>
      <c r="F18" s="50"/>
      <c r="G18" s="50"/>
      <c r="H18" s="50"/>
      <c r="I18" s="50"/>
    </row>
    <row r="19" spans="1:17" x14ac:dyDescent="0.3">
      <c r="B19" s="36" t="s">
        <v>104</v>
      </c>
      <c r="C19" s="37"/>
      <c r="D19" s="55">
        <f>D17-D13</f>
        <v>450800</v>
      </c>
      <c r="E19" s="55">
        <f t="shared" ref="E19:I19" si="5">E17-E13</f>
        <v>2652300</v>
      </c>
      <c r="F19" s="55">
        <f t="shared" si="5"/>
        <v>3185600</v>
      </c>
      <c r="G19" s="55">
        <f t="shared" si="5"/>
        <v>4607000</v>
      </c>
      <c r="H19" s="55">
        <f t="shared" si="5"/>
        <v>4674400</v>
      </c>
      <c r="I19" s="56">
        <f t="shared" si="5"/>
        <v>970500</v>
      </c>
    </row>
    <row r="20" spans="1:17" x14ac:dyDescent="0.3">
      <c r="B20" s="38" t="s">
        <v>105</v>
      </c>
      <c r="C20" s="39"/>
      <c r="D20" s="57">
        <f t="shared" ref="D20:I20" si="6">D19*$M$8</f>
        <v>112700</v>
      </c>
      <c r="E20" s="57">
        <f t="shared" si="6"/>
        <v>663075</v>
      </c>
      <c r="F20" s="57">
        <f t="shared" si="6"/>
        <v>796400</v>
      </c>
      <c r="G20" s="57">
        <f t="shared" si="6"/>
        <v>1151750</v>
      </c>
      <c r="H20" s="57">
        <f t="shared" si="6"/>
        <v>1168600</v>
      </c>
      <c r="I20" s="58">
        <f t="shared" si="6"/>
        <v>242625</v>
      </c>
    </row>
    <row r="23" spans="1:17" ht="14.4" customHeight="1" x14ac:dyDescent="0.3">
      <c r="B23" s="131" t="s">
        <v>135</v>
      </c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</row>
    <row r="24" spans="1:17" x14ac:dyDescent="0.3">
      <c r="B24" s="131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</row>
    <row r="25" spans="1:17" ht="15" thickBot="1" x14ac:dyDescent="0.35"/>
    <row r="26" spans="1:17" ht="15" thickBot="1" x14ac:dyDescent="0.35">
      <c r="C26" s="83" t="s">
        <v>100</v>
      </c>
      <c r="D26" s="84" t="s">
        <v>99</v>
      </c>
      <c r="E26" s="84" t="s">
        <v>98</v>
      </c>
      <c r="F26" s="84" t="s">
        <v>97</v>
      </c>
      <c r="G26" s="84" t="s">
        <v>96</v>
      </c>
      <c r="H26" s="85" t="s">
        <v>95</v>
      </c>
      <c r="J26" s="82" t="s">
        <v>85</v>
      </c>
    </row>
    <row r="27" spans="1:17" x14ac:dyDescent="0.3">
      <c r="B27" s="22" t="s">
        <v>94</v>
      </c>
      <c r="C27" s="22">
        <v>3549200</v>
      </c>
      <c r="D27" s="22">
        <v>4347700</v>
      </c>
      <c r="E27" s="22">
        <v>2914400</v>
      </c>
      <c r="F27" s="22">
        <v>3693000</v>
      </c>
      <c r="G27" s="22">
        <v>4025600</v>
      </c>
      <c r="H27" s="22">
        <v>3429500</v>
      </c>
      <c r="J27" s="76" t="s">
        <v>86</v>
      </c>
      <c r="K27" s="77">
        <v>710000</v>
      </c>
    </row>
    <row r="28" spans="1:17" x14ac:dyDescent="0.3">
      <c r="B28" s="32" t="s">
        <v>103</v>
      </c>
      <c r="C28" s="32">
        <v>4000000</v>
      </c>
      <c r="D28" s="32">
        <v>7000000</v>
      </c>
      <c r="E28" s="32">
        <v>6100000</v>
      </c>
      <c r="F28" s="32">
        <v>8300000</v>
      </c>
      <c r="G28" s="32">
        <v>8700000</v>
      </c>
      <c r="H28" s="32">
        <v>4400000</v>
      </c>
      <c r="J28" s="78" t="s">
        <v>87</v>
      </c>
      <c r="K28" s="79">
        <v>470000</v>
      </c>
    </row>
    <row r="29" spans="1:17" x14ac:dyDescent="0.3">
      <c r="B29" s="36" t="s">
        <v>104</v>
      </c>
      <c r="C29" s="36">
        <v>450800</v>
      </c>
      <c r="D29" s="36">
        <v>2652300</v>
      </c>
      <c r="E29" s="36">
        <v>3185600</v>
      </c>
      <c r="F29" s="36">
        <v>4607000</v>
      </c>
      <c r="G29" s="36">
        <v>4674400</v>
      </c>
      <c r="H29" s="36">
        <v>970500</v>
      </c>
      <c r="J29" s="78" t="s">
        <v>88</v>
      </c>
      <c r="K29" s="79">
        <v>470000</v>
      </c>
    </row>
    <row r="30" spans="1:17" x14ac:dyDescent="0.3">
      <c r="J30" s="78" t="s">
        <v>89</v>
      </c>
      <c r="K30" s="79">
        <v>670000</v>
      </c>
    </row>
    <row r="31" spans="1:17" x14ac:dyDescent="0.3">
      <c r="J31" s="78" t="s">
        <v>90</v>
      </c>
      <c r="K31" s="79">
        <v>370000</v>
      </c>
    </row>
    <row r="32" spans="1:17" ht="15" thickBot="1" x14ac:dyDescent="0.35">
      <c r="J32" s="80" t="s">
        <v>91</v>
      </c>
      <c r="K32" s="81">
        <v>765599.99999999988</v>
      </c>
    </row>
  </sheetData>
  <scenarios current="0" sqref="D13:I13">
    <scenario name="Majorare prima " locked="1" count="1" user="Author" comment="Created by Author on 06-03-2020_x000a_">
      <inputCells r="M5" val="0.2"/>
    </scenario>
  </scenarios>
  <mergeCells count="2">
    <mergeCell ref="B1:I2"/>
    <mergeCell ref="B23:Q2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outlinePr summaryBelow="0"/>
  </sheetPr>
  <dimension ref="A1:G16"/>
  <sheetViews>
    <sheetView showGridLines="0" workbookViewId="0">
      <selection activeCell="A17" sqref="A17"/>
    </sheetView>
  </sheetViews>
  <sheetFormatPr defaultRowHeight="14.4" outlineLevelRow="1" outlineLevelCol="1" x14ac:dyDescent="0.3"/>
  <cols>
    <col min="1" max="1" width="14.77734375" bestFit="1" customWidth="1"/>
    <col min="3" max="3" width="6.21875" customWidth="1"/>
    <col min="4" max="5" width="13.6640625" bestFit="1" customWidth="1" outlineLevel="1"/>
    <col min="7" max="7" width="11" bestFit="1" customWidth="1"/>
  </cols>
  <sheetData>
    <row r="1" spans="1:7" ht="15" thickBot="1" x14ac:dyDescent="0.35"/>
    <row r="2" spans="1:7" ht="15.6" x14ac:dyDescent="0.3">
      <c r="B2" s="92" t="s">
        <v>145</v>
      </c>
      <c r="C2" s="92"/>
      <c r="D2" s="97"/>
      <c r="E2" s="97"/>
    </row>
    <row r="3" spans="1:7" ht="15.6" collapsed="1" x14ac:dyDescent="0.3">
      <c r="B3" s="91"/>
      <c r="C3" s="91"/>
      <c r="D3" s="98" t="s">
        <v>147</v>
      </c>
      <c r="E3" s="98" t="s">
        <v>152</v>
      </c>
    </row>
    <row r="4" spans="1:7" ht="30.6" hidden="1" outlineLevel="1" x14ac:dyDescent="0.3">
      <c r="B4" s="94"/>
      <c r="C4" s="94"/>
      <c r="D4" s="88"/>
      <c r="E4" s="100" t="s">
        <v>153</v>
      </c>
    </row>
    <row r="5" spans="1:7" x14ac:dyDescent="0.3">
      <c r="B5" s="95" t="s">
        <v>146</v>
      </c>
      <c r="C5" s="95"/>
      <c r="D5" s="93"/>
      <c r="E5" s="93"/>
    </row>
    <row r="6" spans="1:7" outlineLevel="1" x14ac:dyDescent="0.3">
      <c r="B6" s="94"/>
      <c r="C6" s="94" t="s">
        <v>138</v>
      </c>
      <c r="D6" s="88">
        <v>0.1</v>
      </c>
      <c r="E6" s="99">
        <v>0.2</v>
      </c>
      <c r="G6" t="s">
        <v>155</v>
      </c>
    </row>
    <row r="7" spans="1:7" x14ac:dyDescent="0.3">
      <c r="B7" s="95" t="s">
        <v>148</v>
      </c>
      <c r="C7" s="95"/>
      <c r="D7" s="93"/>
      <c r="E7" s="93"/>
    </row>
    <row r="8" spans="1:7" outlineLevel="1" x14ac:dyDescent="0.3">
      <c r="A8" s="17" t="s">
        <v>100</v>
      </c>
      <c r="B8" s="94"/>
      <c r="C8" s="94" t="s">
        <v>139</v>
      </c>
      <c r="D8" s="89">
        <v>3549200</v>
      </c>
      <c r="E8" s="89">
        <v>3549200</v>
      </c>
      <c r="G8" s="50">
        <f>E8-D8</f>
        <v>0</v>
      </c>
    </row>
    <row r="9" spans="1:7" outlineLevel="1" x14ac:dyDescent="0.3">
      <c r="A9" s="17" t="s">
        <v>154</v>
      </c>
      <c r="B9" s="94"/>
      <c r="C9" s="94" t="s">
        <v>140</v>
      </c>
      <c r="D9" s="89">
        <v>4347700</v>
      </c>
      <c r="E9" s="89">
        <v>4547700</v>
      </c>
      <c r="G9" s="50">
        <f t="shared" ref="G9:G13" si="0">E9-D9</f>
        <v>200000</v>
      </c>
    </row>
    <row r="10" spans="1:7" outlineLevel="1" x14ac:dyDescent="0.3">
      <c r="A10" s="17" t="s">
        <v>98</v>
      </c>
      <c r="B10" s="94"/>
      <c r="C10" s="94" t="s">
        <v>141</v>
      </c>
      <c r="D10" s="89">
        <v>2914400</v>
      </c>
      <c r="E10" s="89">
        <v>3024400</v>
      </c>
      <c r="G10" s="50">
        <f t="shared" si="0"/>
        <v>110000</v>
      </c>
    </row>
    <row r="11" spans="1:7" outlineLevel="1" x14ac:dyDescent="0.3">
      <c r="A11" s="17" t="s">
        <v>97</v>
      </c>
      <c r="B11" s="94"/>
      <c r="C11" s="94" t="s">
        <v>142</v>
      </c>
      <c r="D11" s="89">
        <v>3693000</v>
      </c>
      <c r="E11" s="89">
        <v>4023000</v>
      </c>
      <c r="G11" s="50">
        <f t="shared" si="0"/>
        <v>330000</v>
      </c>
    </row>
    <row r="12" spans="1:7" outlineLevel="1" x14ac:dyDescent="0.3">
      <c r="A12" s="101" t="s">
        <v>96</v>
      </c>
      <c r="B12" s="102"/>
      <c r="C12" s="102" t="s">
        <v>143</v>
      </c>
      <c r="D12" s="103">
        <v>4025600</v>
      </c>
      <c r="E12" s="103">
        <v>4395600</v>
      </c>
      <c r="F12" s="101"/>
      <c r="G12" s="104">
        <f t="shared" si="0"/>
        <v>370000</v>
      </c>
    </row>
    <row r="13" spans="1:7" ht="15" outlineLevel="1" thickBot="1" x14ac:dyDescent="0.35">
      <c r="A13" s="17" t="s">
        <v>95</v>
      </c>
      <c r="B13" s="96"/>
      <c r="C13" s="96" t="s">
        <v>144</v>
      </c>
      <c r="D13" s="90">
        <v>3429500</v>
      </c>
      <c r="E13" s="90">
        <v>3429500</v>
      </c>
      <c r="G13" s="50">
        <f t="shared" si="0"/>
        <v>0</v>
      </c>
    </row>
    <row r="14" spans="1:7" x14ac:dyDescent="0.3">
      <c r="B14" t="s">
        <v>149</v>
      </c>
    </row>
    <row r="15" spans="1:7" x14ac:dyDescent="0.3">
      <c r="B15" t="s">
        <v>150</v>
      </c>
    </row>
    <row r="16" spans="1:7" x14ac:dyDescent="0.3">
      <c r="B16" t="s">
        <v>151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H21"/>
  <sheetViews>
    <sheetView workbookViewId="0">
      <selection activeCell="G28" sqref="G28"/>
    </sheetView>
  </sheetViews>
  <sheetFormatPr defaultRowHeight="14.4" x14ac:dyDescent="0.3"/>
  <cols>
    <col min="2" max="2" width="22.21875" bestFit="1" customWidth="1"/>
    <col min="3" max="3" width="25.44140625" bestFit="1" customWidth="1"/>
    <col min="4" max="4" width="13.44140625" bestFit="1" customWidth="1"/>
    <col min="6" max="6" width="22.21875" bestFit="1" customWidth="1"/>
    <col min="7" max="7" width="25.44140625" bestFit="1" customWidth="1"/>
    <col min="8" max="8" width="13.44140625" bestFit="1" customWidth="1"/>
  </cols>
  <sheetData>
    <row r="1" spans="2:8" ht="25.8" customHeight="1" x14ac:dyDescent="0.3">
      <c r="B1" s="132" t="s">
        <v>156</v>
      </c>
      <c r="C1" s="132"/>
      <c r="D1" s="132"/>
      <c r="F1" s="132" t="s">
        <v>157</v>
      </c>
      <c r="G1" s="132"/>
      <c r="H1" s="132"/>
    </row>
    <row r="2" spans="2:8" ht="25.8" customHeight="1" x14ac:dyDescent="0.3">
      <c r="B2" s="132"/>
      <c r="C2" s="132"/>
      <c r="D2" s="132"/>
      <c r="F2" s="132"/>
      <c r="G2" s="132"/>
      <c r="H2" s="132"/>
    </row>
    <row r="3" spans="2:8" ht="26.4" customHeight="1" thickBot="1" x14ac:dyDescent="0.35">
      <c r="B3" s="132"/>
      <c r="C3" s="132"/>
      <c r="D3" s="132"/>
      <c r="F3" s="132"/>
      <c r="G3" s="132"/>
      <c r="H3" s="132"/>
    </row>
    <row r="4" spans="2:8" ht="15" thickBot="1" x14ac:dyDescent="0.35">
      <c r="B4" s="18"/>
      <c r="C4" s="18"/>
      <c r="D4" s="105" t="s">
        <v>95</v>
      </c>
      <c r="F4" s="18"/>
      <c r="G4" s="18"/>
      <c r="H4" s="105" t="s">
        <v>95</v>
      </c>
    </row>
    <row r="5" spans="2:8" x14ac:dyDescent="0.3">
      <c r="B5" s="23" t="s">
        <v>85</v>
      </c>
      <c r="C5" s="24"/>
      <c r="D5" s="43"/>
      <c r="F5" s="23" t="s">
        <v>85</v>
      </c>
      <c r="G5" s="24"/>
      <c r="H5" s="43"/>
    </row>
    <row r="6" spans="2:8" x14ac:dyDescent="0.3">
      <c r="B6" s="25"/>
      <c r="C6" s="26" t="s">
        <v>86</v>
      </c>
      <c r="D6" s="60">
        <v>720000</v>
      </c>
      <c r="F6" s="25"/>
      <c r="G6" s="26" t="s">
        <v>86</v>
      </c>
      <c r="H6" s="60">
        <v>720000</v>
      </c>
    </row>
    <row r="7" spans="2:8" x14ac:dyDescent="0.3">
      <c r="B7" s="25"/>
      <c r="C7" s="26" t="s">
        <v>87</v>
      </c>
      <c r="D7" s="60">
        <v>500000</v>
      </c>
      <c r="F7" s="25"/>
      <c r="G7" s="26" t="s">
        <v>87</v>
      </c>
      <c r="H7" s="60">
        <v>500000</v>
      </c>
    </row>
    <row r="8" spans="2:8" x14ac:dyDescent="0.3">
      <c r="B8" s="25"/>
      <c r="C8" s="26" t="s">
        <v>88</v>
      </c>
      <c r="D8" s="60">
        <v>480000</v>
      </c>
      <c r="F8" s="25"/>
      <c r="G8" s="26" t="s">
        <v>88</v>
      </c>
      <c r="H8" s="60">
        <v>480000</v>
      </c>
    </row>
    <row r="9" spans="2:8" x14ac:dyDescent="0.3">
      <c r="B9" s="25"/>
      <c r="C9" s="26" t="s">
        <v>89</v>
      </c>
      <c r="D9" s="60">
        <v>450000</v>
      </c>
      <c r="F9" s="25"/>
      <c r="G9" s="26" t="s">
        <v>89</v>
      </c>
      <c r="H9" s="60">
        <v>450000</v>
      </c>
    </row>
    <row r="10" spans="2:8" x14ac:dyDescent="0.3">
      <c r="B10" s="25"/>
      <c r="C10" s="26" t="s">
        <v>90</v>
      </c>
      <c r="D10" s="43">
        <f>IF(D18&gt;Profit!$L$4,(D18-Profit!$L$4)*Profit!$M$5,0)</f>
        <v>0</v>
      </c>
      <c r="F10" s="25"/>
      <c r="G10" s="26" t="s">
        <v>90</v>
      </c>
      <c r="H10" s="43">
        <f>IF(H18&gt;Profit!$L$4,(H18-Profit!$L$4)*Profit!$M$5,0)</f>
        <v>47722.222222222204</v>
      </c>
    </row>
    <row r="11" spans="2:8" x14ac:dyDescent="0.3">
      <c r="B11" s="27"/>
      <c r="C11" s="28" t="s">
        <v>91</v>
      </c>
      <c r="D11" s="45">
        <f>(D6+D7+D8+D9)*(Profit!$L$6+Profit!$L$7)</f>
        <v>709499.99999999988</v>
      </c>
      <c r="F11" s="27"/>
      <c r="G11" s="28" t="s">
        <v>91</v>
      </c>
      <c r="H11" s="45">
        <f>(H6+H7+H8+H9)*(Profit!$L$6+Profit!$L$7)</f>
        <v>709499.99999999988</v>
      </c>
    </row>
    <row r="12" spans="2:8" x14ac:dyDescent="0.3">
      <c r="B12" s="21" t="s">
        <v>92</v>
      </c>
      <c r="C12" s="20"/>
      <c r="D12" s="47">
        <f>SUM(D6,D7,D8,D9,D10,D11)</f>
        <v>2859500</v>
      </c>
      <c r="F12" s="21" t="s">
        <v>92</v>
      </c>
      <c r="G12" s="20"/>
      <c r="H12" s="47">
        <f>SUM(H6,H7,H8,H9,H10,H11)</f>
        <v>2907222.222222222</v>
      </c>
    </row>
    <row r="13" spans="2:8" x14ac:dyDescent="0.3">
      <c r="B13" s="21" t="s">
        <v>93</v>
      </c>
      <c r="C13" s="20"/>
      <c r="D13" s="75">
        <v>570000</v>
      </c>
      <c r="F13" s="21" t="s">
        <v>93</v>
      </c>
      <c r="G13" s="20"/>
      <c r="H13" s="75">
        <v>570000</v>
      </c>
    </row>
    <row r="14" spans="2:8" x14ac:dyDescent="0.3">
      <c r="B14" s="22" t="s">
        <v>94</v>
      </c>
      <c r="C14" s="19"/>
      <c r="D14" s="49">
        <f>SUM(D12,D13)</f>
        <v>3429500</v>
      </c>
      <c r="F14" s="22" t="s">
        <v>94</v>
      </c>
      <c r="G14" s="19"/>
      <c r="H14" s="49">
        <f>SUM(H12,H13)</f>
        <v>3477222.222222222</v>
      </c>
    </row>
    <row r="15" spans="2:8" x14ac:dyDescent="0.3">
      <c r="D15" s="50"/>
      <c r="H15" s="50"/>
    </row>
    <row r="16" spans="2:8" x14ac:dyDescent="0.3">
      <c r="B16" s="34" t="s">
        <v>101</v>
      </c>
      <c r="C16" s="35"/>
      <c r="D16" s="52">
        <v>3500000</v>
      </c>
      <c r="F16" s="34" t="s">
        <v>101</v>
      </c>
      <c r="G16" s="35"/>
      <c r="H16" s="52">
        <v>3500000</v>
      </c>
    </row>
    <row r="17" spans="2:8" x14ac:dyDescent="0.3">
      <c r="B17" s="34" t="s">
        <v>102</v>
      </c>
      <c r="C17" s="35"/>
      <c r="D17" s="52">
        <v>900000</v>
      </c>
      <c r="F17" s="34" t="s">
        <v>102</v>
      </c>
      <c r="G17" s="35"/>
      <c r="H17" s="52">
        <v>1977222.2222222225</v>
      </c>
    </row>
    <row r="18" spans="2:8" x14ac:dyDescent="0.3">
      <c r="B18" s="32" t="s">
        <v>103</v>
      </c>
      <c r="C18" s="33"/>
      <c r="D18" s="54">
        <f>SUM(D16,D17)</f>
        <v>4400000</v>
      </c>
      <c r="F18" s="32" t="s">
        <v>103</v>
      </c>
      <c r="G18" s="33"/>
      <c r="H18" s="54">
        <f>SUM(H16,H17)</f>
        <v>5477222.222222222</v>
      </c>
    </row>
    <row r="19" spans="2:8" x14ac:dyDescent="0.3">
      <c r="D19" s="50"/>
      <c r="H19" s="50"/>
    </row>
    <row r="20" spans="2:8" x14ac:dyDescent="0.3">
      <c r="B20" s="36" t="s">
        <v>104</v>
      </c>
      <c r="C20" s="37"/>
      <c r="D20" s="56">
        <f>D18-D14</f>
        <v>970500</v>
      </c>
      <c r="F20" s="36" t="s">
        <v>104</v>
      </c>
      <c r="G20" s="37"/>
      <c r="H20" s="56">
        <f>H18-H14</f>
        <v>2000000</v>
      </c>
    </row>
    <row r="21" spans="2:8" x14ac:dyDescent="0.3">
      <c r="B21" s="38" t="s">
        <v>105</v>
      </c>
      <c r="C21" s="39"/>
      <c r="D21" s="58">
        <f>D20*Profit!$M$8</f>
        <v>242625</v>
      </c>
      <c r="F21" s="38" t="s">
        <v>105</v>
      </c>
      <c r="G21" s="39"/>
      <c r="H21" s="58">
        <f>H20*Profit!$M$8</f>
        <v>500000</v>
      </c>
    </row>
  </sheetData>
  <mergeCells count="2">
    <mergeCell ref="B1:D3"/>
    <mergeCell ref="F1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35"/>
  <sheetViews>
    <sheetView zoomScale="85" zoomScaleNormal="85" workbookViewId="0">
      <selection activeCell="M34" sqref="M34"/>
    </sheetView>
  </sheetViews>
  <sheetFormatPr defaultRowHeight="14.4" x14ac:dyDescent="0.3"/>
  <cols>
    <col min="2" max="2" width="35.33203125" bestFit="1" customWidth="1"/>
    <col min="3" max="3" width="10.109375" bestFit="1" customWidth="1"/>
    <col min="5" max="5" width="11.109375" bestFit="1" customWidth="1"/>
    <col min="7" max="7" width="12.6640625" bestFit="1" customWidth="1"/>
    <col min="9" max="9" width="7.77734375" bestFit="1" customWidth="1"/>
    <col min="10" max="10" width="37.88671875" bestFit="1" customWidth="1"/>
    <col min="11" max="11" width="10.77734375" customWidth="1"/>
    <col min="12" max="12" width="8" bestFit="1" customWidth="1"/>
    <col min="13" max="13" width="12.88671875" bestFit="1" customWidth="1"/>
    <col min="15" max="15" width="13.5546875" bestFit="1" customWidth="1"/>
  </cols>
  <sheetData>
    <row r="1" spans="1:15" x14ac:dyDescent="0.3">
      <c r="A1" s="133" t="s">
        <v>170</v>
      </c>
      <c r="B1" s="134"/>
      <c r="C1" s="134"/>
      <c r="D1" s="134"/>
      <c r="E1" s="134"/>
      <c r="F1" s="134"/>
      <c r="G1" s="134"/>
      <c r="I1" s="133" t="s">
        <v>171</v>
      </c>
      <c r="J1" s="134"/>
      <c r="K1" s="134"/>
      <c r="L1" s="134"/>
      <c r="M1" s="134"/>
      <c r="N1" s="134"/>
      <c r="O1" s="134"/>
    </row>
    <row r="2" spans="1:15" x14ac:dyDescent="0.3">
      <c r="A2" s="134"/>
      <c r="B2" s="134"/>
      <c r="C2" s="134"/>
      <c r="D2" s="134"/>
      <c r="E2" s="134"/>
      <c r="F2" s="134"/>
      <c r="G2" s="134"/>
      <c r="I2" s="134"/>
      <c r="J2" s="134"/>
      <c r="K2" s="134"/>
      <c r="L2" s="134"/>
      <c r="M2" s="134"/>
      <c r="N2" s="134"/>
      <c r="O2" s="134"/>
    </row>
    <row r="3" spans="1:15" x14ac:dyDescent="0.3">
      <c r="A3" s="2" t="s">
        <v>0</v>
      </c>
      <c r="B3" s="2" t="s">
        <v>4</v>
      </c>
      <c r="C3" s="2" t="s">
        <v>5</v>
      </c>
      <c r="D3" s="2" t="s">
        <v>6</v>
      </c>
      <c r="E3" s="2" t="s">
        <v>84</v>
      </c>
      <c r="G3" s="2" t="s">
        <v>167</v>
      </c>
      <c r="I3" s="2" t="s">
        <v>0</v>
      </c>
      <c r="J3" s="2" t="s">
        <v>4</v>
      </c>
      <c r="K3" s="2" t="s">
        <v>5</v>
      </c>
      <c r="L3" s="2" t="s">
        <v>6</v>
      </c>
      <c r="M3" s="2" t="s">
        <v>84</v>
      </c>
      <c r="O3" s="2" t="s">
        <v>167</v>
      </c>
    </row>
    <row r="4" spans="1:15" x14ac:dyDescent="0.3">
      <c r="A4" s="3">
        <v>1</v>
      </c>
      <c r="B4" s="7" t="s">
        <v>56</v>
      </c>
      <c r="C4" s="4">
        <v>1500</v>
      </c>
      <c r="D4" s="3">
        <v>1</v>
      </c>
      <c r="E4" s="4">
        <f t="shared" ref="E4:E33" si="0">C4*D4</f>
        <v>1500</v>
      </c>
      <c r="G4" s="3">
        <v>1</v>
      </c>
      <c r="I4" s="3">
        <v>1</v>
      </c>
      <c r="J4" s="7" t="s">
        <v>56</v>
      </c>
      <c r="K4" s="4">
        <v>1500</v>
      </c>
      <c r="L4" s="3">
        <v>1</v>
      </c>
      <c r="M4" s="4">
        <f t="shared" ref="M4:M33" si="1">K4*L4</f>
        <v>1500</v>
      </c>
      <c r="O4" s="3">
        <v>1</v>
      </c>
    </row>
    <row r="5" spans="1:15" x14ac:dyDescent="0.3">
      <c r="A5" s="3">
        <v>2</v>
      </c>
      <c r="B5" s="7" t="s">
        <v>72</v>
      </c>
      <c r="C5" s="4">
        <v>450</v>
      </c>
      <c r="D5" s="3">
        <v>2</v>
      </c>
      <c r="E5" s="4">
        <f t="shared" si="0"/>
        <v>900</v>
      </c>
      <c r="G5" s="3">
        <v>1</v>
      </c>
      <c r="I5" s="3">
        <v>2</v>
      </c>
      <c r="J5" s="7" t="s">
        <v>72</v>
      </c>
      <c r="K5" s="4">
        <v>450</v>
      </c>
      <c r="L5" s="3">
        <v>1</v>
      </c>
      <c r="M5" s="4">
        <f t="shared" si="1"/>
        <v>450</v>
      </c>
      <c r="O5" s="3">
        <v>1</v>
      </c>
    </row>
    <row r="6" spans="1:15" x14ac:dyDescent="0.3">
      <c r="A6" s="3">
        <v>3</v>
      </c>
      <c r="B6" s="7" t="s">
        <v>61</v>
      </c>
      <c r="C6" s="4">
        <v>50</v>
      </c>
      <c r="D6" s="3">
        <v>25</v>
      </c>
      <c r="E6" s="4">
        <f t="shared" si="0"/>
        <v>1250</v>
      </c>
      <c r="G6" s="3">
        <v>20</v>
      </c>
      <c r="I6" s="3">
        <v>3</v>
      </c>
      <c r="J6" s="7" t="s">
        <v>61</v>
      </c>
      <c r="K6" s="4">
        <v>50</v>
      </c>
      <c r="L6" s="3">
        <v>20</v>
      </c>
      <c r="M6" s="4">
        <f t="shared" si="1"/>
        <v>1000</v>
      </c>
      <c r="O6" s="3">
        <v>20</v>
      </c>
    </row>
    <row r="7" spans="1:15" x14ac:dyDescent="0.3">
      <c r="A7" s="3">
        <v>4</v>
      </c>
      <c r="B7" s="7" t="s">
        <v>60</v>
      </c>
      <c r="C7" s="4">
        <v>10</v>
      </c>
      <c r="D7" s="3">
        <v>50</v>
      </c>
      <c r="E7" s="4">
        <f t="shared" si="0"/>
        <v>500</v>
      </c>
      <c r="G7" s="3">
        <v>40</v>
      </c>
      <c r="I7" s="3">
        <v>4</v>
      </c>
      <c r="J7" s="7" t="s">
        <v>60</v>
      </c>
      <c r="K7" s="4">
        <v>10</v>
      </c>
      <c r="L7" s="3">
        <v>40</v>
      </c>
      <c r="M7" s="4">
        <f t="shared" si="1"/>
        <v>400</v>
      </c>
      <c r="O7" s="3">
        <v>40</v>
      </c>
    </row>
    <row r="8" spans="1:15" x14ac:dyDescent="0.3">
      <c r="A8" s="3">
        <v>5</v>
      </c>
      <c r="B8" s="7" t="s">
        <v>62</v>
      </c>
      <c r="C8" s="4">
        <v>500</v>
      </c>
      <c r="D8" s="3">
        <v>15</v>
      </c>
      <c r="E8" s="4">
        <f t="shared" si="0"/>
        <v>7500</v>
      </c>
      <c r="G8" s="3">
        <v>10</v>
      </c>
      <c r="I8" s="3">
        <v>5</v>
      </c>
      <c r="J8" s="7" t="s">
        <v>62</v>
      </c>
      <c r="K8" s="4">
        <v>500</v>
      </c>
      <c r="L8" s="3">
        <v>10</v>
      </c>
      <c r="M8" s="4">
        <f t="shared" si="1"/>
        <v>5000</v>
      </c>
      <c r="O8" s="3">
        <v>10</v>
      </c>
    </row>
    <row r="9" spans="1:15" x14ac:dyDescent="0.3">
      <c r="A9" s="3">
        <v>6</v>
      </c>
      <c r="B9" s="7" t="s">
        <v>75</v>
      </c>
      <c r="C9" s="4">
        <v>350</v>
      </c>
      <c r="D9" s="3">
        <v>10</v>
      </c>
      <c r="E9" s="4">
        <f t="shared" si="0"/>
        <v>3500</v>
      </c>
      <c r="G9" s="3">
        <v>9</v>
      </c>
      <c r="I9" s="3">
        <v>6</v>
      </c>
      <c r="J9" s="7" t="s">
        <v>75</v>
      </c>
      <c r="K9" s="4">
        <v>350</v>
      </c>
      <c r="L9" s="3">
        <v>9</v>
      </c>
      <c r="M9" s="4">
        <f t="shared" si="1"/>
        <v>3150</v>
      </c>
      <c r="O9" s="3">
        <v>9</v>
      </c>
    </row>
    <row r="10" spans="1:15" x14ac:dyDescent="0.3">
      <c r="A10" s="3">
        <v>7</v>
      </c>
      <c r="B10" s="7" t="s">
        <v>77</v>
      </c>
      <c r="C10" s="4">
        <v>17000</v>
      </c>
      <c r="D10" s="3">
        <v>2</v>
      </c>
      <c r="E10" s="4">
        <f t="shared" si="0"/>
        <v>34000</v>
      </c>
      <c r="G10" s="3">
        <v>2</v>
      </c>
      <c r="I10" s="3">
        <v>7</v>
      </c>
      <c r="J10" s="7" t="s">
        <v>77</v>
      </c>
      <c r="K10" s="4">
        <v>17000</v>
      </c>
      <c r="L10" s="113">
        <v>1.0236470588235294</v>
      </c>
      <c r="M10" s="4">
        <f t="shared" si="1"/>
        <v>17402</v>
      </c>
      <c r="O10" s="3">
        <v>2</v>
      </c>
    </row>
    <row r="11" spans="1:15" x14ac:dyDescent="0.3">
      <c r="A11" s="3">
        <v>8</v>
      </c>
      <c r="B11" s="7" t="s">
        <v>55</v>
      </c>
      <c r="C11" s="4">
        <v>250</v>
      </c>
      <c r="D11" s="3">
        <v>6</v>
      </c>
      <c r="E11" s="4">
        <f t="shared" si="0"/>
        <v>1500</v>
      </c>
      <c r="G11" s="3">
        <v>5</v>
      </c>
      <c r="I11" s="3">
        <v>8</v>
      </c>
      <c r="J11" s="7" t="s">
        <v>55</v>
      </c>
      <c r="K11" s="4">
        <v>250</v>
      </c>
      <c r="L11" s="3">
        <v>5</v>
      </c>
      <c r="M11" s="4">
        <f t="shared" si="1"/>
        <v>1250</v>
      </c>
      <c r="O11" s="3">
        <v>5</v>
      </c>
    </row>
    <row r="12" spans="1:15" x14ac:dyDescent="0.3">
      <c r="A12" s="3">
        <v>9</v>
      </c>
      <c r="B12" s="7" t="s">
        <v>79</v>
      </c>
      <c r="C12" s="4">
        <v>10</v>
      </c>
      <c r="D12" s="3">
        <v>1</v>
      </c>
      <c r="E12" s="4">
        <f t="shared" si="0"/>
        <v>10</v>
      </c>
      <c r="G12" s="3">
        <v>1</v>
      </c>
      <c r="I12" s="3">
        <v>9</v>
      </c>
      <c r="J12" s="7" t="s">
        <v>79</v>
      </c>
      <c r="K12" s="4">
        <v>10</v>
      </c>
      <c r="L12" s="3">
        <v>1</v>
      </c>
      <c r="M12" s="4">
        <f t="shared" si="1"/>
        <v>10</v>
      </c>
      <c r="O12" s="3">
        <v>1</v>
      </c>
    </row>
    <row r="13" spans="1:15" x14ac:dyDescent="0.3">
      <c r="A13" s="3">
        <v>10</v>
      </c>
      <c r="B13" s="7" t="s">
        <v>59</v>
      </c>
      <c r="C13" s="4">
        <v>25</v>
      </c>
      <c r="D13" s="3">
        <v>100</v>
      </c>
      <c r="E13" s="4">
        <f t="shared" si="0"/>
        <v>2500</v>
      </c>
      <c r="G13" s="3">
        <v>80</v>
      </c>
      <c r="I13" s="3">
        <v>10</v>
      </c>
      <c r="J13" s="7" t="s">
        <v>59</v>
      </c>
      <c r="K13" s="4">
        <v>25</v>
      </c>
      <c r="L13" s="3">
        <v>80</v>
      </c>
      <c r="M13" s="4">
        <f t="shared" si="1"/>
        <v>2000</v>
      </c>
      <c r="O13" s="3">
        <v>80</v>
      </c>
    </row>
    <row r="14" spans="1:15" x14ac:dyDescent="0.3">
      <c r="A14" s="3">
        <v>11</v>
      </c>
      <c r="B14" s="7" t="s">
        <v>76</v>
      </c>
      <c r="C14" s="4">
        <v>20</v>
      </c>
      <c r="D14" s="3">
        <v>20</v>
      </c>
      <c r="E14" s="4">
        <f t="shared" si="0"/>
        <v>400</v>
      </c>
      <c r="G14" s="3">
        <v>15</v>
      </c>
      <c r="I14" s="3">
        <v>11</v>
      </c>
      <c r="J14" s="7" t="s">
        <v>76</v>
      </c>
      <c r="K14" s="4">
        <v>20</v>
      </c>
      <c r="L14" s="3">
        <v>15</v>
      </c>
      <c r="M14" s="4">
        <f t="shared" si="1"/>
        <v>300</v>
      </c>
      <c r="O14" s="3">
        <v>15</v>
      </c>
    </row>
    <row r="15" spans="1:15" x14ac:dyDescent="0.3">
      <c r="A15" s="3">
        <v>12</v>
      </c>
      <c r="B15" s="7" t="s">
        <v>69</v>
      </c>
      <c r="C15" s="4">
        <v>60</v>
      </c>
      <c r="D15" s="3">
        <v>10</v>
      </c>
      <c r="E15" s="4">
        <f t="shared" si="0"/>
        <v>600</v>
      </c>
      <c r="G15" s="3">
        <v>10</v>
      </c>
      <c r="I15" s="3">
        <v>12</v>
      </c>
      <c r="J15" s="7" t="s">
        <v>69</v>
      </c>
      <c r="K15" s="4">
        <v>60</v>
      </c>
      <c r="L15" s="3">
        <v>10</v>
      </c>
      <c r="M15" s="4">
        <f t="shared" si="1"/>
        <v>600</v>
      </c>
      <c r="O15" s="3">
        <v>10</v>
      </c>
    </row>
    <row r="16" spans="1:15" x14ac:dyDescent="0.3">
      <c r="A16" s="3">
        <v>13</v>
      </c>
      <c r="B16" s="7" t="s">
        <v>64</v>
      </c>
      <c r="C16" s="4">
        <v>700</v>
      </c>
      <c r="D16" s="3">
        <v>40</v>
      </c>
      <c r="E16" s="4">
        <f t="shared" si="0"/>
        <v>28000</v>
      </c>
      <c r="G16" s="3">
        <v>30</v>
      </c>
      <c r="I16" s="3">
        <v>13</v>
      </c>
      <c r="J16" s="7" t="s">
        <v>64</v>
      </c>
      <c r="K16" s="4">
        <v>700</v>
      </c>
      <c r="L16" s="3">
        <v>30</v>
      </c>
      <c r="M16" s="4">
        <f t="shared" si="1"/>
        <v>21000</v>
      </c>
      <c r="O16" s="3">
        <v>30</v>
      </c>
    </row>
    <row r="17" spans="1:15" x14ac:dyDescent="0.3">
      <c r="A17" s="3">
        <v>14</v>
      </c>
      <c r="B17" s="7" t="s">
        <v>57</v>
      </c>
      <c r="C17" s="4">
        <v>150</v>
      </c>
      <c r="D17" s="3">
        <v>25</v>
      </c>
      <c r="E17" s="4">
        <f t="shared" si="0"/>
        <v>3750</v>
      </c>
      <c r="G17" s="3">
        <v>20</v>
      </c>
      <c r="I17" s="3">
        <v>14</v>
      </c>
      <c r="J17" s="7" t="s">
        <v>57</v>
      </c>
      <c r="K17" s="4">
        <v>150</v>
      </c>
      <c r="L17" s="3">
        <v>20</v>
      </c>
      <c r="M17" s="4">
        <f t="shared" si="1"/>
        <v>3000</v>
      </c>
      <c r="O17" s="3">
        <v>20</v>
      </c>
    </row>
    <row r="18" spans="1:15" x14ac:dyDescent="0.3">
      <c r="A18" s="3">
        <v>15</v>
      </c>
      <c r="B18" s="7" t="s">
        <v>66</v>
      </c>
      <c r="C18" s="4">
        <v>15</v>
      </c>
      <c r="D18" s="3">
        <v>12</v>
      </c>
      <c r="E18" s="4">
        <f t="shared" si="0"/>
        <v>180</v>
      </c>
      <c r="G18" s="3">
        <v>10</v>
      </c>
      <c r="I18" s="3">
        <v>15</v>
      </c>
      <c r="J18" s="7" t="s">
        <v>66</v>
      </c>
      <c r="K18" s="4">
        <v>15</v>
      </c>
      <c r="L18" s="3">
        <v>10</v>
      </c>
      <c r="M18" s="4">
        <f t="shared" si="1"/>
        <v>150</v>
      </c>
      <c r="O18" s="3">
        <v>10</v>
      </c>
    </row>
    <row r="19" spans="1:15" x14ac:dyDescent="0.3">
      <c r="A19" s="3">
        <v>16</v>
      </c>
      <c r="B19" s="7" t="s">
        <v>53</v>
      </c>
      <c r="C19" s="4">
        <v>50</v>
      </c>
      <c r="D19" s="3">
        <v>15</v>
      </c>
      <c r="E19" s="4">
        <f t="shared" si="0"/>
        <v>750</v>
      </c>
      <c r="G19" s="3">
        <v>14</v>
      </c>
      <c r="I19" s="3">
        <v>16</v>
      </c>
      <c r="J19" s="7" t="s">
        <v>53</v>
      </c>
      <c r="K19" s="4">
        <v>50</v>
      </c>
      <c r="L19" s="3">
        <v>14</v>
      </c>
      <c r="M19" s="4">
        <f t="shared" si="1"/>
        <v>700</v>
      </c>
      <c r="O19" s="3">
        <v>14</v>
      </c>
    </row>
    <row r="20" spans="1:15" x14ac:dyDescent="0.3">
      <c r="A20" s="3">
        <v>17</v>
      </c>
      <c r="B20" s="7" t="s">
        <v>52</v>
      </c>
      <c r="C20" s="4">
        <v>500</v>
      </c>
      <c r="D20" s="3">
        <v>10</v>
      </c>
      <c r="E20" s="4">
        <f t="shared" si="0"/>
        <v>5000</v>
      </c>
      <c r="G20" s="3">
        <v>8</v>
      </c>
      <c r="I20" s="3">
        <v>17</v>
      </c>
      <c r="J20" s="7" t="s">
        <v>52</v>
      </c>
      <c r="K20" s="4">
        <v>500</v>
      </c>
      <c r="L20" s="3">
        <v>8</v>
      </c>
      <c r="M20" s="4">
        <f t="shared" si="1"/>
        <v>4000</v>
      </c>
      <c r="O20" s="3">
        <v>8</v>
      </c>
    </row>
    <row r="21" spans="1:15" x14ac:dyDescent="0.3">
      <c r="A21" s="3">
        <v>18</v>
      </c>
      <c r="B21" s="7" t="s">
        <v>49</v>
      </c>
      <c r="C21" s="4">
        <v>250</v>
      </c>
      <c r="D21" s="3">
        <v>50</v>
      </c>
      <c r="E21" s="4">
        <f t="shared" si="0"/>
        <v>12500</v>
      </c>
      <c r="G21" s="3">
        <v>45</v>
      </c>
      <c r="I21" s="3">
        <v>18</v>
      </c>
      <c r="J21" s="7" t="s">
        <v>49</v>
      </c>
      <c r="K21" s="4">
        <v>250</v>
      </c>
      <c r="L21" s="3">
        <v>45</v>
      </c>
      <c r="M21" s="4">
        <f t="shared" si="1"/>
        <v>11250</v>
      </c>
      <c r="O21" s="3">
        <v>45</v>
      </c>
    </row>
    <row r="22" spans="1:15" x14ac:dyDescent="0.3">
      <c r="A22" s="3">
        <v>19</v>
      </c>
      <c r="B22" s="7" t="s">
        <v>70</v>
      </c>
      <c r="C22" s="4">
        <v>250</v>
      </c>
      <c r="D22" s="3">
        <v>12</v>
      </c>
      <c r="E22" s="4">
        <f t="shared" si="0"/>
        <v>3000</v>
      </c>
      <c r="G22" s="3">
        <v>11</v>
      </c>
      <c r="I22" s="3">
        <v>19</v>
      </c>
      <c r="J22" s="7" t="s">
        <v>70</v>
      </c>
      <c r="K22" s="4">
        <v>250</v>
      </c>
      <c r="L22" s="3">
        <v>11</v>
      </c>
      <c r="M22" s="4">
        <f t="shared" si="1"/>
        <v>2750</v>
      </c>
      <c r="O22" s="3">
        <v>11</v>
      </c>
    </row>
    <row r="23" spans="1:15" x14ac:dyDescent="0.3">
      <c r="A23" s="3">
        <v>20</v>
      </c>
      <c r="B23" s="7" t="s">
        <v>54</v>
      </c>
      <c r="C23" s="4">
        <v>550</v>
      </c>
      <c r="D23" s="3">
        <v>3</v>
      </c>
      <c r="E23" s="4">
        <f t="shared" si="0"/>
        <v>1650</v>
      </c>
      <c r="G23" s="3">
        <v>1</v>
      </c>
      <c r="I23" s="3">
        <v>20</v>
      </c>
      <c r="J23" s="7" t="s">
        <v>54</v>
      </c>
      <c r="K23" s="4">
        <v>550</v>
      </c>
      <c r="L23" s="3">
        <v>1</v>
      </c>
      <c r="M23" s="4">
        <f t="shared" si="1"/>
        <v>550</v>
      </c>
      <c r="O23" s="3">
        <v>1</v>
      </c>
    </row>
    <row r="24" spans="1:15" x14ac:dyDescent="0.3">
      <c r="A24" s="3">
        <v>21</v>
      </c>
      <c r="B24" s="7" t="s">
        <v>63</v>
      </c>
      <c r="C24" s="4">
        <v>40</v>
      </c>
      <c r="D24" s="3">
        <v>30</v>
      </c>
      <c r="E24" s="4">
        <f t="shared" si="0"/>
        <v>1200</v>
      </c>
      <c r="G24" s="3">
        <v>25</v>
      </c>
      <c r="I24" s="3">
        <v>21</v>
      </c>
      <c r="J24" s="7" t="s">
        <v>63</v>
      </c>
      <c r="K24" s="4">
        <v>40</v>
      </c>
      <c r="L24" s="3">
        <v>25</v>
      </c>
      <c r="M24" s="4">
        <f t="shared" si="1"/>
        <v>1000</v>
      </c>
      <c r="O24" s="3">
        <v>25</v>
      </c>
    </row>
    <row r="25" spans="1:15" x14ac:dyDescent="0.3">
      <c r="A25" s="3">
        <v>22</v>
      </c>
      <c r="B25" s="7" t="s">
        <v>58</v>
      </c>
      <c r="C25" s="4">
        <v>100</v>
      </c>
      <c r="D25" s="3">
        <v>5</v>
      </c>
      <c r="E25" s="4">
        <f t="shared" si="0"/>
        <v>500</v>
      </c>
      <c r="G25" s="3">
        <v>4</v>
      </c>
      <c r="I25" s="3">
        <v>22</v>
      </c>
      <c r="J25" s="7" t="s">
        <v>58</v>
      </c>
      <c r="K25" s="4">
        <v>100</v>
      </c>
      <c r="L25" s="3">
        <v>4</v>
      </c>
      <c r="M25" s="4">
        <f t="shared" si="1"/>
        <v>400</v>
      </c>
      <c r="O25" s="3">
        <v>4</v>
      </c>
    </row>
    <row r="26" spans="1:15" x14ac:dyDescent="0.3">
      <c r="A26" s="3">
        <v>23</v>
      </c>
      <c r="B26" s="7" t="s">
        <v>74</v>
      </c>
      <c r="C26" s="4">
        <v>120</v>
      </c>
      <c r="D26" s="3">
        <v>50</v>
      </c>
      <c r="E26" s="4">
        <f t="shared" si="0"/>
        <v>6000</v>
      </c>
      <c r="G26" s="3">
        <v>47</v>
      </c>
      <c r="I26" s="3">
        <v>23</v>
      </c>
      <c r="J26" s="7" t="s">
        <v>74</v>
      </c>
      <c r="K26" s="4">
        <v>120</v>
      </c>
      <c r="L26" s="3">
        <v>47</v>
      </c>
      <c r="M26" s="4">
        <f t="shared" si="1"/>
        <v>5640</v>
      </c>
      <c r="O26" s="3">
        <v>47</v>
      </c>
    </row>
    <row r="27" spans="1:15" x14ac:dyDescent="0.3">
      <c r="A27" s="3">
        <v>24</v>
      </c>
      <c r="B27" s="7" t="s">
        <v>73</v>
      </c>
      <c r="C27" s="4">
        <v>800</v>
      </c>
      <c r="D27" s="3">
        <v>25</v>
      </c>
      <c r="E27" s="4">
        <f t="shared" si="0"/>
        <v>20000</v>
      </c>
      <c r="G27" s="3">
        <v>20</v>
      </c>
      <c r="I27" s="3">
        <v>24</v>
      </c>
      <c r="J27" s="7" t="s">
        <v>73</v>
      </c>
      <c r="K27" s="4">
        <v>800</v>
      </c>
      <c r="L27" s="3">
        <v>20</v>
      </c>
      <c r="M27" s="4">
        <f t="shared" si="1"/>
        <v>16000</v>
      </c>
      <c r="O27" s="3">
        <v>20</v>
      </c>
    </row>
    <row r="28" spans="1:15" x14ac:dyDescent="0.3">
      <c r="A28" s="3">
        <v>25</v>
      </c>
      <c r="B28" s="7" t="s">
        <v>71</v>
      </c>
      <c r="C28" s="4">
        <v>5000</v>
      </c>
      <c r="D28" s="3">
        <v>2</v>
      </c>
      <c r="E28" s="4">
        <f t="shared" si="0"/>
        <v>10000</v>
      </c>
      <c r="G28" s="3">
        <v>2</v>
      </c>
      <c r="I28" s="3">
        <v>25</v>
      </c>
      <c r="J28" s="7" t="s">
        <v>71</v>
      </c>
      <c r="K28" s="4">
        <v>5000</v>
      </c>
      <c r="L28" s="3">
        <v>2</v>
      </c>
      <c r="M28" s="4">
        <f t="shared" si="1"/>
        <v>10000</v>
      </c>
      <c r="O28" s="3">
        <v>2</v>
      </c>
    </row>
    <row r="29" spans="1:15" x14ac:dyDescent="0.3">
      <c r="A29" s="3">
        <v>26</v>
      </c>
      <c r="B29" s="7" t="s">
        <v>50</v>
      </c>
      <c r="C29" s="4">
        <v>150</v>
      </c>
      <c r="D29" s="3">
        <v>50</v>
      </c>
      <c r="E29" s="4">
        <f t="shared" si="0"/>
        <v>7500</v>
      </c>
      <c r="G29" s="3">
        <v>42</v>
      </c>
      <c r="I29" s="3">
        <v>26</v>
      </c>
      <c r="J29" s="7" t="s">
        <v>50</v>
      </c>
      <c r="K29" s="4">
        <v>150</v>
      </c>
      <c r="L29" s="3">
        <v>42</v>
      </c>
      <c r="M29" s="4">
        <f t="shared" si="1"/>
        <v>6300</v>
      </c>
      <c r="O29" s="3">
        <v>42</v>
      </c>
    </row>
    <row r="30" spans="1:15" x14ac:dyDescent="0.3">
      <c r="A30" s="3">
        <v>27</v>
      </c>
      <c r="B30" s="7" t="s">
        <v>67</v>
      </c>
      <c r="C30" s="4">
        <v>36</v>
      </c>
      <c r="D30" s="3">
        <v>5</v>
      </c>
      <c r="E30" s="4">
        <f t="shared" si="0"/>
        <v>180</v>
      </c>
      <c r="G30" s="3">
        <v>3</v>
      </c>
      <c r="I30" s="3">
        <v>27</v>
      </c>
      <c r="J30" s="7" t="s">
        <v>67</v>
      </c>
      <c r="K30" s="4">
        <v>36</v>
      </c>
      <c r="L30" s="3">
        <v>3</v>
      </c>
      <c r="M30" s="4">
        <f t="shared" si="1"/>
        <v>108</v>
      </c>
      <c r="O30" s="3">
        <v>3</v>
      </c>
    </row>
    <row r="31" spans="1:15" x14ac:dyDescent="0.3">
      <c r="A31" s="3">
        <v>28</v>
      </c>
      <c r="B31" s="7" t="s">
        <v>51</v>
      </c>
      <c r="C31" s="4">
        <v>15</v>
      </c>
      <c r="D31" s="3">
        <v>250</v>
      </c>
      <c r="E31" s="4">
        <f t="shared" si="0"/>
        <v>3750</v>
      </c>
      <c r="G31" s="3">
        <v>180</v>
      </c>
      <c r="I31" s="3">
        <v>28</v>
      </c>
      <c r="J31" s="7" t="s">
        <v>51</v>
      </c>
      <c r="K31" s="4">
        <v>15</v>
      </c>
      <c r="L31" s="3">
        <v>180</v>
      </c>
      <c r="M31" s="4">
        <f t="shared" si="1"/>
        <v>2700</v>
      </c>
      <c r="O31" s="3">
        <v>180</v>
      </c>
    </row>
    <row r="32" spans="1:15" x14ac:dyDescent="0.3">
      <c r="A32" s="3">
        <v>29</v>
      </c>
      <c r="B32" s="7" t="s">
        <v>65</v>
      </c>
      <c r="C32" s="4">
        <v>250</v>
      </c>
      <c r="D32" s="3">
        <v>8</v>
      </c>
      <c r="E32" s="4">
        <f t="shared" si="0"/>
        <v>2000</v>
      </c>
      <c r="G32" s="3">
        <v>5</v>
      </c>
      <c r="I32" s="3">
        <v>29</v>
      </c>
      <c r="J32" s="7" t="s">
        <v>65</v>
      </c>
      <c r="K32" s="4">
        <v>250</v>
      </c>
      <c r="L32" s="3">
        <v>5</v>
      </c>
      <c r="M32" s="4">
        <f t="shared" si="1"/>
        <v>1250</v>
      </c>
      <c r="O32" s="3">
        <v>5</v>
      </c>
    </row>
    <row r="33" spans="1:15" x14ac:dyDescent="0.3">
      <c r="A33" s="3">
        <v>30</v>
      </c>
      <c r="B33" s="7" t="s">
        <v>78</v>
      </c>
      <c r="C33" s="4">
        <v>35</v>
      </c>
      <c r="D33" s="3">
        <v>7</v>
      </c>
      <c r="E33" s="4">
        <f t="shared" si="0"/>
        <v>245</v>
      </c>
      <c r="G33" s="3">
        <v>4</v>
      </c>
      <c r="I33" s="3">
        <v>30</v>
      </c>
      <c r="J33" s="7" t="s">
        <v>78</v>
      </c>
      <c r="K33" s="4">
        <v>35</v>
      </c>
      <c r="L33" s="3">
        <v>4</v>
      </c>
      <c r="M33" s="4">
        <f t="shared" si="1"/>
        <v>140</v>
      </c>
      <c r="O33" s="3">
        <v>4</v>
      </c>
    </row>
    <row r="34" spans="1:15" x14ac:dyDescent="0.3">
      <c r="A34" s="11" t="s">
        <v>168</v>
      </c>
      <c r="C34" s="8">
        <f>SUM(C4:C33)</f>
        <v>29236</v>
      </c>
      <c r="D34" s="2">
        <f>SUM(D4:D33)</f>
        <v>841</v>
      </c>
      <c r="E34" s="8">
        <f>SUM(E4:E33)</f>
        <v>160365</v>
      </c>
      <c r="G34" s="110">
        <f>SUM(G4:G33)</f>
        <v>665</v>
      </c>
      <c r="I34" s="11" t="s">
        <v>168</v>
      </c>
      <c r="K34" s="8">
        <f>SUM(K4:K33)</f>
        <v>29236</v>
      </c>
      <c r="L34" s="112">
        <f>SUM(L4:L33)</f>
        <v>664.0236470588236</v>
      </c>
      <c r="M34" s="8">
        <f>SUM(M4:M33)</f>
        <v>120000</v>
      </c>
      <c r="O34" s="110">
        <f>SUM(O4:O33)</f>
        <v>665</v>
      </c>
    </row>
    <row r="35" spans="1:15" x14ac:dyDescent="0.3">
      <c r="A35" s="111" t="s">
        <v>169</v>
      </c>
      <c r="E35" s="109">
        <v>120000</v>
      </c>
      <c r="I35" s="111" t="s">
        <v>169</v>
      </c>
      <c r="M35" s="109">
        <v>120000</v>
      </c>
    </row>
  </sheetData>
  <mergeCells count="2">
    <mergeCell ref="A1:G2"/>
    <mergeCell ref="I1:O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14"/>
  <sheetViews>
    <sheetView zoomScale="85" zoomScaleNormal="85" workbookViewId="0">
      <selection activeCell="A5" sqref="A5"/>
    </sheetView>
  </sheetViews>
  <sheetFormatPr defaultRowHeight="14.4" x14ac:dyDescent="0.3"/>
  <cols>
    <col min="1" max="1" width="27.33203125" customWidth="1"/>
    <col min="2" max="2" width="16.44140625" bestFit="1" customWidth="1"/>
    <col min="3" max="3" width="11.44140625" bestFit="1" customWidth="1"/>
    <col min="4" max="4" width="17.33203125" bestFit="1" customWidth="1"/>
    <col min="5" max="5" width="14.109375" bestFit="1" customWidth="1"/>
    <col min="6" max="6" width="10.77734375" bestFit="1" customWidth="1"/>
  </cols>
  <sheetData>
    <row r="1" spans="1:3" ht="14.4" customHeight="1" x14ac:dyDescent="0.3">
      <c r="A1" s="135" t="s">
        <v>176</v>
      </c>
      <c r="B1" s="135"/>
      <c r="C1" s="135"/>
    </row>
    <row r="2" spans="1:3" ht="14.4" customHeight="1" x14ac:dyDescent="0.3">
      <c r="A2" s="135"/>
      <c r="B2" s="135"/>
      <c r="C2" s="135"/>
    </row>
    <row r="3" spans="1:3" x14ac:dyDescent="0.3">
      <c r="A3" s="117" t="s">
        <v>7</v>
      </c>
      <c r="B3" t="s">
        <v>174</v>
      </c>
    </row>
    <row r="5" spans="1:3" x14ac:dyDescent="0.3">
      <c r="A5" s="117" t="s">
        <v>175</v>
      </c>
      <c r="B5" s="117" t="s">
        <v>173</v>
      </c>
    </row>
    <row r="6" spans="1:3" x14ac:dyDescent="0.3">
      <c r="A6" s="117" t="s">
        <v>172</v>
      </c>
      <c r="B6" t="s">
        <v>45</v>
      </c>
      <c r="C6" t="s">
        <v>165</v>
      </c>
    </row>
    <row r="7" spans="1:3" x14ac:dyDescent="0.3">
      <c r="A7" s="118" t="s">
        <v>33</v>
      </c>
      <c r="B7" s="119">
        <v>20120</v>
      </c>
      <c r="C7" s="119">
        <v>20120</v>
      </c>
    </row>
    <row r="8" spans="1:3" x14ac:dyDescent="0.3">
      <c r="A8" s="118" t="s">
        <v>40</v>
      </c>
      <c r="B8" s="119">
        <v>7522.5</v>
      </c>
      <c r="C8" s="119">
        <v>7522.5</v>
      </c>
    </row>
    <row r="9" spans="1:3" x14ac:dyDescent="0.3">
      <c r="A9" s="118" t="s">
        <v>41</v>
      </c>
      <c r="B9" s="119">
        <v>185.4</v>
      </c>
      <c r="C9" s="119">
        <v>185.4</v>
      </c>
    </row>
    <row r="10" spans="1:3" x14ac:dyDescent="0.3">
      <c r="A10" s="118" t="s">
        <v>38</v>
      </c>
      <c r="B10" s="119">
        <v>245</v>
      </c>
      <c r="C10" s="119">
        <v>245</v>
      </c>
    </row>
    <row r="11" spans="1:3" x14ac:dyDescent="0.3">
      <c r="A11" s="118" t="s">
        <v>16</v>
      </c>
      <c r="B11" s="119">
        <v>600</v>
      </c>
      <c r="C11" s="119">
        <v>600</v>
      </c>
    </row>
    <row r="12" spans="1:3" x14ac:dyDescent="0.3">
      <c r="A12" s="118" t="s">
        <v>8</v>
      </c>
      <c r="B12" s="119">
        <v>5075</v>
      </c>
      <c r="C12" s="119">
        <v>5075</v>
      </c>
    </row>
    <row r="13" spans="1:3" x14ac:dyDescent="0.3">
      <c r="A13" s="118" t="s">
        <v>27</v>
      </c>
      <c r="B13" s="119">
        <v>28000</v>
      </c>
      <c r="C13" s="119">
        <v>28000</v>
      </c>
    </row>
    <row r="14" spans="1:3" x14ac:dyDescent="0.3">
      <c r="A14" s="118" t="s">
        <v>165</v>
      </c>
      <c r="B14" s="119">
        <v>61747.9</v>
      </c>
      <c r="C14" s="119">
        <v>61747.9</v>
      </c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Achizitii Recuzita </vt:lpstr>
      <vt:lpstr>Subtotaluri</vt:lpstr>
      <vt:lpstr>Financiar</vt:lpstr>
      <vt:lpstr>Raiting</vt:lpstr>
      <vt:lpstr>Profit</vt:lpstr>
      <vt:lpstr>Scenario Summary</vt:lpstr>
      <vt:lpstr>GoalSeek</vt:lpstr>
      <vt:lpstr>Solver</vt:lpstr>
      <vt:lpstr>Pivot 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2020-03-19T15:59:02Z</dcterms:modified>
</cp:coreProperties>
</file>