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EAD-code\"/>
    </mc:Choice>
  </mc:AlternateContent>
  <xr:revisionPtr revIDLastSave="0" documentId="13_ncr:1_{8679AF09-450F-4CA3-B625-8D26E6142122}" xr6:coauthVersionLast="47" xr6:coauthVersionMax="47" xr10:uidLastSave="{00000000-0000-0000-0000-000000000000}"/>
  <bookViews>
    <workbookView xWindow="-28920" yWindow="2505" windowWidth="29040" windowHeight="15720" activeTab="1" xr2:uid="{041516EC-A5F9-4303-AC75-48FED8EF4ECB}"/>
  </bookViews>
  <sheets>
    <sheet name="data_for_weight" sheetId="1" r:id="rId1"/>
    <sheet name="x_loca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21" i="2" s="1"/>
  <c r="C12" i="2"/>
  <c r="B2" i="2"/>
  <c r="C26" i="2"/>
  <c r="C25" i="2"/>
  <c r="B18" i="2"/>
  <c r="C18" i="2" s="1"/>
  <c r="B16" i="2"/>
  <c r="C16" i="2" s="1"/>
  <c r="C15" i="2"/>
  <c r="B15" i="2"/>
  <c r="C23" i="2"/>
  <c r="B11" i="2"/>
  <c r="C19" i="2"/>
  <c r="C20" i="2" s="1"/>
  <c r="B24" i="2"/>
  <c r="B18" i="1"/>
  <c r="B14" i="2"/>
  <c r="B17" i="1"/>
  <c r="B10" i="2"/>
  <c r="B8" i="2"/>
  <c r="H3" i="2"/>
  <c r="H2" i="2"/>
  <c r="D66" i="1"/>
  <c r="B66" i="1"/>
  <c r="D32" i="1"/>
  <c r="D13" i="1"/>
  <c r="B34" i="1"/>
  <c r="D50" i="1"/>
  <c r="B61" i="1"/>
  <c r="B63" i="1"/>
  <c r="B52" i="1"/>
  <c r="B29" i="1"/>
  <c r="B10" i="1"/>
  <c r="B3" i="1"/>
  <c r="B32" i="1"/>
  <c r="B26" i="1" s="1"/>
  <c r="D87" i="1"/>
  <c r="D2" i="1"/>
  <c r="B87" i="1"/>
  <c r="B70" i="1"/>
  <c r="B75" i="1"/>
  <c r="B100" i="1"/>
  <c r="B48" i="1"/>
  <c r="D39" i="1"/>
  <c r="B39" i="1" s="1"/>
  <c r="D67" i="1"/>
  <c r="B67" i="1" s="1"/>
  <c r="B50" i="1"/>
  <c r="D47" i="1"/>
  <c r="B68" i="1"/>
  <c r="B69" i="1"/>
  <c r="B14" i="1"/>
  <c r="D14" i="1" s="1"/>
  <c r="B47" i="1"/>
  <c r="D12" i="1"/>
  <c r="B6" i="1"/>
  <c r="B7" i="1"/>
  <c r="B8" i="1"/>
  <c r="B5" i="1"/>
  <c r="B65" i="1"/>
  <c r="D4" i="1"/>
  <c r="B4" i="1"/>
  <c r="B71" i="1"/>
  <c r="D56" i="1"/>
  <c r="B56" i="1"/>
  <c r="B20" i="1"/>
  <c r="B31" i="1"/>
  <c r="B28" i="1" s="1"/>
  <c r="D28" i="1" s="1"/>
  <c r="B33" i="1"/>
  <c r="B27" i="1"/>
  <c r="B38" i="1"/>
  <c r="B37" i="1"/>
  <c r="D27" i="1"/>
  <c r="B45" i="1"/>
  <c r="B43" i="1"/>
  <c r="B42" i="1"/>
  <c r="B49" i="1"/>
  <c r="B83" i="1" s="1"/>
  <c r="B46" i="1"/>
  <c r="B44" i="1"/>
  <c r="D36" i="1"/>
  <c r="D11" i="1"/>
  <c r="B41" i="1"/>
  <c r="B40" i="1"/>
  <c r="D97" i="1"/>
  <c r="D102" i="1" s="1"/>
  <c r="B97" i="1"/>
  <c r="B102" i="1" s="1"/>
  <c r="D72" i="1"/>
  <c r="B73" i="1"/>
  <c r="B98" i="1"/>
  <c r="D35" i="1"/>
  <c r="B35" i="1"/>
  <c r="D89" i="1"/>
  <c r="D88" i="1"/>
  <c r="D26" i="1"/>
  <c r="D21" i="1"/>
  <c r="D22" i="1"/>
  <c r="D23" i="1"/>
  <c r="D20" i="1" s="1"/>
  <c r="B20" i="2" l="1"/>
  <c r="C21" i="2"/>
  <c r="B19" i="2"/>
  <c r="C17" i="2"/>
  <c r="C14" i="2"/>
  <c r="C5" i="2"/>
  <c r="C10" i="2"/>
  <c r="C9" i="2"/>
  <c r="C8" i="2"/>
  <c r="C13" i="2"/>
  <c r="C6" i="2"/>
  <c r="C7" i="2"/>
  <c r="C4" i="2"/>
  <c r="C3" i="2"/>
  <c r="C22" i="2"/>
  <c r="B96" i="1"/>
  <c r="B36" i="1"/>
  <c r="D96" i="1"/>
  <c r="D80" i="1"/>
  <c r="D83" i="1"/>
  <c r="B78" i="1"/>
  <c r="D78" i="1" s="1"/>
  <c r="B80" i="1"/>
  <c r="D73" i="1"/>
</calcChain>
</file>

<file path=xl/sharedStrings.xml><?xml version="1.0" encoding="utf-8"?>
<sst xmlns="http://schemas.openxmlformats.org/spreadsheetml/2006/main" count="437" uniqueCount="245">
  <si>
    <t>item</t>
  </si>
  <si>
    <t>value</t>
  </si>
  <si>
    <t>units</t>
  </si>
  <si>
    <t>value_SI</t>
  </si>
  <si>
    <t>description</t>
  </si>
  <si>
    <t>conversion</t>
  </si>
  <si>
    <t>W_person</t>
  </si>
  <si>
    <t>lbs</t>
  </si>
  <si>
    <t>kg</t>
  </si>
  <si>
    <t>FAA standard person weight (incl carry-on baggage)</t>
  </si>
  <si>
    <t>kg-lbs</t>
  </si>
  <si>
    <t>W_l</t>
  </si>
  <si>
    <t>lb</t>
  </si>
  <si>
    <t>landing design gross weight</t>
  </si>
  <si>
    <t>m-in</t>
  </si>
  <si>
    <t>W_dg</t>
  </si>
  <si>
    <t>flight design gross weight</t>
  </si>
  <si>
    <t>slug-lbs</t>
  </si>
  <si>
    <t>W_mtow</t>
  </si>
  <si>
    <t>maximum takeoff wieght</t>
  </si>
  <si>
    <t>W_ramp</t>
  </si>
  <si>
    <t>max ramp weight</t>
  </si>
  <si>
    <t>W_min_flight</t>
  </si>
  <si>
    <t>minimum flight weight</t>
  </si>
  <si>
    <t>W_max_0fuel</t>
  </si>
  <si>
    <t>max 0 fuel weight</t>
  </si>
  <si>
    <t>W_max_pay</t>
  </si>
  <si>
    <t xml:space="preserve">max payload </t>
  </si>
  <si>
    <t>W_oew</t>
  </si>
  <si>
    <t>operating empty weight</t>
  </si>
  <si>
    <t>W_en</t>
  </si>
  <si>
    <t>engine weight (single)</t>
  </si>
  <si>
    <t>W_uav</t>
  </si>
  <si>
    <t>uninstalled avionics weight (typically = 800-1400lb)</t>
  </si>
  <si>
    <t>W_c</t>
  </si>
  <si>
    <t>maximum cargo weight</t>
  </si>
  <si>
    <t>W_ec</t>
  </si>
  <si>
    <t>see picture</t>
  </si>
  <si>
    <t>W_APU_uninstalled</t>
  </si>
  <si>
    <t>selft explanatory; Allied Signal RE 220 (RJ)</t>
  </si>
  <si>
    <t>W_seat</t>
  </si>
  <si>
    <t>weight of an aircraft seat</t>
  </si>
  <si>
    <t>W_aft_cargo</t>
  </si>
  <si>
    <t>W_front_cargo</t>
  </si>
  <si>
    <t> </t>
  </si>
  <si>
    <t>V_stall</t>
  </si>
  <si>
    <t>kts</t>
  </si>
  <si>
    <t>m/s</t>
  </si>
  <si>
    <t>stall speed</t>
  </si>
  <si>
    <t>V_cruise</t>
  </si>
  <si>
    <t>normal cruise speed</t>
  </si>
  <si>
    <t>V_cruise_max</t>
  </si>
  <si>
    <t>maximum cruise speed</t>
  </si>
  <si>
    <t>V_approach</t>
  </si>
  <si>
    <t>approach speed</t>
  </si>
  <si>
    <t>M_cruise</t>
  </si>
  <si>
    <t>[-]</t>
  </si>
  <si>
    <t>mach number cruise</t>
  </si>
  <si>
    <t>A</t>
  </si>
  <si>
    <t>aspect ratio</t>
  </si>
  <si>
    <t>A_h</t>
  </si>
  <si>
    <t>aspect ratio horizontal tail</t>
  </si>
  <si>
    <t>A_v</t>
  </si>
  <si>
    <t>aspect ratio vertical tail</t>
  </si>
  <si>
    <t>B_w</t>
  </si>
  <si>
    <t>ft</t>
  </si>
  <si>
    <t>m</t>
  </si>
  <si>
    <t>wingspan</t>
  </si>
  <si>
    <t>B_h</t>
  </si>
  <si>
    <t>horizontal tail span</t>
  </si>
  <si>
    <t>B_vt</t>
  </si>
  <si>
    <t>vertical tail span</t>
  </si>
  <si>
    <t>S_w</t>
  </si>
  <si>
    <t>ft^2</t>
  </si>
  <si>
    <t>m^2</t>
  </si>
  <si>
    <t>surface area main wing</t>
  </si>
  <si>
    <t>S_ht</t>
  </si>
  <si>
    <t>horizontal tail surface area</t>
  </si>
  <si>
    <t>S_vt</t>
  </si>
  <si>
    <t>vertical tail surface area</t>
  </si>
  <si>
    <t>sweep</t>
  </si>
  <si>
    <t>rad</t>
  </si>
  <si>
    <t>wing sweep at 25% of chord</t>
  </si>
  <si>
    <t>taper</t>
  </si>
  <si>
    <t>taper ratio</t>
  </si>
  <si>
    <t>sweep_ht</t>
  </si>
  <si>
    <t>deg</t>
  </si>
  <si>
    <t>horizontal tail wing sweep at 25% of chord</t>
  </si>
  <si>
    <t>sweep_vt</t>
  </si>
  <si>
    <t>vertical tail sweep at 25%chord</t>
  </si>
  <si>
    <t>t_root</t>
  </si>
  <si>
    <t>thickness root</t>
  </si>
  <si>
    <t>c_root</t>
  </si>
  <si>
    <t>chord root</t>
  </si>
  <si>
    <t>c_tip</t>
  </si>
  <si>
    <t>tip chord</t>
  </si>
  <si>
    <t>c_root_h</t>
  </si>
  <si>
    <t>horizontal tail root chord</t>
  </si>
  <si>
    <t>c_tip_h</t>
  </si>
  <si>
    <t>horizontal tail tip chord</t>
  </si>
  <si>
    <t>mac</t>
  </si>
  <si>
    <t>mean aerodynamic chord</t>
  </si>
  <si>
    <t>mac_h</t>
  </si>
  <si>
    <t>horizontal tail mac</t>
  </si>
  <si>
    <t>x_le_mac</t>
  </si>
  <si>
    <t>leading edge of mac</t>
  </si>
  <si>
    <t>S_csw</t>
  </si>
  <si>
    <t>control surface wing area</t>
  </si>
  <si>
    <t>S_e</t>
  </si>
  <si>
    <t>elevator area</t>
  </si>
  <si>
    <t>L_t</t>
  </si>
  <si>
    <t>tail length c/4 mac wing &lt;-&gt; c/4 mac tail</t>
  </si>
  <si>
    <t>S_cs</t>
  </si>
  <si>
    <t>total area of control surfaces</t>
  </si>
  <si>
    <t>L_m</t>
  </si>
  <si>
    <t>in</t>
  </si>
  <si>
    <t>length of main landing gear</t>
  </si>
  <si>
    <t>N_mw</t>
  </si>
  <si>
    <t>number of main wheels</t>
  </si>
  <si>
    <t>K_np</t>
  </si>
  <si>
    <t>kneeling landing gear? (nose)</t>
  </si>
  <si>
    <t>N_nw</t>
  </si>
  <si>
    <t>number of nose wheels</t>
  </si>
  <si>
    <t>N_l</t>
  </si>
  <si>
    <t>ultimate landing load factor (N_gear * 1.5)</t>
  </si>
  <si>
    <t>N_gear</t>
  </si>
  <si>
    <t>number of gears</t>
  </si>
  <si>
    <t>N_mss</t>
  </si>
  <si>
    <t>number of main gear shocks</t>
  </si>
  <si>
    <t>K_Lg</t>
  </si>
  <si>
    <t>wing mounted gear = 1.0</t>
  </si>
  <si>
    <t>K_mp</t>
  </si>
  <si>
    <t>1 for kneeling gear? main gear</t>
  </si>
  <si>
    <t>L_n</t>
  </si>
  <si>
    <t>nose gear length</t>
  </si>
  <si>
    <t>F_w</t>
  </si>
  <si>
    <t>fuselage width at horizontal tail intersection</t>
  </si>
  <si>
    <t>L</t>
  </si>
  <si>
    <t>fuselage structural length (excludes radome, tail cap)</t>
  </si>
  <si>
    <t>D</t>
  </si>
  <si>
    <t>fuselage structural depth</t>
  </si>
  <si>
    <t>S_f</t>
  </si>
  <si>
    <t>fuselage wetted area</t>
  </si>
  <si>
    <t>L_ec</t>
  </si>
  <si>
    <t>length from engine front to cockpit</t>
  </si>
  <si>
    <t>N_Lt</t>
  </si>
  <si>
    <t>nacelle length</t>
  </si>
  <si>
    <t>N_w</t>
  </si>
  <si>
    <t>nacelle width</t>
  </si>
  <si>
    <t>S_n</t>
  </si>
  <si>
    <t>nacelle wetted area</t>
  </si>
  <si>
    <t>V_pr</t>
  </si>
  <si>
    <t>ft^3</t>
  </si>
  <si>
    <t>m^3</t>
  </si>
  <si>
    <t>volume of pressurized section</t>
  </si>
  <si>
    <t>V_cargo_aft</t>
  </si>
  <si>
    <t>volume of aft cargo hold</t>
  </si>
  <si>
    <t>V_cargo_forward</t>
  </si>
  <si>
    <t>K_ng</t>
  </si>
  <si>
    <t>pylon-mounted nacelle 1.0 if not</t>
  </si>
  <si>
    <t>L_plane</t>
  </si>
  <si>
    <t>total length of plane</t>
  </si>
  <si>
    <t>K_uht</t>
  </si>
  <si>
    <t>1.0 for standart tail (not all moving)</t>
  </si>
  <si>
    <t>K_z</t>
  </si>
  <si>
    <t>aircraft yawing radius of gyration, mas o menos L_t</t>
  </si>
  <si>
    <t>K_door</t>
  </si>
  <si>
    <t>K_ws</t>
  </si>
  <si>
    <t>K_r</t>
  </si>
  <si>
    <t>1 for jet engines</t>
  </si>
  <si>
    <t>K_tp</t>
  </si>
  <si>
    <t>K_y</t>
  </si>
  <si>
    <t>aircraft pitching radius of gyration, mas o menos 0.3* L_t</t>
  </si>
  <si>
    <t>K_p</t>
  </si>
  <si>
    <t>1.0 for engine without propeller</t>
  </si>
  <si>
    <t>K_tr</t>
  </si>
  <si>
    <t>1.0 for no thrust reversers</t>
  </si>
  <si>
    <t>N_z</t>
  </si>
  <si>
    <t>ultimate load factor (1.5 x limit load factor)</t>
  </si>
  <si>
    <t>rho_cargo</t>
  </si>
  <si>
    <t>lbs/ft^3</t>
  </si>
  <si>
    <t>kg/m^3</t>
  </si>
  <si>
    <t>cargo density</t>
  </si>
  <si>
    <t>H_t/H_v</t>
  </si>
  <si>
    <t>1 for T tail</t>
  </si>
  <si>
    <t>N_en</t>
  </si>
  <si>
    <t>number of engines</t>
  </si>
  <si>
    <t>V_t</t>
  </si>
  <si>
    <t>gal</t>
  </si>
  <si>
    <t>total fuel volume</t>
  </si>
  <si>
    <t>V_i</t>
  </si>
  <si>
    <t>integral fuel tank</t>
  </si>
  <si>
    <t>V_p</t>
  </si>
  <si>
    <t>self sealing "protected" tanks volume</t>
  </si>
  <si>
    <t>N_f</t>
  </si>
  <si>
    <t>number of functions performed by controls (4-7)</t>
  </si>
  <si>
    <t>N_m</t>
  </si>
  <si>
    <t>number of mechanical functions (0-2)</t>
  </si>
  <si>
    <t>I_y</t>
  </si>
  <si>
    <t>lb.ft^2</t>
  </si>
  <si>
    <t>kg.m^2</t>
  </si>
  <si>
    <t>yawing moment of inertia (see chapter.16 of raymer)</t>
  </si>
  <si>
    <t>N_c</t>
  </si>
  <si>
    <t>number of crew (2 pilots, 3 cabin crew)</t>
  </si>
  <si>
    <t>L_f</t>
  </si>
  <si>
    <t>total fuselage length</t>
  </si>
  <si>
    <t>R_kva</t>
  </si>
  <si>
    <t>kv.A</t>
  </si>
  <si>
    <t>L_a</t>
  </si>
  <si>
    <t>electrical routing distance, generators to aviaoncs to cockpit</t>
  </si>
  <si>
    <t>N_gen</t>
  </si>
  <si>
    <t>number of generatores (typically = N_en)</t>
  </si>
  <si>
    <t>N_p</t>
  </si>
  <si>
    <t>number of personnel onboard (crew and passengers)</t>
  </si>
  <si>
    <t>N_t</t>
  </si>
  <si>
    <t>number of fuel tanks - check later</t>
  </si>
  <si>
    <t>R_z</t>
  </si>
  <si>
    <t xml:space="preserve">nondim radii of gyration </t>
  </si>
  <si>
    <t>R_y</t>
  </si>
  <si>
    <t>Item</t>
  </si>
  <si>
    <t>x_cg (from the nose) [m]</t>
  </si>
  <si>
    <t>x_cg/mac [-]</t>
  </si>
  <si>
    <t>W_wing</t>
  </si>
  <si>
    <t>x_lemac</t>
  </si>
  <si>
    <t>W_hor_tail</t>
  </si>
  <si>
    <t>W_ver_tail</t>
  </si>
  <si>
    <t>W_fus</t>
  </si>
  <si>
    <t>W_main_gear</t>
  </si>
  <si>
    <t>W_nose_gear</t>
  </si>
  <si>
    <t>W_nacelle</t>
  </si>
  <si>
    <t>W_engine_controls</t>
  </si>
  <si>
    <t>W_starter</t>
  </si>
  <si>
    <t>W_fuel_sys</t>
  </si>
  <si>
    <t>W_flight_controls</t>
  </si>
  <si>
    <t>W_APU_installed</t>
  </si>
  <si>
    <t>W_instruments</t>
  </si>
  <si>
    <t>W_hydraulics</t>
  </si>
  <si>
    <t>W_electrical</t>
  </si>
  <si>
    <t>W_avionics</t>
  </si>
  <si>
    <t>W_furnishings</t>
  </si>
  <si>
    <t>W_air_conditioning</t>
  </si>
  <si>
    <t>W_anti-ice</t>
  </si>
  <si>
    <t>W_handling_gear</t>
  </si>
  <si>
    <t>W_crew</t>
  </si>
  <si>
    <t>W_seats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</si>
</sst>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9C0006"/>
      <name val="Calibri"/>
      <scheme val="minor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D9DD"/>
        <bgColor indexed="64"/>
      </patternFill>
    </fill>
    <fill>
      <patternFill patternType="solid">
        <fgColor rgb="FFEEE6FF"/>
        <bgColor indexed="64"/>
      </patternFill>
    </fill>
    <fill>
      <patternFill patternType="solid">
        <fgColor rgb="FFFFDEFB"/>
        <bgColor indexed="64"/>
      </patternFill>
    </fill>
    <fill>
      <patternFill patternType="solid">
        <fgColor rgb="FFFFD9DD"/>
        <bgColor rgb="FF000000"/>
      </patternFill>
    </fill>
  </fills>
  <borders count="6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4" borderId="1" xfId="3" applyBorder="1"/>
    <xf numFmtId="0" fontId="1" fillId="5" borderId="1" xfId="4" applyBorder="1"/>
    <xf numFmtId="0" fontId="1" fillId="7" borderId="1" xfId="6" applyBorder="1"/>
    <xf numFmtId="0" fontId="1" fillId="6" borderId="1" xfId="5" applyBorder="1"/>
    <xf numFmtId="0" fontId="5" fillId="8" borderId="1" xfId="1" applyFont="1" applyFill="1" applyBorder="1"/>
    <xf numFmtId="0" fontId="0" fillId="9" borderId="1" xfId="2" applyFont="1" applyFill="1" applyBorder="1"/>
    <xf numFmtId="0" fontId="3" fillId="10" borderId="1" xfId="0" applyFont="1" applyFill="1" applyBorder="1"/>
    <xf numFmtId="0" fontId="4" fillId="10" borderId="1" xfId="0" applyFont="1" applyFill="1" applyBorder="1"/>
    <xf numFmtId="0" fontId="0" fillId="10" borderId="1" xfId="0" applyFill="1" applyBorder="1"/>
    <xf numFmtId="0" fontId="6" fillId="11" borderId="1" xfId="0" applyFont="1" applyFill="1" applyBorder="1" applyAlignment="1"/>
    <xf numFmtId="0" fontId="6" fillId="11" borderId="2" xfId="0" applyFont="1" applyFill="1" applyBorder="1" applyAlignment="1"/>
    <xf numFmtId="0" fontId="7" fillId="11" borderId="1" xfId="0" applyFont="1" applyFill="1" applyBorder="1"/>
    <xf numFmtId="0" fontId="7" fillId="11" borderId="2" xfId="0" applyFont="1" applyFill="1" applyBorder="1"/>
    <xf numFmtId="0" fontId="7" fillId="0" borderId="0" xfId="0" applyFont="1"/>
    <xf numFmtId="0" fontId="6" fillId="8" borderId="2" xfId="0" applyFont="1" applyFill="1" applyBorder="1" applyAlignment="1"/>
    <xf numFmtId="0" fontId="3" fillId="8" borderId="1" xfId="0" applyFont="1" applyFill="1" applyBorder="1"/>
    <xf numFmtId="0" fontId="7" fillId="8" borderId="3" xfId="0" applyFont="1" applyFill="1" applyBorder="1"/>
    <xf numFmtId="0" fontId="7" fillId="0" borderId="3" xfId="0" applyFont="1" applyBorder="1"/>
    <xf numFmtId="0" fontId="7" fillId="8" borderId="4" xfId="0" applyFont="1" applyFill="1" applyBorder="1"/>
    <xf numFmtId="0" fontId="7" fillId="8" borderId="5" xfId="0" applyFont="1" applyFill="1" applyBorder="1"/>
    <xf numFmtId="0" fontId="0" fillId="8" borderId="0" xfId="0" applyFill="1"/>
  </cellXfs>
  <cellStyles count="7">
    <cellStyle name="20% - Accent2" xfId="3" builtinId="34"/>
    <cellStyle name="20% - Accent4" xfId="4" builtinId="42"/>
    <cellStyle name="20% - Accent5" xfId="5" builtinId="46"/>
    <cellStyle name="20% - Accent6" xfId="6" builtinId="50"/>
    <cellStyle name="40% - Accent1" xfId="2" builtinId="31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E953-68A8-4324-8A54-A0164763E493}">
  <dimension ref="A1:U112"/>
  <sheetViews>
    <sheetView workbookViewId="0">
      <selection activeCell="A19" sqref="A19"/>
    </sheetView>
  </sheetViews>
  <sheetFormatPr defaultColWidth="9.109375" defaultRowHeight="14.4" x14ac:dyDescent="0.3"/>
  <cols>
    <col min="1" max="1" width="18.88671875" style="1" bestFit="1" customWidth="1"/>
    <col min="2" max="2" width="16.33203125" style="1" customWidth="1"/>
    <col min="3" max="3" width="9.109375" style="1"/>
    <col min="4" max="4" width="14.88671875" style="1" customWidth="1"/>
    <col min="5" max="5" width="9.109375" style="1"/>
    <col min="6" max="6" width="55.6640625" style="1" customWidth="1"/>
    <col min="7" max="7" width="9.109375" style="1"/>
    <col min="8" max="8" width="10.6640625" style="1" customWidth="1"/>
    <col min="9" max="9" width="10.6640625" style="1" bestFit="1" customWidth="1"/>
    <col min="10" max="16384" width="9.109375" style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/>
      <c r="H1" t="s">
        <v>5</v>
      </c>
      <c r="I1" s="2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3">
      <c r="A2" s="7" t="s">
        <v>6</v>
      </c>
      <c r="B2" s="7">
        <v>195</v>
      </c>
      <c r="C2" s="7" t="s">
        <v>7</v>
      </c>
      <c r="D2" s="7">
        <f>B2*0.45359237</f>
        <v>88.450512150000009</v>
      </c>
      <c r="E2" s="7" t="s">
        <v>8</v>
      </c>
      <c r="F2" s="7" t="s">
        <v>9</v>
      </c>
      <c r="G2" s="2"/>
      <c r="H2" s="18" t="s">
        <v>10</v>
      </c>
      <c r="I2" s="18">
        <v>2.2046199999999998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3">
      <c r="A3" s="7" t="s">
        <v>11</v>
      </c>
      <c r="B3" s="7">
        <f>D3*$I$2</f>
        <v>81500.392159999989</v>
      </c>
      <c r="C3" s="7" t="s">
        <v>12</v>
      </c>
      <c r="D3" s="7">
        <v>36968</v>
      </c>
      <c r="E3" s="7" t="s">
        <v>8</v>
      </c>
      <c r="F3" s="7" t="s">
        <v>13</v>
      </c>
      <c r="G3" s="2"/>
      <c r="H3" s="18" t="s">
        <v>14</v>
      </c>
      <c r="I3" s="18">
        <v>39.370100000000001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3">
      <c r="A4" s="7" t="s">
        <v>15</v>
      </c>
      <c r="B4" s="7">
        <f>B5</f>
        <v>91800.376799999998</v>
      </c>
      <c r="C4" s="7" t="s">
        <v>12</v>
      </c>
      <c r="D4" s="7">
        <f>D5</f>
        <v>41640</v>
      </c>
      <c r="E4" s="7" t="s">
        <v>8</v>
      </c>
      <c r="F4" s="7" t="s">
        <v>16</v>
      </c>
      <c r="G4" s="2"/>
      <c r="H4" s="18" t="s">
        <v>17</v>
      </c>
      <c r="I4" s="18">
        <v>32.173999999999999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7" t="s">
        <v>18</v>
      </c>
      <c r="B5" s="7">
        <f>D5*$I$2</f>
        <v>91800.376799999998</v>
      </c>
      <c r="C5" s="7" t="s">
        <v>12</v>
      </c>
      <c r="D5" s="7">
        <v>41640</v>
      </c>
      <c r="E5" s="7" t="s">
        <v>8</v>
      </c>
      <c r="F5" s="7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7" t="s">
        <v>20</v>
      </c>
      <c r="B6" s="7">
        <f>D6*$I$2</f>
        <v>92300.825539999991</v>
      </c>
      <c r="C6" s="7" t="s">
        <v>12</v>
      </c>
      <c r="D6" s="7">
        <v>41867</v>
      </c>
      <c r="E6" s="7" t="s">
        <v>8</v>
      </c>
      <c r="F6" s="7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7" t="s">
        <v>22</v>
      </c>
      <c r="B7" s="7">
        <f>D7*$I$2</f>
        <v>50999.474459999998</v>
      </c>
      <c r="C7" s="7" t="s">
        <v>12</v>
      </c>
      <c r="D7" s="7">
        <v>23133</v>
      </c>
      <c r="E7" s="7" t="s">
        <v>8</v>
      </c>
      <c r="F7" s="7" t="s">
        <v>23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7" t="s">
        <v>24</v>
      </c>
      <c r="B8" s="7">
        <f>D8*$I$2</f>
        <v>77499.006859999994</v>
      </c>
      <c r="C8" s="7" t="s">
        <v>12</v>
      </c>
      <c r="D8" s="7">
        <v>35153</v>
      </c>
      <c r="E8" s="7" t="s">
        <v>8</v>
      </c>
      <c r="F8" s="7" t="s">
        <v>25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7" t="s">
        <v>26</v>
      </c>
      <c r="B9" s="7">
        <v>26380</v>
      </c>
      <c r="C9" s="7" t="s">
        <v>12</v>
      </c>
      <c r="D9" s="7">
        <v>11966</v>
      </c>
      <c r="E9" s="7" t="s">
        <v>8</v>
      </c>
      <c r="F9" s="7" t="s">
        <v>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7" t="s">
        <v>28</v>
      </c>
      <c r="B10" s="7">
        <f>D10*$I$2</f>
        <v>51120.728559999996</v>
      </c>
      <c r="C10" s="7" t="s">
        <v>12</v>
      </c>
      <c r="D10" s="7">
        <v>23188</v>
      </c>
      <c r="E10" s="7" t="s">
        <v>8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7" t="s">
        <v>30</v>
      </c>
      <c r="B11" s="7">
        <v>2425</v>
      </c>
      <c r="C11" s="7" t="s">
        <v>12</v>
      </c>
      <c r="D11" s="7">
        <f>B11*0.45359237</f>
        <v>1099.9614972500001</v>
      </c>
      <c r="E11" s="7" t="s">
        <v>8</v>
      </c>
      <c r="F11" s="7" t="s">
        <v>31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7" t="s">
        <v>32</v>
      </c>
      <c r="B12" s="7">
        <v>1200</v>
      </c>
      <c r="C12" s="7" t="s">
        <v>12</v>
      </c>
      <c r="D12" s="7">
        <f>B12*0.45359237</f>
        <v>544.31084399999997</v>
      </c>
      <c r="E12" s="7" t="s">
        <v>8</v>
      </c>
      <c r="F12" s="7" t="s">
        <v>33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7" t="s">
        <v>34</v>
      </c>
      <c r="B13" s="7">
        <v>7180</v>
      </c>
      <c r="C13" s="7" t="s">
        <v>12</v>
      </c>
      <c r="D13" s="7">
        <f>B13*0.45359237</f>
        <v>3256.7932166000001</v>
      </c>
      <c r="E13" s="7" t="s">
        <v>8</v>
      </c>
      <c r="F13" s="7" t="s">
        <v>35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7" t="s">
        <v>36</v>
      </c>
      <c r="B14" s="7">
        <f>2.331*(B11^0.901)*B84*B85</f>
        <v>2613.1693393078172</v>
      </c>
      <c r="C14" s="7" t="s">
        <v>12</v>
      </c>
      <c r="D14" s="7">
        <f>B14*0.45359237</f>
        <v>1185.313673827967</v>
      </c>
      <c r="E14" s="7" t="s">
        <v>8</v>
      </c>
      <c r="F14" s="7" t="s">
        <v>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7" t="s">
        <v>38</v>
      </c>
      <c r="B15" s="7">
        <v>238</v>
      </c>
      <c r="C15" s="7" t="s">
        <v>12</v>
      </c>
      <c r="D15" s="7">
        <v>108</v>
      </c>
      <c r="E15" s="7" t="s">
        <v>8</v>
      </c>
      <c r="F15" s="7" t="s">
        <v>39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12" t="s">
        <v>40</v>
      </c>
      <c r="B16" s="13">
        <v>26.455439999999999</v>
      </c>
      <c r="C16" s="13" t="s">
        <v>12</v>
      </c>
      <c r="D16" s="13">
        <v>12</v>
      </c>
      <c r="E16" s="13" t="s">
        <v>8</v>
      </c>
      <c r="F16" s="17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12" t="s">
        <v>42</v>
      </c>
      <c r="B17" s="13">
        <f>D17*I2</f>
        <v>3575.8715937999996</v>
      </c>
      <c r="C17" s="13" t="s">
        <v>12</v>
      </c>
      <c r="D17" s="13">
        <v>1621.99</v>
      </c>
      <c r="E17" s="13" t="s">
        <v>8</v>
      </c>
      <c r="F17" s="1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12" t="s">
        <v>43</v>
      </c>
      <c r="B18" s="13">
        <f>D18*I2</f>
        <v>1306.8325973999999</v>
      </c>
      <c r="C18" s="13" t="s">
        <v>12</v>
      </c>
      <c r="D18" s="13">
        <v>592.77</v>
      </c>
      <c r="E18" s="13" t="s">
        <v>8</v>
      </c>
      <c r="F18" s="1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14"/>
      <c r="B19" s="15"/>
      <c r="C19" s="15"/>
      <c r="D19" s="15"/>
      <c r="E19" s="15"/>
      <c r="F19" s="15" t="s">
        <v>44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3" t="s">
        <v>45</v>
      </c>
      <c r="B20" s="3">
        <f>B23/1.3</f>
        <v>96.92307692307692</v>
      </c>
      <c r="C20" s="3" t="s">
        <v>46</v>
      </c>
      <c r="D20" s="3">
        <f>D23/1.3</f>
        <v>49.861538418461542</v>
      </c>
      <c r="E20" s="3" t="s">
        <v>47</v>
      </c>
      <c r="F20" s="3" t="s">
        <v>48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3" t="s">
        <v>49</v>
      </c>
      <c r="B21" s="3">
        <v>447</v>
      </c>
      <c r="C21" s="3" t="s">
        <v>46</v>
      </c>
      <c r="D21" s="3">
        <f>B21*0.514444444</f>
        <v>229.95666646800001</v>
      </c>
      <c r="E21" s="3" t="s">
        <v>47</v>
      </c>
      <c r="F21" s="3" t="s">
        <v>50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3" t="s">
        <v>51</v>
      </c>
      <c r="B22" s="3">
        <v>470</v>
      </c>
      <c r="C22" s="3" t="s">
        <v>46</v>
      </c>
      <c r="D22" s="3">
        <f>B22*0.514444444</f>
        <v>241.78888868000001</v>
      </c>
      <c r="E22" s="3" t="s">
        <v>47</v>
      </c>
      <c r="F22" s="3" t="s">
        <v>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3" t="s">
        <v>53</v>
      </c>
      <c r="B23" s="3">
        <v>126</v>
      </c>
      <c r="C23" s="3" t="s">
        <v>46</v>
      </c>
      <c r="D23" s="3">
        <f>B23*0.514444444</f>
        <v>64.819999944000003</v>
      </c>
      <c r="E23" s="3" t="s">
        <v>47</v>
      </c>
      <c r="F23" s="3" t="s">
        <v>54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3" t="s">
        <v>55</v>
      </c>
      <c r="B24" s="3">
        <v>0.78</v>
      </c>
      <c r="C24" s="3" t="s">
        <v>56</v>
      </c>
      <c r="D24" s="3">
        <v>0.78</v>
      </c>
      <c r="E24" s="3" t="s">
        <v>56</v>
      </c>
      <c r="F24" s="3" t="s">
        <v>57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4" t="s">
        <v>58</v>
      </c>
      <c r="B26" s="4">
        <f>B29^2/B32</f>
        <v>8.8495787569453412</v>
      </c>
      <c r="C26" s="4" t="s">
        <v>56</v>
      </c>
      <c r="D26" s="4">
        <f>(D29^2)/D32</f>
        <v>8.849578756945343</v>
      </c>
      <c r="E26" s="4" t="s">
        <v>56</v>
      </c>
      <c r="F26" s="4" t="s">
        <v>59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4" t="s">
        <v>60</v>
      </c>
      <c r="B27" s="4">
        <f>(B30^2)/B33</f>
        <v>4.5780001972708106</v>
      </c>
      <c r="C27" s="4" t="s">
        <v>56</v>
      </c>
      <c r="D27" s="4">
        <f>(D30^2)/D33</f>
        <v>4.5840100565681956</v>
      </c>
      <c r="E27" s="4" t="s">
        <v>56</v>
      </c>
      <c r="F27" s="4" t="s">
        <v>61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4" t="s">
        <v>62</v>
      </c>
      <c r="B28" s="4">
        <f>(B31*2)/B34</f>
        <v>0.16489356865395538</v>
      </c>
      <c r="C28" s="4" t="s">
        <v>56</v>
      </c>
      <c r="D28" s="4">
        <f>B28</f>
        <v>0.16489356865395538</v>
      </c>
      <c r="E28" s="4" t="s">
        <v>56</v>
      </c>
      <c r="F28" s="4" t="s">
        <v>63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4" t="s">
        <v>64</v>
      </c>
      <c r="B29" s="4">
        <f>D29*3.2808399</f>
        <v>85.859580183000006</v>
      </c>
      <c r="C29" s="4" t="s">
        <v>65</v>
      </c>
      <c r="D29" s="4">
        <v>26.17</v>
      </c>
      <c r="E29" s="4" t="s">
        <v>66</v>
      </c>
      <c r="F29" s="4" t="s">
        <v>67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4" t="s">
        <v>68</v>
      </c>
      <c r="B30" s="4">
        <v>28</v>
      </c>
      <c r="C30" s="4" t="s">
        <v>65</v>
      </c>
      <c r="D30" s="4">
        <v>8.5399999999999991</v>
      </c>
      <c r="E30" s="4" t="s">
        <v>66</v>
      </c>
      <c r="F30" s="4" t="s">
        <v>69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">
      <c r="A31" s="4" t="s">
        <v>70</v>
      </c>
      <c r="B31" s="4">
        <f>D31*3.2808399</f>
        <v>10.0459317738</v>
      </c>
      <c r="C31" s="4" t="s">
        <v>65</v>
      </c>
      <c r="D31" s="4">
        <v>3.0619999999999998</v>
      </c>
      <c r="E31" s="4" t="s">
        <v>66</v>
      </c>
      <c r="F31" s="4" t="s">
        <v>71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">
      <c r="A32" s="4" t="s">
        <v>72</v>
      </c>
      <c r="B32" s="4">
        <f>D32*3.2808399*3.2808399</f>
        <v>833.01902968154332</v>
      </c>
      <c r="C32" s="4" t="s">
        <v>73</v>
      </c>
      <c r="D32" s="4">
        <f>77.39</f>
        <v>77.39</v>
      </c>
      <c r="E32" s="4" t="s">
        <v>74</v>
      </c>
      <c r="F32" s="4" t="s">
        <v>75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">
      <c r="A33" s="4" t="s">
        <v>76</v>
      </c>
      <c r="B33" s="4">
        <f>D33*3.2808399^2</f>
        <v>171.2538152504633</v>
      </c>
      <c r="C33" s="4" t="s">
        <v>73</v>
      </c>
      <c r="D33" s="4">
        <v>15.91</v>
      </c>
      <c r="E33" s="4" t="s">
        <v>74</v>
      </c>
      <c r="F33" s="4" t="s">
        <v>77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4" t="s">
        <v>78</v>
      </c>
      <c r="B34" s="4">
        <f>D34*3.2808399^2</f>
        <v>121.84746628757037</v>
      </c>
      <c r="C34" s="4" t="s">
        <v>73</v>
      </c>
      <c r="D34" s="4">
        <v>11.32</v>
      </c>
      <c r="E34" s="4" t="s">
        <v>74</v>
      </c>
      <c r="F34" s="4" t="s">
        <v>79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4" t="s">
        <v>80</v>
      </c>
      <c r="B35" s="4">
        <f>26.9*(1/180)*PI()</f>
        <v>0.46949356878647464</v>
      </c>
      <c r="C35" s="4" t="s">
        <v>81</v>
      </c>
      <c r="D35" s="4">
        <f>26.9*(1/180)*PI()</f>
        <v>0.46949356878647464</v>
      </c>
      <c r="E35" s="4" t="s">
        <v>81</v>
      </c>
      <c r="F35" s="4" t="s">
        <v>82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4" t="s">
        <v>83</v>
      </c>
      <c r="B36" s="4">
        <f>B41/B40</f>
        <v>0.15944103612815266</v>
      </c>
      <c r="C36" s="4" t="s">
        <v>56</v>
      </c>
      <c r="D36" s="4">
        <f>D41/D40</f>
        <v>0.15944103612815269</v>
      </c>
      <c r="E36" s="4" t="s">
        <v>56</v>
      </c>
      <c r="F36" s="4" t="s">
        <v>84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4" t="s">
        <v>85</v>
      </c>
      <c r="B37" s="4">
        <f>D37*PI()/180</f>
        <v>0.49916416607037828</v>
      </c>
      <c r="C37" s="4" t="s">
        <v>81</v>
      </c>
      <c r="D37" s="4">
        <v>28.6</v>
      </c>
      <c r="E37" s="4" t="s">
        <v>86</v>
      </c>
      <c r="F37" s="4" t="s">
        <v>87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">
      <c r="A38" s="4" t="s">
        <v>88</v>
      </c>
      <c r="B38" s="4">
        <f>D38*PI()/180</f>
        <v>0.67718774977379981</v>
      </c>
      <c r="C38" s="4" t="s">
        <v>81</v>
      </c>
      <c r="D38" s="4">
        <v>38.799999999999997</v>
      </c>
      <c r="E38" s="4" t="s">
        <v>86</v>
      </c>
      <c r="F38" s="4" t="s">
        <v>89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">
      <c r="A39" s="4" t="s">
        <v>90</v>
      </c>
      <c r="B39" s="4">
        <f t="shared" ref="B39:B46" si="0">D39*3.2808399</f>
        <v>2.8379265135000002</v>
      </c>
      <c r="C39" s="4" t="s">
        <v>65</v>
      </c>
      <c r="D39" s="4">
        <f>0.5*1.73</f>
        <v>0.86499999999999999</v>
      </c>
      <c r="E39" s="4" t="s">
        <v>66</v>
      </c>
      <c r="F39" s="4" t="s">
        <v>91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">
      <c r="A40" s="4" t="s">
        <v>92</v>
      </c>
      <c r="B40" s="4">
        <f t="shared" si="0"/>
        <v>19.251968533200003</v>
      </c>
      <c r="C40" s="4" t="s">
        <v>65</v>
      </c>
      <c r="D40" s="4">
        <v>5.8680000000000003</v>
      </c>
      <c r="E40" s="4" t="s">
        <v>66</v>
      </c>
      <c r="F40" s="4" t="s">
        <v>93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3">
      <c r="A41" s="4" t="s">
        <v>94</v>
      </c>
      <c r="B41" s="4">
        <f t="shared" si="0"/>
        <v>3.06955381044</v>
      </c>
      <c r="C41" s="4" t="s">
        <v>65</v>
      </c>
      <c r="D41" s="4">
        <v>0.93559999999999999</v>
      </c>
      <c r="E41" s="4" t="s">
        <v>66</v>
      </c>
      <c r="F41" s="4" t="s">
        <v>95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3">
      <c r="A42" s="4" t="s">
        <v>96</v>
      </c>
      <c r="B42" s="4">
        <f t="shared" si="0"/>
        <v>8.9304462078000011</v>
      </c>
      <c r="C42" s="4" t="s">
        <v>65</v>
      </c>
      <c r="D42" s="4">
        <v>2.722</v>
      </c>
      <c r="E42" s="4" t="s">
        <v>66</v>
      </c>
      <c r="F42" s="4" t="s">
        <v>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3">
      <c r="A43" s="4" t="s">
        <v>98</v>
      </c>
      <c r="B43" s="4">
        <f t="shared" si="0"/>
        <v>3.3497375378999998</v>
      </c>
      <c r="C43" s="4" t="s">
        <v>65</v>
      </c>
      <c r="D43" s="4">
        <v>1.0209999999999999</v>
      </c>
      <c r="E43" s="4" t="s">
        <v>66</v>
      </c>
      <c r="F43" s="4" t="s">
        <v>99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3">
      <c r="A44" s="4" t="s">
        <v>100</v>
      </c>
      <c r="B44" s="4">
        <f t="shared" si="0"/>
        <v>11.161417339800002</v>
      </c>
      <c r="C44" s="4" t="s">
        <v>65</v>
      </c>
      <c r="D44" s="4">
        <v>3.4020000000000001</v>
      </c>
      <c r="E44" s="4" t="s">
        <v>66</v>
      </c>
      <c r="F44" s="4" t="s">
        <v>101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3">
      <c r="A45" s="4" t="s">
        <v>102</v>
      </c>
      <c r="B45" s="4">
        <f t="shared" si="0"/>
        <v>6.6961942359000002</v>
      </c>
      <c r="C45" s="4" t="s">
        <v>65</v>
      </c>
      <c r="D45" s="4">
        <v>2.0409999999999999</v>
      </c>
      <c r="E45" s="4" t="s">
        <v>66</v>
      </c>
      <c r="F45" s="4" t="s">
        <v>103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3">
      <c r="A46" s="4" t="s">
        <v>104</v>
      </c>
      <c r="B46" s="4">
        <f t="shared" si="0"/>
        <v>62.500000095000004</v>
      </c>
      <c r="C46" s="4" t="s">
        <v>65</v>
      </c>
      <c r="D46" s="4">
        <v>19.05</v>
      </c>
      <c r="E46" s="4" t="s">
        <v>66</v>
      </c>
      <c r="F46" s="4" t="s">
        <v>105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3">
      <c r="A47" s="4" t="s">
        <v>106</v>
      </c>
      <c r="B47" s="4">
        <f>D47*3.2808399^2</f>
        <v>41.118137916830278</v>
      </c>
      <c r="C47" s="4" t="s">
        <v>73</v>
      </c>
      <c r="D47" s="4">
        <f>1.91*2</f>
        <v>3.82</v>
      </c>
      <c r="E47" s="4" t="s">
        <v>74</v>
      </c>
      <c r="F47" s="4" t="s">
        <v>107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3">
      <c r="A48" s="4" t="s">
        <v>108</v>
      </c>
      <c r="B48" s="4">
        <f>D48*(3.2808399^2)</f>
        <v>53.711913142665736</v>
      </c>
      <c r="C48" s="4" t="s">
        <v>73</v>
      </c>
      <c r="D48" s="4">
        <v>4.99</v>
      </c>
      <c r="E48" s="4" t="s">
        <v>74</v>
      </c>
      <c r="F48" s="4" t="s">
        <v>109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3">
      <c r="A49" s="4" t="s">
        <v>110</v>
      </c>
      <c r="B49" s="4">
        <f>D49*3.2808399</f>
        <v>55.511811108000011</v>
      </c>
      <c r="C49" s="4" t="s">
        <v>65</v>
      </c>
      <c r="D49" s="4">
        <v>16.920000000000002</v>
      </c>
      <c r="E49" s="4" t="s">
        <v>66</v>
      </c>
      <c r="F49" s="4" t="s">
        <v>111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3">
      <c r="A50" s="4" t="s">
        <v>112</v>
      </c>
      <c r="B50" s="4">
        <f>D50*3.2808399^2</f>
        <v>113.05335145038441</v>
      </c>
      <c r="C50" s="4" t="s">
        <v>73</v>
      </c>
      <c r="D50" s="4">
        <f>2*1.91+4.99+1.693</f>
        <v>10.503</v>
      </c>
      <c r="E50" s="4" t="s">
        <v>74</v>
      </c>
      <c r="F50" s="4" t="s">
        <v>113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3">
      <c r="A51" s="4"/>
      <c r="B51" s="4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3">
      <c r="A52" s="5" t="s">
        <v>114</v>
      </c>
      <c r="B52" s="5">
        <f>D52*I3</f>
        <v>59.055149999999998</v>
      </c>
      <c r="C52" s="5" t="s">
        <v>115</v>
      </c>
      <c r="D52" s="5">
        <v>1.5</v>
      </c>
      <c r="E52" s="5" t="s">
        <v>66</v>
      </c>
      <c r="F52" s="5" t="s">
        <v>116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3">
      <c r="A53" s="5" t="s">
        <v>117</v>
      </c>
      <c r="B53" s="5">
        <v>4</v>
      </c>
      <c r="C53" s="5" t="s">
        <v>56</v>
      </c>
      <c r="D53" s="5">
        <v>4</v>
      </c>
      <c r="E53" s="5" t="s">
        <v>56</v>
      </c>
      <c r="F53" s="5" t="s">
        <v>118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5" t="s">
        <v>119</v>
      </c>
      <c r="B54" s="5">
        <v>1</v>
      </c>
      <c r="C54" s="5" t="s">
        <v>56</v>
      </c>
      <c r="D54" s="5">
        <v>1</v>
      </c>
      <c r="E54" s="5" t="s">
        <v>56</v>
      </c>
      <c r="F54" s="5" t="s">
        <v>120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3">
      <c r="A55" s="5" t="s">
        <v>121</v>
      </c>
      <c r="B55" s="5">
        <v>2</v>
      </c>
      <c r="C55" s="5" t="s">
        <v>56</v>
      </c>
      <c r="D55" s="5">
        <v>2</v>
      </c>
      <c r="E55" s="5" t="s">
        <v>56</v>
      </c>
      <c r="F55" s="5" t="s">
        <v>122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3">
      <c r="A56" s="5" t="s">
        <v>123</v>
      </c>
      <c r="B56" s="5">
        <f>B57*1.5</f>
        <v>4.5</v>
      </c>
      <c r="C56" s="5" t="s">
        <v>56</v>
      </c>
      <c r="D56" s="5">
        <f>D57*1.5</f>
        <v>4.5</v>
      </c>
      <c r="E56" s="5" t="s">
        <v>56</v>
      </c>
      <c r="F56" s="5" t="s">
        <v>124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3">
      <c r="A57" s="5" t="s">
        <v>125</v>
      </c>
      <c r="B57" s="5">
        <v>3</v>
      </c>
      <c r="C57" s="5" t="s">
        <v>56</v>
      </c>
      <c r="D57" s="5">
        <v>3</v>
      </c>
      <c r="E57" s="5" t="s">
        <v>56</v>
      </c>
      <c r="F57" s="5" t="s">
        <v>126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3">
      <c r="A58" s="5" t="s">
        <v>127</v>
      </c>
      <c r="B58" s="5">
        <v>2</v>
      </c>
      <c r="C58" s="5" t="s">
        <v>56</v>
      </c>
      <c r="D58" s="5">
        <v>2</v>
      </c>
      <c r="E58" s="5" t="s">
        <v>56</v>
      </c>
      <c r="F58" s="5" t="s">
        <v>128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3">
      <c r="A59" s="5" t="s">
        <v>129</v>
      </c>
      <c r="B59" s="5">
        <v>1</v>
      </c>
      <c r="C59" s="5" t="s">
        <v>56</v>
      </c>
      <c r="D59" s="5">
        <v>1</v>
      </c>
      <c r="E59" s="5" t="s">
        <v>56</v>
      </c>
      <c r="F59" s="5" t="s">
        <v>130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">
      <c r="A60" s="5" t="s">
        <v>131</v>
      </c>
      <c r="B60" s="5">
        <v>1</v>
      </c>
      <c r="C60" s="5" t="s">
        <v>56</v>
      </c>
      <c r="D60" s="5">
        <v>1</v>
      </c>
      <c r="E60" s="5" t="s">
        <v>56</v>
      </c>
      <c r="F60" s="5" t="s">
        <v>132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3">
      <c r="A61" s="5" t="s">
        <v>133</v>
      </c>
      <c r="B61" s="5">
        <f>D61*I3</f>
        <v>43.53151957</v>
      </c>
      <c r="C61" s="5" t="s">
        <v>115</v>
      </c>
      <c r="D61" s="5">
        <v>1.1056999999999999</v>
      </c>
      <c r="E61" s="5" t="s">
        <v>66</v>
      </c>
      <c r="F61" s="5" t="s">
        <v>134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3">
      <c r="A62" s="5"/>
      <c r="B62" s="5"/>
      <c r="C62" s="5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3">
      <c r="A63" s="6" t="s">
        <v>135</v>
      </c>
      <c r="B63" s="6">
        <f>D63*3.2808399</f>
        <v>2.2322834679600003</v>
      </c>
      <c r="C63" s="6" t="s">
        <v>65</v>
      </c>
      <c r="D63" s="6">
        <v>0.6804</v>
      </c>
      <c r="E63" s="6" t="s">
        <v>66</v>
      </c>
      <c r="F63" s="6" t="s">
        <v>136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3">
      <c r="A64" s="6" t="s">
        <v>137</v>
      </c>
      <c r="B64" s="6">
        <v>93.9</v>
      </c>
      <c r="C64" s="6" t="s">
        <v>65</v>
      </c>
      <c r="D64" s="6">
        <v>28.6</v>
      </c>
      <c r="E64" s="6" t="s">
        <v>66</v>
      </c>
      <c r="F64" s="6" t="s">
        <v>138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">
      <c r="A65" s="6" t="s">
        <v>139</v>
      </c>
      <c r="B65" s="6">
        <f>D65*3.2808399</f>
        <v>8.8254593309999994</v>
      </c>
      <c r="C65" s="6" t="s">
        <v>65</v>
      </c>
      <c r="D65" s="6">
        <v>2.69</v>
      </c>
      <c r="E65" s="6" t="s">
        <v>66</v>
      </c>
      <c r="F65" s="6" t="s">
        <v>140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6" t="s">
        <v>141</v>
      </c>
      <c r="B66" s="6">
        <f>D66*3.2808399^2</f>
        <v>3099.7909312274305</v>
      </c>
      <c r="C66" s="6" t="s">
        <v>73</v>
      </c>
      <c r="D66" s="6">
        <f>261.8*1.1</f>
        <v>287.98</v>
      </c>
      <c r="E66" s="6" t="s">
        <v>74</v>
      </c>
      <c r="F66" s="6" t="s">
        <v>142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6" t="s">
        <v>143</v>
      </c>
      <c r="B67" s="6">
        <f>D67*3.2808399</f>
        <v>78.894357075300007</v>
      </c>
      <c r="C67" s="6" t="s">
        <v>65</v>
      </c>
      <c r="D67" s="6">
        <f>1.73*13.9</f>
        <v>24.047000000000001</v>
      </c>
      <c r="E67" s="6" t="s">
        <v>66</v>
      </c>
      <c r="F67" s="6" t="s">
        <v>144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6" t="s">
        <v>145</v>
      </c>
      <c r="B68" s="6">
        <f>D68*3.2808399</f>
        <v>7.2539370188999994</v>
      </c>
      <c r="C68" s="6" t="s">
        <v>65</v>
      </c>
      <c r="D68" s="6">
        <v>2.2109999999999999</v>
      </c>
      <c r="E68" s="6" t="s">
        <v>66</v>
      </c>
      <c r="F68" s="6" t="s">
        <v>146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6" t="s">
        <v>147</v>
      </c>
      <c r="B69" s="6">
        <f>D69*3.2808399</f>
        <v>5.085301845</v>
      </c>
      <c r="C69" s="6" t="s">
        <v>65</v>
      </c>
      <c r="D69" s="6">
        <v>1.55</v>
      </c>
      <c r="E69" s="6" t="s">
        <v>66</v>
      </c>
      <c r="F69" s="6" t="s">
        <v>148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6" t="s">
        <v>149</v>
      </c>
      <c r="B70" s="6">
        <f>D70*3.2808399^2</f>
        <v>115.92731554038275</v>
      </c>
      <c r="C70" s="6" t="s">
        <v>73</v>
      </c>
      <c r="D70" s="6">
        <v>10.77</v>
      </c>
      <c r="E70" s="6" t="s">
        <v>74</v>
      </c>
      <c r="F70" s="6" t="s">
        <v>150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6" t="s">
        <v>151</v>
      </c>
      <c r="B71" s="6">
        <f>D71*(3.2808399^3)</f>
        <v>3566.7813551348709</v>
      </c>
      <c r="C71" s="6" t="s">
        <v>152</v>
      </c>
      <c r="D71" s="6">
        <v>101</v>
      </c>
      <c r="E71" s="6" t="s">
        <v>153</v>
      </c>
      <c r="F71" s="6" t="s">
        <v>154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6" t="s">
        <v>155</v>
      </c>
      <c r="B72" s="6">
        <v>420</v>
      </c>
      <c r="C72" s="6" t="s">
        <v>152</v>
      </c>
      <c r="D72" s="6">
        <f>B72*(0.3048^3)</f>
        <v>11.893075568640002</v>
      </c>
      <c r="E72" s="6" t="s">
        <v>153</v>
      </c>
      <c r="F72" s="6" t="s">
        <v>156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6" t="s">
        <v>157</v>
      </c>
      <c r="B73" s="6">
        <f>683-B72</f>
        <v>263</v>
      </c>
      <c r="C73" s="6" t="s">
        <v>152</v>
      </c>
      <c r="D73" s="6">
        <f>B73*(0.3048^3)</f>
        <v>7.4473306536960013</v>
      </c>
      <c r="E73" s="6" t="s">
        <v>153</v>
      </c>
      <c r="F73" s="6" t="s">
        <v>156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6" t="s">
        <v>158</v>
      </c>
      <c r="B74" s="6">
        <v>1</v>
      </c>
      <c r="C74" s="6" t="s">
        <v>56</v>
      </c>
      <c r="D74" s="6">
        <v>1</v>
      </c>
      <c r="E74" s="6" t="s">
        <v>56</v>
      </c>
      <c r="F74" s="6" t="s">
        <v>159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6" t="s">
        <v>160</v>
      </c>
      <c r="B75" s="6">
        <f>D75*3.2808399</f>
        <v>128.37926528700001</v>
      </c>
      <c r="C75" s="6" t="s">
        <v>65</v>
      </c>
      <c r="D75" s="6">
        <v>39.130000000000003</v>
      </c>
      <c r="E75" s="6" t="s">
        <v>66</v>
      </c>
      <c r="F75" s="6" t="s">
        <v>161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6"/>
      <c r="B76" s="6"/>
      <c r="C76" s="6"/>
      <c r="D76" s="6"/>
      <c r="E76" s="6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8" t="s">
        <v>162</v>
      </c>
      <c r="B77" s="8">
        <v>1</v>
      </c>
      <c r="C77" s="8" t="s">
        <v>56</v>
      </c>
      <c r="D77" s="8">
        <v>1</v>
      </c>
      <c r="E77" s="8" t="s">
        <v>56</v>
      </c>
      <c r="F77" s="8" t="s">
        <v>163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8" t="s">
        <v>164</v>
      </c>
      <c r="B78" s="8">
        <f>B49</f>
        <v>55.511811108000011</v>
      </c>
      <c r="C78" s="8" t="s">
        <v>65</v>
      </c>
      <c r="D78" s="8">
        <f>B78*0.3048</f>
        <v>16.920000025718405</v>
      </c>
      <c r="E78" s="8" t="s">
        <v>66</v>
      </c>
      <c r="F78" s="8" t="s">
        <v>165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8" t="s">
        <v>166</v>
      </c>
      <c r="B79" s="8">
        <v>1.25</v>
      </c>
      <c r="C79" s="8" t="s">
        <v>56</v>
      </c>
      <c r="D79" s="8">
        <v>1.25</v>
      </c>
      <c r="E79" s="8" t="s">
        <v>56</v>
      </c>
      <c r="F79" s="8" t="s">
        <v>37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8" t="s">
        <v>167</v>
      </c>
      <c r="B80" s="8">
        <f>0.75*((1+2*B36)/(1+B36))*(B29*TAN(B35/B64))</f>
        <v>0.36624777583129042</v>
      </c>
      <c r="C80" s="8" t="s">
        <v>56</v>
      </c>
      <c r="D80" s="8">
        <f>0.75*((1+2*D36)/(1+D36))*(D29*TAN(D35/D64))</f>
        <v>0.36654298460467666</v>
      </c>
      <c r="E80" s="8" t="s">
        <v>56</v>
      </c>
      <c r="F80" s="8" t="s">
        <v>37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8" t="s">
        <v>168</v>
      </c>
      <c r="B81" s="8">
        <v>1</v>
      </c>
      <c r="C81" s="8" t="s">
        <v>56</v>
      </c>
      <c r="D81" s="8">
        <v>1</v>
      </c>
      <c r="E81" s="8" t="s">
        <v>56</v>
      </c>
      <c r="F81" s="8" t="s">
        <v>169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8" t="s">
        <v>170</v>
      </c>
      <c r="B82" s="8">
        <v>1</v>
      </c>
      <c r="C82" s="8" t="s">
        <v>56</v>
      </c>
      <c r="D82" s="8">
        <v>1</v>
      </c>
      <c r="E82" s="8" t="s">
        <v>56</v>
      </c>
      <c r="F82" s="8" t="s">
        <v>169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8" t="s">
        <v>171</v>
      </c>
      <c r="B83" s="8">
        <f>0.3*B49</f>
        <v>16.653543332400002</v>
      </c>
      <c r="C83" s="8" t="s">
        <v>65</v>
      </c>
      <c r="D83" s="8">
        <f>B83*0.3048</f>
        <v>5.0760000077155212</v>
      </c>
      <c r="E83" s="8" t="s">
        <v>66</v>
      </c>
      <c r="F83" s="8" t="s">
        <v>172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8" t="s">
        <v>173</v>
      </c>
      <c r="B84" s="8">
        <v>1</v>
      </c>
      <c r="C84" s="8" t="s">
        <v>56</v>
      </c>
      <c r="D84" s="8">
        <v>1</v>
      </c>
      <c r="E84" s="8" t="s">
        <v>56</v>
      </c>
      <c r="F84" s="8" t="s">
        <v>174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8" t="s">
        <v>175</v>
      </c>
      <c r="B85" s="8">
        <v>1</v>
      </c>
      <c r="C85" s="8" t="s">
        <v>56</v>
      </c>
      <c r="D85" s="8">
        <v>1</v>
      </c>
      <c r="E85" s="8" t="s">
        <v>56</v>
      </c>
      <c r="F85" s="8" t="s">
        <v>176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8"/>
      <c r="B86" s="8"/>
      <c r="C86" s="8"/>
      <c r="D86" s="8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9" t="s">
        <v>177</v>
      </c>
      <c r="B87" s="9">
        <f>D87</f>
        <v>5.6999999999999993</v>
      </c>
      <c r="C87" s="9" t="s">
        <v>56</v>
      </c>
      <c r="D87" s="9">
        <f>3.8*1.5</f>
        <v>5.6999999999999993</v>
      </c>
      <c r="E87" s="9" t="s">
        <v>56</v>
      </c>
      <c r="F87" s="9" t="s">
        <v>178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9" t="s">
        <v>179</v>
      </c>
      <c r="B88" s="9">
        <v>10</v>
      </c>
      <c r="C88" s="9" t="s">
        <v>180</v>
      </c>
      <c r="D88" s="9">
        <f>B88*0.45359237*(1/0.3048)^3</f>
        <v>160.18463373960137</v>
      </c>
      <c r="E88" s="9" t="s">
        <v>181</v>
      </c>
      <c r="F88" s="9" t="s">
        <v>182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9" t="s">
        <v>183</v>
      </c>
      <c r="B89" s="9">
        <v>1</v>
      </c>
      <c r="C89" s="9" t="s">
        <v>56</v>
      </c>
      <c r="D89" s="9">
        <f>B89</f>
        <v>1</v>
      </c>
      <c r="E89" s="9" t="s">
        <v>56</v>
      </c>
      <c r="F89" s="9" t="s">
        <v>184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9" t="s">
        <v>185</v>
      </c>
      <c r="B90" s="9">
        <v>2</v>
      </c>
      <c r="C90" s="9" t="s">
        <v>56</v>
      </c>
      <c r="D90" s="9">
        <v>2</v>
      </c>
      <c r="E90" s="9" t="s">
        <v>56</v>
      </c>
      <c r="F90" s="9" t="s">
        <v>186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9" t="s">
        <v>187</v>
      </c>
      <c r="B91" s="9">
        <v>2903</v>
      </c>
      <c r="C91" s="9" t="s">
        <v>188</v>
      </c>
      <c r="D91" s="9">
        <v>10989</v>
      </c>
      <c r="E91" s="9" t="s">
        <v>137</v>
      </c>
      <c r="F91" s="9" t="s">
        <v>189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9" t="s">
        <v>190</v>
      </c>
      <c r="B92" s="9">
        <v>2903</v>
      </c>
      <c r="C92" s="9" t="s">
        <v>188</v>
      </c>
      <c r="D92" s="9">
        <v>10989</v>
      </c>
      <c r="E92" s="9" t="s">
        <v>137</v>
      </c>
      <c r="F92" s="9" t="s">
        <v>191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9" t="s">
        <v>192</v>
      </c>
      <c r="B93" s="9">
        <v>0</v>
      </c>
      <c r="C93" s="9" t="s">
        <v>188</v>
      </c>
      <c r="D93" s="9">
        <v>0</v>
      </c>
      <c r="E93" s="9" t="s">
        <v>137</v>
      </c>
      <c r="F93" s="9" t="s">
        <v>193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9" t="s">
        <v>194</v>
      </c>
      <c r="B94" s="9">
        <v>7</v>
      </c>
      <c r="C94" s="9" t="s">
        <v>56</v>
      </c>
      <c r="D94" s="9">
        <v>7</v>
      </c>
      <c r="E94" s="9" t="s">
        <v>56</v>
      </c>
      <c r="F94" s="9" t="s">
        <v>195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9" t="s">
        <v>196</v>
      </c>
      <c r="B95" s="9">
        <v>2</v>
      </c>
      <c r="C95" s="9" t="s">
        <v>56</v>
      </c>
      <c r="D95" s="9">
        <v>2</v>
      </c>
      <c r="E95" s="9" t="s">
        <v>56</v>
      </c>
      <c r="F95" s="9" t="s">
        <v>197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3">
      <c r="A96" s="9" t="s">
        <v>198</v>
      </c>
      <c r="B96" s="9">
        <f>(((B29+B75)/2)^2 * (B24*B104^2)/4)*I4</f>
        <v>13937.390521810168</v>
      </c>
      <c r="C96" s="9" t="s">
        <v>199</v>
      </c>
      <c r="D96" s="9">
        <f>B96*0.45359237*0.3048*0.3048</f>
        <v>587.32317100943214</v>
      </c>
      <c r="E96" s="9" t="s">
        <v>200</v>
      </c>
      <c r="F96" s="9" t="s">
        <v>201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3">
      <c r="A97" s="9" t="s">
        <v>202</v>
      </c>
      <c r="B97" s="9">
        <f>2+3</f>
        <v>5</v>
      </c>
      <c r="C97" s="9" t="s">
        <v>56</v>
      </c>
      <c r="D97" s="9">
        <f>2+3</f>
        <v>5</v>
      </c>
      <c r="E97" s="9" t="s">
        <v>56</v>
      </c>
      <c r="F97" s="9" t="s">
        <v>203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3">
      <c r="A98" s="9" t="s">
        <v>204</v>
      </c>
      <c r="B98" s="9">
        <f>D98*3.2808399</f>
        <v>128.37926528700001</v>
      </c>
      <c r="C98" s="9" t="s">
        <v>65</v>
      </c>
      <c r="D98" s="10">
        <v>39.130000000000003</v>
      </c>
      <c r="E98" s="9" t="s">
        <v>66</v>
      </c>
      <c r="F98" s="9" t="s">
        <v>205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3">
      <c r="A99" s="9" t="s">
        <v>206</v>
      </c>
      <c r="B99" s="9">
        <v>50</v>
      </c>
      <c r="C99" s="9" t="s">
        <v>207</v>
      </c>
      <c r="D99" s="9">
        <v>50</v>
      </c>
      <c r="E99" s="9" t="s">
        <v>207</v>
      </c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3">
      <c r="A100" s="9" t="s">
        <v>208</v>
      </c>
      <c r="B100" s="9">
        <f>D100*3.2808399</f>
        <v>150.688976607</v>
      </c>
      <c r="C100" s="9" t="s">
        <v>65</v>
      </c>
      <c r="D100" s="9">
        <v>45.93</v>
      </c>
      <c r="E100" s="9" t="s">
        <v>66</v>
      </c>
      <c r="F100" s="9" t="s">
        <v>209</v>
      </c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3">
      <c r="A101" s="9" t="s">
        <v>210</v>
      </c>
      <c r="B101" s="9">
        <v>2</v>
      </c>
      <c r="C101" s="9" t="s">
        <v>56</v>
      </c>
      <c r="D101" s="9">
        <v>2</v>
      </c>
      <c r="E101" s="9" t="s">
        <v>56</v>
      </c>
      <c r="F101" s="9" t="s">
        <v>211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3">
      <c r="A102" s="9" t="s">
        <v>212</v>
      </c>
      <c r="B102" s="9">
        <f>B97+100</f>
        <v>105</v>
      </c>
      <c r="C102" s="9" t="s">
        <v>56</v>
      </c>
      <c r="D102" s="9">
        <f>D97+100</f>
        <v>105</v>
      </c>
      <c r="E102" s="9" t="s">
        <v>56</v>
      </c>
      <c r="F102" s="9" t="s">
        <v>213</v>
      </c>
      <c r="G102" s="2"/>
      <c r="H10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3">
      <c r="A103" s="9" t="s">
        <v>214</v>
      </c>
      <c r="B103" s="9">
        <v>3</v>
      </c>
      <c r="C103" s="9" t="s">
        <v>56</v>
      </c>
      <c r="D103" s="9">
        <v>3</v>
      </c>
      <c r="E103" s="9" t="s">
        <v>56</v>
      </c>
      <c r="F103" s="9" t="s">
        <v>215</v>
      </c>
      <c r="G103" s="2"/>
      <c r="H10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3">
      <c r="A104" s="9" t="s">
        <v>216</v>
      </c>
      <c r="B104" s="9">
        <v>0.44</v>
      </c>
      <c r="C104" s="9" t="s">
        <v>56</v>
      </c>
      <c r="D104" s="9">
        <v>0.44</v>
      </c>
      <c r="E104" s="9" t="s">
        <v>56</v>
      </c>
      <c r="F104" s="9" t="s">
        <v>217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3">
      <c r="A105" s="9" t="s">
        <v>218</v>
      </c>
      <c r="B105" s="9">
        <v>0.36</v>
      </c>
      <c r="C105" s="9" t="s">
        <v>56</v>
      </c>
      <c r="D105" s="9">
        <v>0.36</v>
      </c>
      <c r="E105" s="9" t="s">
        <v>56</v>
      </c>
      <c r="F105" s="9" t="s">
        <v>217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3">
      <c r="A106" s="9" t="s">
        <v>218</v>
      </c>
      <c r="B106" s="9">
        <v>0.24</v>
      </c>
      <c r="C106" s="9" t="s">
        <v>56</v>
      </c>
      <c r="D106" s="9">
        <v>0.24</v>
      </c>
      <c r="E106" s="9" t="s">
        <v>56</v>
      </c>
      <c r="F106" s="9" t="s">
        <v>217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3">
      <c r="A107" s="11"/>
      <c r="B107" s="11"/>
      <c r="C107" s="11"/>
      <c r="D107" s="11"/>
      <c r="E107" s="11"/>
      <c r="F107" s="1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3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3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3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3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C669-98A5-4C53-9280-2811B9227C7D}">
  <dimension ref="A1:I30"/>
  <sheetViews>
    <sheetView tabSelected="1" workbookViewId="0">
      <selection activeCell="H18" sqref="H18"/>
    </sheetView>
  </sheetViews>
  <sheetFormatPr defaultRowHeight="14.4" x14ac:dyDescent="0.3"/>
  <cols>
    <col min="1" max="1" width="23.33203125" customWidth="1"/>
    <col min="2" max="2" width="22.5546875" customWidth="1"/>
    <col min="3" max="3" width="11.33203125" customWidth="1"/>
  </cols>
  <sheetData>
    <row r="1" spans="1:9" x14ac:dyDescent="0.3">
      <c r="A1" s="20" t="s">
        <v>219</v>
      </c>
      <c r="B1" s="20" t="s">
        <v>220</v>
      </c>
      <c r="C1" s="20" t="s">
        <v>221</v>
      </c>
      <c r="D1" s="16"/>
      <c r="E1" s="16"/>
    </row>
    <row r="2" spans="1:9" x14ac:dyDescent="0.3">
      <c r="A2" s="21" t="s">
        <v>222</v>
      </c>
      <c r="B2" s="21">
        <f>$H$2+(C2*$H$3)</f>
        <v>20.751000000000001</v>
      </c>
      <c r="C2" s="21">
        <v>0.5</v>
      </c>
      <c r="D2" s="16"/>
      <c r="E2" s="16"/>
      <c r="G2" t="s">
        <v>223</v>
      </c>
      <c r="H2">
        <f>data_for_weight!D46</f>
        <v>19.05</v>
      </c>
      <c r="I2" t="s">
        <v>66</v>
      </c>
    </row>
    <row r="3" spans="1:9" x14ac:dyDescent="0.3">
      <c r="A3" s="19" t="s">
        <v>224</v>
      </c>
      <c r="B3" s="19">
        <v>37.4</v>
      </c>
      <c r="C3" s="19">
        <f t="shared" ref="C3:C10" si="0">(B3-$H$2)/$H$3</f>
        <v>5.3938859494415041</v>
      </c>
      <c r="D3" s="16"/>
      <c r="E3" s="16"/>
      <c r="G3" t="s">
        <v>100</v>
      </c>
      <c r="H3">
        <f>data_for_weight!D44</f>
        <v>3.4020000000000001</v>
      </c>
      <c r="I3" t="s">
        <v>66</v>
      </c>
    </row>
    <row r="4" spans="1:9" x14ac:dyDescent="0.3">
      <c r="A4" s="19" t="s">
        <v>225</v>
      </c>
      <c r="B4" s="19">
        <v>35.700000000000003</v>
      </c>
      <c r="C4" s="19">
        <f t="shared" si="0"/>
        <v>4.8941798941798949</v>
      </c>
      <c r="D4" s="16"/>
      <c r="E4" s="16"/>
    </row>
    <row r="5" spans="1:9" x14ac:dyDescent="0.3">
      <c r="A5" s="19" t="s">
        <v>226</v>
      </c>
      <c r="B5" s="19">
        <v>17.100000000000001</v>
      </c>
      <c r="C5" s="19">
        <f t="shared" si="0"/>
        <v>-0.57319223985890633</v>
      </c>
      <c r="D5" s="16"/>
      <c r="E5" s="16"/>
    </row>
    <row r="6" spans="1:9" x14ac:dyDescent="0.3">
      <c r="A6" s="19" t="s">
        <v>227</v>
      </c>
      <c r="B6" s="23">
        <v>22.1</v>
      </c>
      <c r="C6" s="19">
        <f t="shared" si="0"/>
        <v>0.8965314520870078</v>
      </c>
      <c r="D6" s="16"/>
      <c r="E6" s="16"/>
    </row>
    <row r="7" spans="1:9" x14ac:dyDescent="0.3">
      <c r="A7" s="19" t="s">
        <v>228</v>
      </c>
      <c r="B7" s="19">
        <v>2.0760000000000001</v>
      </c>
      <c r="C7" s="19">
        <f t="shared" si="0"/>
        <v>-4.9894179894179889</v>
      </c>
      <c r="D7" s="16"/>
      <c r="E7" s="16"/>
    </row>
    <row r="8" spans="1:9" x14ac:dyDescent="0.3">
      <c r="A8" s="19" t="s">
        <v>229</v>
      </c>
      <c r="B8" s="19">
        <f>B22</f>
        <v>30.1</v>
      </c>
      <c r="C8" s="19">
        <f t="shared" si="0"/>
        <v>3.2480893592004705</v>
      </c>
      <c r="D8" s="16"/>
      <c r="E8" s="16"/>
    </row>
    <row r="9" spans="1:9" x14ac:dyDescent="0.3">
      <c r="A9" s="19" t="s">
        <v>230</v>
      </c>
      <c r="B9" s="19">
        <v>2.4220000000000002</v>
      </c>
      <c r="C9" s="19">
        <f t="shared" si="0"/>
        <v>-4.8877131099353317</v>
      </c>
      <c r="D9" s="16"/>
      <c r="E9" s="16"/>
    </row>
    <row r="10" spans="1:9" x14ac:dyDescent="0.3">
      <c r="A10" s="19" t="s">
        <v>231</v>
      </c>
      <c r="B10" s="19">
        <f>B8</f>
        <v>30.1</v>
      </c>
      <c r="C10" s="19">
        <f t="shared" si="0"/>
        <v>3.2480893592004705</v>
      </c>
      <c r="D10" s="16"/>
      <c r="E10" s="16"/>
    </row>
    <row r="11" spans="1:9" x14ac:dyDescent="0.3">
      <c r="A11" s="19" t="s">
        <v>232</v>
      </c>
      <c r="B11" s="21">
        <f>$H$2+(C11*$H$3)</f>
        <v>23.132400000000001</v>
      </c>
      <c r="C11" s="19">
        <v>1.2</v>
      </c>
      <c r="D11" s="16"/>
      <c r="E11" s="16"/>
    </row>
    <row r="12" spans="1:9" x14ac:dyDescent="0.3">
      <c r="A12" s="19" t="s">
        <v>233</v>
      </c>
      <c r="B12" s="21">
        <f>$H$2+(C12*$H$3)</f>
        <v>20.751000000000001</v>
      </c>
      <c r="C12" s="19">
        <f>C2</f>
        <v>0.5</v>
      </c>
      <c r="D12" s="16"/>
      <c r="E12" s="16"/>
    </row>
    <row r="13" spans="1:9" x14ac:dyDescent="0.3">
      <c r="A13" s="19" t="s">
        <v>234</v>
      </c>
      <c r="B13" s="19">
        <v>31.49</v>
      </c>
      <c r="C13" s="19">
        <f t="shared" ref="C13:C18" si="1">(B13-$H$2)/$H$3</f>
        <v>3.6566725455614337</v>
      </c>
      <c r="D13" s="16"/>
      <c r="E13" s="16"/>
    </row>
    <row r="14" spans="1:9" x14ac:dyDescent="0.3">
      <c r="A14" s="19" t="s">
        <v>235</v>
      </c>
      <c r="B14" s="19">
        <f>B9</f>
        <v>2.4220000000000002</v>
      </c>
      <c r="C14" s="19">
        <f t="shared" si="1"/>
        <v>-4.8877131099353317</v>
      </c>
      <c r="D14" s="16"/>
      <c r="E14" s="16"/>
    </row>
    <row r="15" spans="1:9" x14ac:dyDescent="0.3">
      <c r="A15" s="19" t="s">
        <v>236</v>
      </c>
      <c r="B15" s="19">
        <f>B9</f>
        <v>2.4220000000000002</v>
      </c>
      <c r="C15" s="19">
        <f t="shared" si="1"/>
        <v>-4.8877131099353317</v>
      </c>
      <c r="D15" s="16"/>
      <c r="E15" s="16"/>
    </row>
    <row r="16" spans="1:9" x14ac:dyDescent="0.3">
      <c r="A16" s="19" t="s">
        <v>237</v>
      </c>
      <c r="B16" s="19">
        <f>B5</f>
        <v>17.100000000000001</v>
      </c>
      <c r="C16" s="19">
        <f t="shared" si="1"/>
        <v>-0.57319223985890633</v>
      </c>
      <c r="D16" s="16"/>
      <c r="E16" s="16"/>
    </row>
    <row r="17" spans="1:5" x14ac:dyDescent="0.3">
      <c r="A17" s="19" t="s">
        <v>238</v>
      </c>
      <c r="B17" s="19">
        <v>5.1029999999999998</v>
      </c>
      <c r="C17" s="19">
        <f t="shared" si="1"/>
        <v>-4.0996472663139327</v>
      </c>
      <c r="D17" s="16"/>
      <c r="E17" s="16"/>
    </row>
    <row r="18" spans="1:5" x14ac:dyDescent="0.3">
      <c r="A18" s="19" t="s">
        <v>239</v>
      </c>
      <c r="B18" s="19">
        <f>B5</f>
        <v>17.100000000000001</v>
      </c>
      <c r="C18" s="19">
        <f t="shared" si="1"/>
        <v>-0.57319223985890633</v>
      </c>
      <c r="D18" s="16"/>
      <c r="E18" s="16"/>
    </row>
    <row r="19" spans="1:5" x14ac:dyDescent="0.3">
      <c r="A19" s="19" t="s">
        <v>240</v>
      </c>
      <c r="B19" s="21">
        <f>$H$2+(C19*$H$3)</f>
        <v>20.751000000000001</v>
      </c>
      <c r="C19" s="19">
        <f>C2</f>
        <v>0.5</v>
      </c>
      <c r="D19" s="16"/>
      <c r="E19" s="16"/>
    </row>
    <row r="20" spans="1:5" x14ac:dyDescent="0.3">
      <c r="A20" s="19" t="s">
        <v>241</v>
      </c>
      <c r="B20" s="21">
        <f>$H$2+(C20*$H$3)</f>
        <v>20.751000000000001</v>
      </c>
      <c r="C20" s="19">
        <f>C19</f>
        <v>0.5</v>
      </c>
      <c r="D20" s="16"/>
      <c r="E20" s="16"/>
    </row>
    <row r="21" spans="1:5" x14ac:dyDescent="0.3">
      <c r="A21" s="19" t="s">
        <v>242</v>
      </c>
      <c r="B21" s="19">
        <f>B12</f>
        <v>20.751000000000001</v>
      </c>
      <c r="C21" s="19">
        <f>C20</f>
        <v>0.5</v>
      </c>
      <c r="D21" s="16"/>
      <c r="E21" s="16"/>
    </row>
    <row r="22" spans="1:5" x14ac:dyDescent="0.3">
      <c r="A22" s="19" t="s">
        <v>36</v>
      </c>
      <c r="B22" s="19">
        <v>30.1</v>
      </c>
      <c r="C22" s="19">
        <f>(B22-$H$2)/$H$3</f>
        <v>3.2480893592004705</v>
      </c>
      <c r="D22" s="16"/>
      <c r="E22" s="16"/>
    </row>
    <row r="23" spans="1:5" x14ac:dyDescent="0.3">
      <c r="A23" s="19" t="s">
        <v>243</v>
      </c>
      <c r="B23" s="19">
        <v>5.16</v>
      </c>
      <c r="C23" s="19">
        <f>(B23-$H$2)/$H$3</f>
        <v>-4.0828924162257492</v>
      </c>
      <c r="D23" s="16"/>
      <c r="E23" s="16"/>
    </row>
    <row r="24" spans="1:5" x14ac:dyDescent="0.3">
      <c r="A24" s="22" t="s">
        <v>244</v>
      </c>
      <c r="B24" s="22">
        <f>B5</f>
        <v>17.100000000000001</v>
      </c>
      <c r="C24" s="22">
        <v>-4.9894179889999997</v>
      </c>
      <c r="D24" s="16"/>
      <c r="E24" s="16"/>
    </row>
    <row r="25" spans="1:5" x14ac:dyDescent="0.3">
      <c r="A25" s="19" t="s">
        <v>43</v>
      </c>
      <c r="B25" s="19">
        <v>11.42</v>
      </c>
      <c r="C25" s="19">
        <f>(B25-$H$2)/$H$3</f>
        <v>-2.2427983539094654</v>
      </c>
      <c r="D25" s="16"/>
      <c r="E25" s="16"/>
    </row>
    <row r="26" spans="1:5" x14ac:dyDescent="0.3">
      <c r="A26" s="19" t="s">
        <v>42</v>
      </c>
      <c r="B26" s="19">
        <v>28.2</v>
      </c>
      <c r="C26" s="19">
        <f>(B26-$H$2)/$H$3</f>
        <v>2.6895943562610225</v>
      </c>
      <c r="D26" s="16"/>
      <c r="E26" s="16"/>
    </row>
    <row r="27" spans="1:5" x14ac:dyDescent="0.3">
      <c r="A27" s="16"/>
      <c r="B27" s="16"/>
      <c r="C27" s="16"/>
      <c r="D27" s="16"/>
      <c r="E27" s="16"/>
    </row>
    <row r="28" spans="1:5" x14ac:dyDescent="0.3">
      <c r="A28" s="16"/>
      <c r="B28" s="16"/>
      <c r="C28" s="16"/>
      <c r="D28" s="16"/>
      <c r="E28" s="16"/>
    </row>
    <row r="29" spans="1:5" x14ac:dyDescent="0.3">
      <c r="A29" s="16"/>
      <c r="B29" s="16"/>
      <c r="C29" s="16"/>
      <c r="D29" s="16"/>
      <c r="E29" s="16"/>
    </row>
    <row r="30" spans="1:5" x14ac:dyDescent="0.3">
      <c r="A30" s="16"/>
      <c r="B30" s="16"/>
      <c r="C30" s="16"/>
      <c r="D30" s="16"/>
      <c r="E3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data_for_weight</vt:lpstr>
      <vt:lpstr>x_locations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AdrianLaptop</dc:creator>
  <cp:keywords/>
  <dc:description/>
  <cp:lastModifiedBy>Adrian Ehrenberger</cp:lastModifiedBy>
  <cp:revision/>
  <dcterms:created xsi:type="dcterms:W3CDTF">2022-03-23T15:39:07Z</dcterms:created>
  <dcterms:modified xsi:type="dcterms:W3CDTF">2022-03-25T22:35:14Z</dcterms:modified>
  <cp:category/>
  <cp:contentStatus/>
</cp:coreProperties>
</file>